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Export_Tari" sheetId="1" r:id="rId1"/>
    <sheet name="Import_Tari" sheetId="2" r:id="rId2"/>
    <sheet name="Balanta Comerciala_Tari" sheetId="3" r:id="rId3"/>
    <sheet name="Export_Grupe_Marfuri_CSCI" sheetId="4" r:id="rId4"/>
    <sheet name="Import_Grupe_Marfuri_CSCI" sheetId="5" r:id="rId5"/>
    <sheet name="Balanta_Comerciala_Gr_Marf_CSCI" sheetId="6" r:id="rId6"/>
  </sheets>
  <definedNames>
    <definedName name="_xlnm.Print_Titles" localSheetId="2">'Balanta Comerciala_Tari'!$3:$4</definedName>
    <definedName name="_xlnm.Print_Titles" localSheetId="5">'Balanta_Comerciala_Gr_Marf_CSCI'!$4:$5</definedName>
    <definedName name="_xlnm.Print_Titles" localSheetId="3">'Export_Grupe_Marfuri_CSCI'!$4:$6</definedName>
    <definedName name="_xlnm.Print_Titles" localSheetId="0">'Export_Tari'!$3:$5</definedName>
    <definedName name="_xlnm.Print_Titles" localSheetId="4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<sst xmlns="http://schemas.openxmlformats.org/spreadsheetml/2006/main" count="710" uniqueCount="270">
  <si>
    <t>Structura, %</t>
  </si>
  <si>
    <t>Gradul de influenţă a ţărilor, grupelor de ţări  la creşterea (+),  scăderea (-) exporturilor, %</t>
  </si>
  <si>
    <t>2016¹</t>
  </si>
  <si>
    <t xml:space="preserve">      din care:</t>
  </si>
  <si>
    <t>Ţările Uniunii Europene (UE-28)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</si>
  <si>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</si>
  <si>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</si>
  <si>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</si>
  <si>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</si>
  <si>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</si>
  <si>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</si>
  <si>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</si>
  <si>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</si>
  <si>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</si>
  <si>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Ţările CSI</t>
  </si>
  <si>
    <t>Belarus</t>
  </si>
  <si>
    <t>Ucraina</t>
  </si>
  <si>
    <t>Kazahstan</t>
  </si>
  <si>
    <t>Azerbaidjan</t>
  </si>
  <si>
    <t>Uzbekistan</t>
  </si>
  <si>
    <t>Kîrgîzstan</t>
  </si>
  <si>
    <t>Turkmenistan</t>
  </si>
  <si>
    <t>Armenia</t>
  </si>
  <si>
    <t>Tadjikistan</t>
  </si>
  <si>
    <t>Celelalte ţări ale lumii</t>
  </si>
  <si>
    <t>Statele Unite ale Americii</t>
  </si>
  <si>
    <t>de 2,0 ori</t>
  </si>
  <si>
    <t>¹ În preţuri curente</t>
  </si>
  <si>
    <t>Anexa 1. Exporturile structurate pe principalele ţări de destinaţie a mărfurilor şi grupe de ţări</t>
  </si>
  <si>
    <t xml:space="preserve">IMPORT – total      </t>
  </si>
  <si>
    <t>Anexa 2. Importurile structurate pe principalele ţări de origine a mărfurilor şi grupe de ţări</t>
  </si>
  <si>
    <t xml:space="preserve">EXPORT – total      </t>
  </si>
  <si>
    <t xml:space="preserve">  din care:</t>
  </si>
  <si>
    <t>x</t>
  </si>
  <si>
    <t>Anexa 3. Balanţa comercială structurată pe principalele ţări şi grupe de ţări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</si>
  <si>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</si>
  <si>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</si>
  <si>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</si>
  <si>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</si>
  <si>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</si>
  <si>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</si>
  <si>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</si>
  <si>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</si>
  <si>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</si>
  <si>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</si>
  <si>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</si>
  <si>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</si>
  <si>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</si>
  <si>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</si>
  <si>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</si>
  <si>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</si>
  <si>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</si>
  <si>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</si>
  <si>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</si>
  <si>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</si>
  <si>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</si>
  <si>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</si>
  <si>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</si>
  <si>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</si>
  <si>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</si>
  <si>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</si>
  <si>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</si>
  <si>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</si>
  <si>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</si>
  <si>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</si>
  <si>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</si>
  <si>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</si>
  <si>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</si>
  <si>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</si>
  <si>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</si>
  <si>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</si>
  <si>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</si>
  <si>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</si>
  <si>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</si>
  <si>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</si>
  <si>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</si>
  <si>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</si>
  <si>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</si>
  <si>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</si>
  <si>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</si>
  <si>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</si>
  <si>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</si>
  <si>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</si>
  <si>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</si>
  <si>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</si>
  <si>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</si>
  <si>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</si>
  <si>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</si>
  <si>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</si>
  <si>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</si>
  <si>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</si>
  <si>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</si>
  <si>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</si>
  <si>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</si>
  <si>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</si>
  <si>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</si>
  <si>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</si>
  <si>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</si>
  <si>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</si>
  <si>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</si>
  <si>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încălzire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</si>
  <si>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</si>
  <si>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</si>
  <si>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</si>
  <si>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</si>
  <si>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</si>
  <si>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</si>
  <si>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</si>
  <si>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 xml:space="preserve">       din care:</t>
  </si>
  <si>
    <t>Instrumente şi aparate profesionale, ştiinţifice şi de control</t>
  </si>
  <si>
    <t xml:space="preserve">    din care:</t>
  </si>
  <si>
    <t xml:space="preserve">Grăsimi şi uleiuri vegetale fixate, brute, rafinate sau fracţionate </t>
  </si>
  <si>
    <t>Alte uleiuri si grasimi animale sau vegetale prelucrate</t>
  </si>
  <si>
    <t>Maşini generatoare de putere şi echipamentele lor</t>
  </si>
  <si>
    <t>Coreea de Sud</t>
  </si>
  <si>
    <t xml:space="preserve">Anexa 4. Exporturile structurate pe grupe de mărfuri, </t>
  </si>
  <si>
    <t xml:space="preserve">Anexa 5. Importurile structurate pe grupe de mărfuri, </t>
  </si>
  <si>
    <r>
      <t xml:space="preserve"> </t>
    </r>
    <r>
      <rPr>
        <b/>
        <sz val="9"/>
        <color indexed="8"/>
        <rFont val="Times New Roman"/>
        <family val="1"/>
      </rPr>
      <t>¹ În preţuri curente</t>
    </r>
  </si>
  <si>
    <t xml:space="preserve">Anexa 6. Balanţa comercială structurată pe grupe de mărfuri, </t>
  </si>
  <si>
    <t>Arabia Saudită</t>
  </si>
  <si>
    <t>Hong Kong, RAS a Chinei</t>
  </si>
  <si>
    <t>Africa de Sud</t>
  </si>
  <si>
    <t>de 2,4 ori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</si>
  <si>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</si>
  <si>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</si>
  <si>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</si>
  <si>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</si>
  <si>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</si>
  <si>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</si>
  <si>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</si>
  <si>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</si>
  <si>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</si>
  <si>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</si>
  <si>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</si>
  <si>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</si>
  <si>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</si>
  <si>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</si>
  <si>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</si>
  <si>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</si>
  <si>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</si>
  <si>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</si>
  <si>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</si>
  <si>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</si>
  <si>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</si>
  <si>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</si>
  <si>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</si>
  <si>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Siria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</si>
  <si>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</si>
  <si>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</si>
  <si>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</si>
  <si>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</si>
  <si>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</si>
  <si>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</si>
  <si>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</si>
  <si>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</si>
  <si>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</si>
  <si>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</si>
  <si>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</si>
  <si>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</si>
  <si>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</si>
  <si>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</si>
  <si>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</si>
  <si>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</si>
  <si>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</si>
  <si>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</si>
  <si>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</si>
  <si>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</si>
  <si>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</si>
  <si>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</si>
  <si>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</si>
  <si>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</si>
  <si>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</si>
  <si>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</si>
  <si>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</si>
  <si>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</si>
  <si>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</si>
  <si>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</si>
  <si>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Sri Lanka</t>
  </si>
  <si>
    <t>ins.Faroe</t>
  </si>
  <si>
    <t>Uruguay</t>
  </si>
  <si>
    <t>Tunisia</t>
  </si>
  <si>
    <t>Columbia</t>
  </si>
  <si>
    <t>Australia</t>
  </si>
  <si>
    <t>Noua Zeelandă</t>
  </si>
  <si>
    <t>de 2,1 ori</t>
  </si>
  <si>
    <t>de 2,8 ori</t>
  </si>
  <si>
    <t>2017¹</t>
  </si>
  <si>
    <t>Algeria</t>
  </si>
  <si>
    <t>Mongolia</t>
  </si>
  <si>
    <t>de 2,5 ori</t>
  </si>
  <si>
    <t>Madagascar</t>
  </si>
  <si>
    <t>Peru</t>
  </si>
  <si>
    <t>Kenya</t>
  </si>
  <si>
    <t>de 2,2 ori</t>
  </si>
  <si>
    <t>mii dolari        SUA</t>
  </si>
  <si>
    <t>mii dolari         SUA</t>
  </si>
  <si>
    <t>EXPORT - total</t>
  </si>
  <si>
    <t xml:space="preserve">IMPORT - total </t>
  </si>
  <si>
    <t>de 2,6 ori</t>
  </si>
  <si>
    <t>BALANŢA COMERCIALĂ – total, mii dolari SUA</t>
  </si>
  <si>
    <t>Franța</t>
  </si>
  <si>
    <t>Croația</t>
  </si>
  <si>
    <t>San Marino</t>
  </si>
  <si>
    <t>Oman</t>
  </si>
  <si>
    <t>Rep.Yemen</t>
  </si>
  <si>
    <t>Ghana</t>
  </si>
  <si>
    <t>Elveția</t>
  </si>
  <si>
    <t>Bosnia și Herțegovina</t>
  </si>
  <si>
    <t>de 3,1 ori</t>
  </si>
  <si>
    <t>Regatul Unit al Marii Britanii și Irlandei de Nord</t>
  </si>
  <si>
    <t>Federația Rusă</t>
  </si>
  <si>
    <t>Albania</t>
  </si>
  <si>
    <t>de 3,0 ori</t>
  </si>
  <si>
    <t>de 1,8 ori</t>
  </si>
  <si>
    <t>de 1,7 ori</t>
  </si>
  <si>
    <t>de 1,6 ori</t>
  </si>
  <si>
    <t>de 1,9 ori</t>
  </si>
  <si>
    <t>mii dolari            SUA</t>
  </si>
  <si>
    <t>Gradul de influenţă a grupelor de mărfuri  la creşterea (+),  scăderea (-) exporturilor, %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</si>
  <si>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</si>
  <si>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</si>
  <si>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Panama</t>
  </si>
  <si>
    <t>ins.Virgine Britanice</t>
  </si>
  <si>
    <t>ins.Seychelles</t>
  </si>
  <si>
    <t>Guatemala</t>
  </si>
  <si>
    <t>Qatar</t>
  </si>
  <si>
    <t>Afganistan</t>
  </si>
  <si>
    <t xml:space="preserve">. </t>
  </si>
  <si>
    <t>Gibraltar</t>
  </si>
  <si>
    <t>de 3,7 ori</t>
  </si>
  <si>
    <t>Jamaica</t>
  </si>
  <si>
    <t>Rep.Dominicană</t>
  </si>
  <si>
    <t>de 3,4 ori</t>
  </si>
  <si>
    <t>Ponderea, %</t>
  </si>
  <si>
    <t>Libia</t>
  </si>
  <si>
    <t>Zambia</t>
  </si>
  <si>
    <t>de 548,1 ori</t>
  </si>
  <si>
    <t>de 2,7 ori</t>
  </si>
  <si>
    <t>Swaziland</t>
  </si>
  <si>
    <t>Senegal</t>
  </si>
  <si>
    <t>de 2,9 ori</t>
  </si>
  <si>
    <t>de 3,2 ori</t>
  </si>
  <si>
    <t>de 9,0 ori</t>
  </si>
  <si>
    <t>ins.Bahamas</t>
  </si>
  <si>
    <t>de 5,1 ori</t>
  </si>
  <si>
    <t>de 3,5 ori</t>
  </si>
  <si>
    <t>Ianuarie-august 2017</t>
  </si>
  <si>
    <t>în % faţă de ianuarie-august 2016¹</t>
  </si>
  <si>
    <t>ianuarie-august</t>
  </si>
  <si>
    <t>Ianuarie-august</t>
  </si>
  <si>
    <t>Ianuarie-august 2017 în % faţă de              ianuarie-august 2016</t>
  </si>
  <si>
    <t>Bosnia si Hertegovina</t>
  </si>
  <si>
    <t>Guinea</t>
  </si>
  <si>
    <t>Somalia</t>
  </si>
  <si>
    <t>de 2,3 ori</t>
  </si>
  <si>
    <t>de 10,4 ori</t>
  </si>
  <si>
    <t>de 7,4 ori</t>
  </si>
  <si>
    <t>de 4,7 ori</t>
  </si>
  <si>
    <t>Etiopia</t>
  </si>
  <si>
    <t>Cuba</t>
  </si>
  <si>
    <t>de 6,6 ori</t>
  </si>
  <si>
    <t>de 11,2 ori</t>
  </si>
  <si>
    <t>de 4,2 ori</t>
  </si>
  <si>
    <t>de 12,0 ori</t>
  </si>
  <si>
    <t>de 44,9 ori</t>
  </si>
  <si>
    <t>de 175,6 ori</t>
  </si>
  <si>
    <t>de 178,8 ori</t>
  </si>
  <si>
    <t>de 14,5 ori</t>
  </si>
  <si>
    <t>de 2,0  ori</t>
  </si>
  <si>
    <t>de 75,6 ori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</si>
</sst>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#,##0.0"/>
  </numFmts>
  <fonts count="59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65" fontId="14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4" fontId="14" fillId="0" borderId="0" xfId="0" applyNumberFormat="1" applyFont="1" applyFill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/>
      <protection/>
    </xf>
    <xf numFmtId="4" fontId="14" fillId="0" borderId="0" xfId="0" applyNumberFormat="1" applyFont="1" applyFill="1" applyBorder="1" applyAlignment="1" applyProtection="1">
      <alignment horizontal="right" vertical="top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2" fontId="16" fillId="0" borderId="0" xfId="0" applyNumberFormat="1" applyFont="1" applyFill="1" applyAlignment="1" applyProtection="1">
      <alignment horizontal="right"/>
      <protection/>
    </xf>
    <xf numFmtId="0" fontId="15" fillId="0" borderId="0" xfId="0" applyFont="1" applyAlignment="1">
      <alignment horizontal="left" vertical="top" wrapText="1"/>
    </xf>
    <xf numFmtId="4" fontId="15" fillId="0" borderId="14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Border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/>
    </xf>
    <xf numFmtId="2" fontId="5" fillId="0" borderId="0" xfId="0" applyNumberFormat="1" applyFont="1" applyAlignment="1">
      <alignment horizontal="right" vertical="top" wrapText="1" inden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right" vertical="top"/>
      <protection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164" fontId="15" fillId="0" borderId="14" xfId="0" applyNumberFormat="1" applyFont="1" applyFill="1" applyBorder="1" applyAlignment="1" applyProtection="1">
      <alignment horizontal="right" vertical="top"/>
      <protection/>
    </xf>
    <xf numFmtId="164" fontId="14" fillId="0" borderId="0" xfId="0" applyNumberFormat="1" applyFont="1" applyFill="1" applyAlignment="1" applyProtection="1">
      <alignment horizontal="right" vertical="top"/>
      <protection/>
    </xf>
    <xf numFmtId="164" fontId="11" fillId="0" borderId="0" xfId="0" applyNumberFormat="1" applyFont="1" applyFill="1" applyAlignment="1" applyProtection="1">
      <alignment horizontal="right" vertical="top"/>
      <protection/>
    </xf>
    <xf numFmtId="4" fontId="15" fillId="0" borderId="14" xfId="56" applyNumberFormat="1" applyFont="1" applyFill="1" applyBorder="1" applyAlignment="1" applyProtection="1">
      <alignment horizontal="right" vertical="top"/>
      <protection/>
    </xf>
    <xf numFmtId="4" fontId="14" fillId="0" borderId="0" xfId="56" applyNumberFormat="1" applyFont="1" applyFill="1" applyAlignment="1" applyProtection="1">
      <alignment horizontal="right" vertical="top"/>
      <protection/>
    </xf>
    <xf numFmtId="4" fontId="11" fillId="0" borderId="0" xfId="56" applyNumberFormat="1" applyFont="1" applyFill="1" applyAlignment="1" applyProtection="1">
      <alignment horizontal="right" vertical="top"/>
      <protection/>
    </xf>
    <xf numFmtId="0" fontId="9" fillId="0" borderId="14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8" fontId="22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5.75"/>
  <cols>
    <col min="1" max="1" width="33.00390625" style="16" customWidth="1"/>
    <col min="2" max="2" width="11.875" style="16" customWidth="1"/>
    <col min="3" max="3" width="10.00390625" style="16" customWidth="1"/>
    <col min="4" max="4" width="7.375" style="16" customWidth="1"/>
    <col min="5" max="5" width="7.625" style="16" customWidth="1"/>
    <col min="6" max="6" width="9.75390625" style="16" customWidth="1"/>
    <col min="7" max="7" width="10.00390625" style="16" customWidth="1"/>
  </cols>
  <sheetData>
    <row r="1" spans="1:7" ht="15.75">
      <c r="A1" s="55" t="s">
        <v>28</v>
      </c>
      <c r="B1" s="55"/>
      <c r="C1" s="55"/>
      <c r="D1" s="55"/>
      <c r="E1" s="55"/>
      <c r="F1" s="55"/>
      <c r="G1" s="55"/>
    </row>
    <row r="3" spans="1:7" ht="55.5" customHeight="1">
      <c r="A3" s="56"/>
      <c r="B3" s="59" t="s">
        <v>246</v>
      </c>
      <c r="C3" s="60"/>
      <c r="D3" s="59" t="s">
        <v>233</v>
      </c>
      <c r="E3" s="60"/>
      <c r="F3" s="61" t="s">
        <v>1</v>
      </c>
      <c r="G3" s="62"/>
    </row>
    <row r="4" spans="1:7" ht="21.75" customHeight="1">
      <c r="A4" s="57"/>
      <c r="B4" s="63" t="s">
        <v>194</v>
      </c>
      <c r="C4" s="65" t="s">
        <v>247</v>
      </c>
      <c r="D4" s="67" t="s">
        <v>248</v>
      </c>
      <c r="E4" s="67"/>
      <c r="F4" s="67" t="s">
        <v>248</v>
      </c>
      <c r="G4" s="59"/>
    </row>
    <row r="5" spans="1:7" ht="23.25" customHeight="1">
      <c r="A5" s="58"/>
      <c r="B5" s="64"/>
      <c r="C5" s="66"/>
      <c r="D5" s="45">
        <v>2016</v>
      </c>
      <c r="E5" s="45">
        <v>2017</v>
      </c>
      <c r="F5" s="45" t="s">
        <v>2</v>
      </c>
      <c r="G5" s="44" t="s">
        <v>186</v>
      </c>
    </row>
    <row r="6" spans="1:7" ht="15.75" customHeight="1">
      <c r="A6" s="33" t="s">
        <v>31</v>
      </c>
      <c r="B6" s="34">
        <f>IF(1427899.35432="","-",1427899.35432)</f>
        <v>1427899.35432</v>
      </c>
      <c r="C6" s="34">
        <f>IF(1239054.72912="","-",1427899.35432/1239054.72912*100)</f>
        <v>115.24102372250505</v>
      </c>
      <c r="D6" s="34">
        <v>100</v>
      </c>
      <c r="E6" s="34">
        <v>100</v>
      </c>
      <c r="F6" s="34">
        <f>IF(1284225.24461="","-",(1239054.72912-1284225.24461)/1284225.24461*100)</f>
        <v>-3.5173358941185984</v>
      </c>
      <c r="G6" s="34">
        <f>IF(1239054.72912="","-",(1427899.35432-1239054.72912)/1239054.72912*100)</f>
        <v>15.241023722505052</v>
      </c>
    </row>
    <row r="7" spans="1:7" ht="13.5" customHeight="1">
      <c r="A7" s="14" t="s">
        <v>3</v>
      </c>
      <c r="B7" s="35"/>
      <c r="C7" s="36"/>
      <c r="D7" s="37"/>
      <c r="E7" s="37"/>
      <c r="F7" s="37"/>
      <c r="G7" s="37"/>
    </row>
    <row r="8" spans="1:7" ht="15.75">
      <c r="A8" s="15" t="s">
        <v>4</v>
      </c>
      <c r="B8" s="26">
        <f>IF(915754.48542="","-",915754.48542)</f>
        <v>915754.48542</v>
      </c>
      <c r="C8" s="26">
        <f>IF(784422.0336="","-",915754.48542/784422.0336*100)</f>
        <v>116.74257557723963</v>
      </c>
      <c r="D8" s="26">
        <f>IF(784422.0336="","-",784422.0336/1239054.72912*100)</f>
        <v>63.30810214954033</v>
      </c>
      <c r="E8" s="26">
        <f>IF(915754.48542="","-",915754.48542/1427899.35432*100)</f>
        <v>64.13298546914075</v>
      </c>
      <c r="F8" s="26">
        <f>IF(1284225.24461="","-",(784422.0336-795128.44232)/1284225.24461*100)</f>
        <v>-0.8336862061336788</v>
      </c>
      <c r="G8" s="26">
        <f>IF(1239054.72912="","-",(915754.48542-784422.0336)/1239054.72912*100)</f>
        <v>10.599406848902861</v>
      </c>
    </row>
    <row r="9" spans="1:7" s="29" customFormat="1" ht="15.75">
      <c r="A9" s="47" t="s">
        <v>5</v>
      </c>
      <c r="B9" s="27">
        <f>IF(349125.72461="","-",349125.72461)</f>
        <v>349125.72461</v>
      </c>
      <c r="C9" s="27">
        <f>IF(OR(301495.68633="",349125.72461=""),"-",349125.72461/301495.68633*100)</f>
        <v>115.79791699834368</v>
      </c>
      <c r="D9" s="27">
        <f>IF(301495.68633="","-",301495.68633/1239054.72912*100)</f>
        <v>24.332717453419342</v>
      </c>
      <c r="E9" s="27">
        <f>IF(349125.72461="","-",349125.72461/1427899.35432*100)</f>
        <v>24.450303416255977</v>
      </c>
      <c r="F9" s="27">
        <f>IF(OR(1284225.24461="",291783.285="",301495.68633=""),"-",(301495.68633-291783.285)/1284225.24461*100)</f>
        <v>0.7562848784326408</v>
      </c>
      <c r="G9" s="27">
        <f>IF(OR(1239054.72912="",349125.72461="",301495.68633=""),"-",(349125.72461-301495.68633)/1239054.72912*100)</f>
        <v>3.8440625067326715</v>
      </c>
    </row>
    <row r="10" spans="1:7" s="29" customFormat="1" ht="15.75">
      <c r="A10" s="47" t="s">
        <v>6</v>
      </c>
      <c r="B10" s="27">
        <f>IF(132247.15649="","-",132247.15649)</f>
        <v>132247.15649</v>
      </c>
      <c r="C10" s="27">
        <f>IF(OR(125081.21264="",132247.15649=""),"-",132247.15649/125081.21264*100)</f>
        <v>105.72903292089477</v>
      </c>
      <c r="D10" s="27">
        <f>IF(125081.21264="","-",125081.21264/1239054.72912*100)</f>
        <v>10.094890056134568</v>
      </c>
      <c r="E10" s="27">
        <f>IF(132247.15649="","-",132247.15649/1427899.35432*100)</f>
        <v>9.261658119663432</v>
      </c>
      <c r="F10" s="27">
        <f>IF(OR(1284225.24461="",137086.68948="",125081.21264=""),"-",(125081.21264-137086.68948)/1284225.24461*100)</f>
        <v>-0.9348419905610784</v>
      </c>
      <c r="G10" s="27">
        <f>IF(OR(1239054.72912="",132247.15649="",125081.21264=""),"-",(132247.15649-125081.21264)/1239054.72912*100)</f>
        <v>0.5783395746440825</v>
      </c>
    </row>
    <row r="11" spans="1:7" s="29" customFormat="1" ht="15.75">
      <c r="A11" s="47" t="s">
        <v>7</v>
      </c>
      <c r="B11" s="27">
        <f>IF(95606.99673="","-",95606.99673)</f>
        <v>95606.99673</v>
      </c>
      <c r="C11" s="27">
        <f>IF(OR(78645.05077="",95606.99673=""),"-",95606.99673/78645.05077*100)</f>
        <v>121.56772205488906</v>
      </c>
      <c r="D11" s="27">
        <f>IF(78645.05077="","-",78645.05077/1239054.72912*100)</f>
        <v>6.347181357021671</v>
      </c>
      <c r="E11" s="27">
        <f>IF(95606.99673="","-",95606.99673/1427899.35432*100)</f>
        <v>6.695639748050055</v>
      </c>
      <c r="F11" s="27">
        <f>IF(OR(1284225.24461="",76752.39497="",78645.05077=""),"-",(78645.05077-76752.39497)/1284225.24461*100)</f>
        <v>0.14737724616017644</v>
      </c>
      <c r="G11" s="27">
        <f>IF(OR(1239054.72912="",95606.99673="",78645.05077=""),"-",(95606.99673-78645.05077)/1239054.72912*100)</f>
        <v>1.3689424334021703</v>
      </c>
    </row>
    <row r="12" spans="1:7" s="29" customFormat="1" ht="15.75">
      <c r="A12" s="47" t="s">
        <v>209</v>
      </c>
      <c r="B12" s="27">
        <f>IF(86674.34577="","-",86674.34577)</f>
        <v>86674.34577</v>
      </c>
      <c r="C12" s="27">
        <f>IF(OR(76820.97689="",86674.34577=""),"-",86674.34577/76820.97689*100)</f>
        <v>112.82640403559179</v>
      </c>
      <c r="D12" s="27">
        <f>IF(76820.97689="","-",76820.97689/1239054.72912*100)</f>
        <v>6.19996640056083</v>
      </c>
      <c r="E12" s="27">
        <f>IF(86674.34577="","-",86674.34577/1427899.35432*100)</f>
        <v>6.070059875562897</v>
      </c>
      <c r="F12" s="27">
        <f>IF(OR(1284225.24461="",96676.91906="",76820.97689=""),"-",(76820.97689-96676.91906)/1284225.24461*100)</f>
        <v>-1.5461417109916686</v>
      </c>
      <c r="G12" s="27">
        <f>IF(OR(1239054.72912="",86674.34577="",76820.97689=""),"-",(86674.34577-76820.97689)/1239054.72912*100)</f>
        <v>0.7952327406068691</v>
      </c>
    </row>
    <row r="13" spans="1:7" s="29" customFormat="1" ht="15.75">
      <c r="A13" s="47" t="s">
        <v>9</v>
      </c>
      <c r="B13" s="27">
        <f>IF(52506.9555099999="","-",52506.9555099999)</f>
        <v>52506.9555099999</v>
      </c>
      <c r="C13" s="27">
        <f>IF(OR(38367.69264="",52506.9555099999=""),"-",52506.9555099999/38367.69264*100)</f>
        <v>136.85200202854807</v>
      </c>
      <c r="D13" s="27">
        <f>IF(38367.69264="","-",38367.69264/1239054.72912*100)</f>
        <v>3.0965292927173165</v>
      </c>
      <c r="E13" s="27">
        <f>IF(52506.9555099999="","-",52506.9555099999/1427899.35432*100)</f>
        <v>3.677216839628376</v>
      </c>
      <c r="F13" s="27">
        <f>IF(OR(1284225.24461="",17706.11183="",38367.69264=""),"-",(38367.69264-17706.11183)/1284225.24461*100)</f>
        <v>1.608875148399268</v>
      </c>
      <c r="G13" s="27">
        <f>IF(OR(1239054.72912="",52506.9555099999="",38367.69264=""),"-",(52506.9555099999-38367.69264)/1239054.72912*100)</f>
        <v>1.1411330377667714</v>
      </c>
    </row>
    <row r="14" spans="1:7" s="29" customFormat="1" ht="15.75">
      <c r="A14" s="47" t="s">
        <v>8</v>
      </c>
      <c r="B14" s="27">
        <f>IF(46837.67167="","-",46837.67167)</f>
        <v>46837.67167</v>
      </c>
      <c r="C14" s="27">
        <f>IF(OR(42617.96319="",46837.67167=""),"-",46837.67167/42617.96319*100)</f>
        <v>109.90124389846517</v>
      </c>
      <c r="D14" s="27">
        <f>IF(42617.96319="","-",42617.96319/1239054.72912*100)</f>
        <v>3.439554540118505</v>
      </c>
      <c r="E14" s="27">
        <f>IF(46837.67167="","-",46837.67167/1427899.35432*100)</f>
        <v>3.2801801841492693</v>
      </c>
      <c r="F14" s="27">
        <f>IF(OR(1284225.24461="",35725.50335="",42617.96319=""),"-",(42617.96319-35725.50335)/1284225.24461*100)</f>
        <v>0.5367017872392892</v>
      </c>
      <c r="G14" s="27">
        <f>IF(OR(1239054.72912="",46837.67167="",42617.96319=""),"-",(46837.67167-42617.96319)/1239054.72912*100)</f>
        <v>0.34055868403786466</v>
      </c>
    </row>
    <row r="15" spans="1:7" s="31" customFormat="1" ht="15.75">
      <c r="A15" s="47" t="s">
        <v>200</v>
      </c>
      <c r="B15" s="27">
        <f>IF(24002.11956="","-",24002.11956)</f>
        <v>24002.11956</v>
      </c>
      <c r="C15" s="27">
        <f>IF(OR(27870.50241="",24002.11956=""),"-",24002.11956/27870.50241*100)</f>
        <v>86.1201538705954</v>
      </c>
      <c r="D15" s="27">
        <f>IF(27870.50241="","-",27870.50241/1239054.72912*100)</f>
        <v>2.249335865074673</v>
      </c>
      <c r="E15" s="27">
        <f>IF(24002.11956="","-",24002.11956/1427899.35432*100)</f>
        <v>1.6809391703542291</v>
      </c>
      <c r="F15" s="27">
        <f>IF(OR(1284225.24461="",27679.23202="",27870.50241=""),"-",(27870.50241-27679.23202)/1284225.24461*100)</f>
        <v>0.014893835080939204</v>
      </c>
      <c r="G15" s="27">
        <f>IF(OR(1239054.72912="",24002.11956="",27870.50241=""),"-",(24002.11956-27870.50241)/1239054.72912*100)</f>
        <v>-0.31220435700587656</v>
      </c>
    </row>
    <row r="16" spans="1:7" s="29" customFormat="1" ht="15.75">
      <c r="A16" s="47" t="s">
        <v>12</v>
      </c>
      <c r="B16" s="27">
        <f>IF(20170.43962="","-",20170.43962)</f>
        <v>20170.43962</v>
      </c>
      <c r="C16" s="27">
        <f>IF(OR(13442.74584="",20170.43962=""),"-",20170.43962/13442.74584*100)</f>
        <v>150.04702060185647</v>
      </c>
      <c r="D16" s="27">
        <f>IF(13442.74584="","-",13442.74584/1239054.72912*100)</f>
        <v>1.084919457072513</v>
      </c>
      <c r="E16" s="27">
        <f>IF(20170.43962="","-",20170.43962/1427899.35432*100)</f>
        <v>1.4125953316650703</v>
      </c>
      <c r="F16" s="27">
        <f>IF(OR(1284225.24461="",15954.28904="",13442.74584=""),"-",(13442.74584-15954.28904)/1284225.24461*100)</f>
        <v>-0.19556874547834624</v>
      </c>
      <c r="G16" s="27">
        <f>IF(OR(1239054.72912="",20170.43962="",13442.74584=""),"-",(20170.43962-13442.74584)/1239054.72912*100)</f>
        <v>0.5429698641946298</v>
      </c>
    </row>
    <row r="17" spans="1:7" s="29" customFormat="1" ht="15.75">
      <c r="A17" s="47" t="s">
        <v>11</v>
      </c>
      <c r="B17" s="27">
        <f>IF(19995.0708="","-",19995.0708)</f>
        <v>19995.0708</v>
      </c>
      <c r="C17" s="27">
        <f>IF(OR(14648.87627="",19995.0708=""),"-",19995.0708/14648.87627*100)</f>
        <v>136.4955948255818</v>
      </c>
      <c r="D17" s="27">
        <f>IF(14648.87627="","-",14648.87627/1239054.72912*100)</f>
        <v>1.1822622460271717</v>
      </c>
      <c r="E17" s="27">
        <f>IF(19995.0708="","-",19995.0708/1427899.35432*100)</f>
        <v>1.4003137363642928</v>
      </c>
      <c r="F17" s="27">
        <f>IF(OR(1284225.24461="",9632.20548="",14648.87627=""),"-",(14648.87627-9632.20548)/1284225.24461*100)</f>
        <v>0.39063792049372836</v>
      </c>
      <c r="G17" s="27">
        <f>IF(OR(1239054.72912="",19995.0708="",14648.87627=""),"-",(19995.0708-14648.87627)/1239054.72912*100)</f>
        <v>0.43147363908589964</v>
      </c>
    </row>
    <row r="18" spans="1:7" s="29" customFormat="1" ht="15.75">
      <c r="A18" s="47" t="s">
        <v>10</v>
      </c>
      <c r="B18" s="27">
        <f>IF(19460.93556="","-",19460.93556)</f>
        <v>19460.93556</v>
      </c>
      <c r="C18" s="27">
        <f>IF(OR(18766.57792="",19460.93556=""),"-",19460.93556/18766.57792*100)</f>
        <v>103.69996939751071</v>
      </c>
      <c r="D18" s="27">
        <f>IF(18766.57792="","-",18766.57792/1239054.72912*100)</f>
        <v>1.514588296945396</v>
      </c>
      <c r="E18" s="27">
        <f>IF(19460.93556="","-",19460.93556/1427899.35432*100)</f>
        <v>1.362906671336634</v>
      </c>
      <c r="F18" s="27">
        <f>IF(OR(1284225.24461="",17919.77486="",18766.57792=""),"-",(18766.57792-17919.77486)/1284225.24461*100)</f>
        <v>0.06593882681827827</v>
      </c>
      <c r="G18" s="27">
        <f>IF(OR(1239054.72912="",19460.93556="",18766.57792=""),"-",(19460.93556-18766.57792)/1239054.72912*100)</f>
        <v>0.056039303485258304</v>
      </c>
    </row>
    <row r="19" spans="1:7" s="29" customFormat="1" ht="15.75">
      <c r="A19" s="47" t="s">
        <v>13</v>
      </c>
      <c r="B19" s="27">
        <f>IF(14651.06905="","-",14651.06905)</f>
        <v>14651.06905</v>
      </c>
      <c r="C19" s="27">
        <f>IF(OR(12115.97624="",14651.06905=""),"-",14651.06905/12115.97624*100)</f>
        <v>120.92355382499495</v>
      </c>
      <c r="D19" s="27">
        <f>IF(12115.97624="","-",12115.97624/1239054.72912*100)</f>
        <v>0.9778402805988234</v>
      </c>
      <c r="E19" s="27">
        <f>IF(14651.06905="","-",14651.06905/1427899.35432*100)</f>
        <v>1.0260575442992055</v>
      </c>
      <c r="F19" s="27">
        <f>IF(OR(1284225.24461="",18273.88359="",12115.97624=""),"-",(12115.97624-18273.88359)/1284225.24461*100)</f>
        <v>-0.4795036833176462</v>
      </c>
      <c r="G19" s="27">
        <f>IF(OR(1239054.72912="",14651.06905="",12115.97624=""),"-",(14651.06905-12115.97624)/1239054.72912*100)</f>
        <v>0.20459893743357654</v>
      </c>
    </row>
    <row r="20" spans="1:7" s="29" customFormat="1" ht="15.75">
      <c r="A20" s="47" t="s">
        <v>123</v>
      </c>
      <c r="B20" s="27">
        <f>IF(14431.01796="","-",14431.01796)</f>
        <v>14431.01796</v>
      </c>
      <c r="C20" s="27" t="s">
        <v>229</v>
      </c>
      <c r="D20" s="27">
        <f>IF(3905.21075="","-",3905.21075/1239054.72912*100)</f>
        <v>0.315176614738685</v>
      </c>
      <c r="E20" s="27">
        <f>IF(14431.01796="","-",14431.01796/1427899.35432*100)</f>
        <v>1.0106467179454954</v>
      </c>
      <c r="F20" s="27">
        <f>IF(OR(1284225.24461="",7693.75916="",3905.21075=""),"-",(3905.21075-7693.75916)/1284225.24461*100)</f>
        <v>-0.295006536112014</v>
      </c>
      <c r="G20" s="27">
        <f>IF(OR(1239054.72912="",14431.01796="",3905.21075=""),"-",(14431.01796-3905.21075)/1239054.72912*100)</f>
        <v>0.849503009239602</v>
      </c>
    </row>
    <row r="21" spans="1:7" s="29" customFormat="1" ht="15.75">
      <c r="A21" s="47" t="s">
        <v>124</v>
      </c>
      <c r="B21" s="27">
        <f>IF(8206.10559="","-",8206.10559)</f>
        <v>8206.10559</v>
      </c>
      <c r="C21" s="27">
        <f>IF(OR(6315.97463="",8206.10559=""),"-",8206.10559/6315.97463*100)</f>
        <v>129.92619620449614</v>
      </c>
      <c r="D21" s="27">
        <f>IF(6315.97463="","-",6315.97463/1239054.72912*100)</f>
        <v>0.5097413763543539</v>
      </c>
      <c r="E21" s="27">
        <f>IF(8206.10559="","-",8206.10559/1427899.35432*100)</f>
        <v>0.5746977589963226</v>
      </c>
      <c r="F21" s="27">
        <f>IF(OR(1284225.24461="",6295.69696="",6315.97463=""),"-",(6315.97463-6295.69696)/1284225.24461*100)</f>
        <v>0.001578980796796088</v>
      </c>
      <c r="G21" s="27">
        <f>IF(OR(1239054.72912="",8206.10559="",6315.97463=""),"-",(8206.10559-6315.97463)/1239054.72912*100)</f>
        <v>0.15254620442330308</v>
      </c>
    </row>
    <row r="22" spans="1:7" s="16" customFormat="1" ht="15.75">
      <c r="A22" s="47" t="s">
        <v>125</v>
      </c>
      <c r="B22" s="27">
        <f>IF(6285.8914="","-",6285.8914)</f>
        <v>6285.8914</v>
      </c>
      <c r="C22" s="27" t="s">
        <v>215</v>
      </c>
      <c r="D22" s="27">
        <f>IF(3972.69728="","-",3972.69728/1239054.72912*100)</f>
        <v>0.3206232288723424</v>
      </c>
      <c r="E22" s="27">
        <f>IF(6285.8914="","-",6285.8914/1427899.35432*100)</f>
        <v>0.44021950013371175</v>
      </c>
      <c r="F22" s="27">
        <f>IF(OR(1284225.24461="",3053.84435="",3972.69728=""),"-",(3972.69728-3053.84435)/1284225.24461*100)</f>
        <v>0.07154920321466207</v>
      </c>
      <c r="G22" s="27">
        <f>IF(OR(1239054.72912="",6285.8914="",3972.69728=""),"-",(6285.8914-3972.69728)/1239054.72912*100)</f>
        <v>0.18669022970784144</v>
      </c>
    </row>
    <row r="23" spans="1:7" s="16" customFormat="1" ht="15.75">
      <c r="A23" s="47" t="s">
        <v>127</v>
      </c>
      <c r="B23" s="27">
        <f>IF(5953.53583="","-",5953.53583)</f>
        <v>5953.53583</v>
      </c>
      <c r="C23" s="27">
        <f>IF(OR(4670.06782="",5953.53583=""),"-",5953.53583/4670.06782*100)</f>
        <v>127.48285591278628</v>
      </c>
      <c r="D23" s="27">
        <f>IF(4670.06782="","-",4670.06782/1239054.72912*100)</f>
        <v>0.37690569352951586</v>
      </c>
      <c r="E23" s="27">
        <f>IF(5953.53583="","-",5953.53583/1427899.35432*100)</f>
        <v>0.41694366006876005</v>
      </c>
      <c r="F23" s="27">
        <f>IF(OR(1284225.24461="",5693.44416="",4670.06782=""),"-",(4670.06782-5693.44416)/1284225.24461*100)</f>
        <v>-0.07968822792537332</v>
      </c>
      <c r="G23" s="27">
        <f>IF(OR(1239054.72912="",5953.53583="",4670.06782=""),"-",(5953.53583-4670.06782)/1239054.72912*100)</f>
        <v>0.1035844486798047</v>
      </c>
    </row>
    <row r="24" spans="1:7" s="29" customFormat="1" ht="15.75">
      <c r="A24" s="47" t="s">
        <v>130</v>
      </c>
      <c r="B24" s="27">
        <f>IF(5728.56828="","-",5728.56828)</f>
        <v>5728.56828</v>
      </c>
      <c r="C24" s="27" t="s">
        <v>254</v>
      </c>
      <c r="D24" s="27">
        <f>IF(2489.8118="","-",2489.8118/1239054.72912*100)</f>
        <v>0.2009444572128231</v>
      </c>
      <c r="E24" s="27">
        <f>IF(5728.56828="","-",5728.56828/1427899.35432*100)</f>
        <v>0.40118851953176227</v>
      </c>
      <c r="F24" s="27">
        <f>IF(OR(1284225.24461="",5783.74564="",2489.8118=""),"-",(2489.8118-5783.74564)/1284225.24461*100)</f>
        <v>-0.25649190855147214</v>
      </c>
      <c r="G24" s="27">
        <f>IF(OR(1239054.72912="",5728.56828="",2489.8118=""),"-",(5728.56828-2489.8118)/1239054.72912*100)</f>
        <v>0.26138929975274183</v>
      </c>
    </row>
    <row r="25" spans="1:7" s="29" customFormat="1" ht="15.75">
      <c r="A25" s="47" t="s">
        <v>126</v>
      </c>
      <c r="B25" s="27">
        <f>IF(5353.54187="","-",5353.54187)</f>
        <v>5353.54187</v>
      </c>
      <c r="C25" s="27">
        <f>IF(OR(4946.02584="",5353.54187=""),"-",5353.54187/4946.02584*100)</f>
        <v>108.23926204962973</v>
      </c>
      <c r="D25" s="27">
        <f>IF(4946.02584="","-",4946.02584/1239054.72912*100)</f>
        <v>0.3991773505850513</v>
      </c>
      <c r="E25" s="27">
        <f>IF(5353.54187="","-",5353.54187/1427899.35432*100)</f>
        <v>0.3749243147847409</v>
      </c>
      <c r="F25" s="27">
        <f>IF(OR(1284225.24461="",5837.67486="",4946.02584=""),"-",(4946.02584-5837.67486)/1284225.24461*100)</f>
        <v>-0.0694308902384784</v>
      </c>
      <c r="G25" s="27">
        <f>IF(OR(1239054.72912="",5353.54187="",4946.02584=""),"-",(5353.54187-4946.02584)/1239054.72912*100)</f>
        <v>0.032889267957471525</v>
      </c>
    </row>
    <row r="26" spans="1:7" s="16" customFormat="1" ht="15.75">
      <c r="A26" s="47" t="s">
        <v>128</v>
      </c>
      <c r="B26" s="27">
        <f>IF(3165.48846="","-",3165.48846)</f>
        <v>3165.48846</v>
      </c>
      <c r="C26" s="27">
        <f>IF(OR(3145.28194="",3165.48846=""),"-",3165.48846/3145.28194*100)</f>
        <v>100.64243906859429</v>
      </c>
      <c r="D26" s="27">
        <f>IF(3145.28194="","-",3145.28194/1239054.72912*100)</f>
        <v>0.25384527947638263</v>
      </c>
      <c r="E26" s="27">
        <f>IF(3165.48846="","-",3165.48846/1427899.35432*100)</f>
        <v>0.2216884859862887</v>
      </c>
      <c r="F26" s="27">
        <f>IF(OR(1284225.24461="",8421.1968="",3145.28194=""),"-",(3145.28194-8421.1968)/1284225.24461*100)</f>
        <v>-0.41082472737110975</v>
      </c>
      <c r="G26" s="27">
        <f>IF(OR(1239054.72912="",3165.48846="",3145.28194=""),"-",(3165.48846-3145.28194)/1239054.72912*100)</f>
        <v>0.0016308012491386263</v>
      </c>
    </row>
    <row r="27" spans="1:7" s="16" customFormat="1" ht="15.75">
      <c r="A27" s="47" t="s">
        <v>129</v>
      </c>
      <c r="B27" s="27">
        <f>IF(2091.4196="","-",2091.4196)</f>
        <v>2091.4196</v>
      </c>
      <c r="C27" s="27">
        <f>IF(OR(2436.65277="",2091.4196=""),"-",2091.4196/2436.65277*100)</f>
        <v>85.8316632451492</v>
      </c>
      <c r="D27" s="27">
        <f>IF(2436.65277="","-",2436.65277/1239054.72912*100)</f>
        <v>0.1966541681117312</v>
      </c>
      <c r="E27" s="27">
        <f>IF(2091.4196="","-",2091.4196/1427899.35432*100)</f>
        <v>0.1464682782909433</v>
      </c>
      <c r="F27" s="27">
        <f>IF(OR(1284225.24461="",2377.32211="",2436.65277=""),"-",(2436.65277-2377.32211)/1284225.24461*100)</f>
        <v>0.004619957460656983</v>
      </c>
      <c r="G27" s="27">
        <f>IF(OR(1239054.72912="",2091.4196="",2436.65277=""),"-",(2091.4196-2436.65277)/1239054.72912*100)</f>
        <v>-0.027862624780520477</v>
      </c>
    </row>
    <row r="28" spans="1:7" s="16" customFormat="1" ht="15.75">
      <c r="A28" s="47" t="s">
        <v>131</v>
      </c>
      <c r="B28" s="27">
        <f>IF(1063.63752="","-",1063.63752)</f>
        <v>1063.63752</v>
      </c>
      <c r="C28" s="27">
        <f>IF(OR(1012.15242="",1063.63752=""),"-",1063.63752/1012.15242*100)</f>
        <v>105.08669435380098</v>
      </c>
      <c r="D28" s="27">
        <f>IF(1012.15242="","-",1012.15242/1239054.72912*100)</f>
        <v>0.08168746676095975</v>
      </c>
      <c r="E28" s="27">
        <f>IF(1063.63752="","-",1063.63752/1427899.35432*100)</f>
        <v>0.07448967021254307</v>
      </c>
      <c r="F28" s="27">
        <f>IF(OR(1284225.24461="",1677.00683="",1012.15242=""),"-",(1012.15242-1677.00683)/1284225.24461*100)</f>
        <v>-0.051770856614947354</v>
      </c>
      <c r="G28" s="27">
        <f>IF(OR(1239054.72912="",1063.63752="",1012.15242=""),"-",(1063.63752-1012.15242)/1239054.72912*100)</f>
        <v>0.004155191759492792</v>
      </c>
    </row>
    <row r="29" spans="1:7" s="16" customFormat="1" ht="15.75">
      <c r="A29" s="47" t="s">
        <v>133</v>
      </c>
      <c r="B29" s="27">
        <f>IF(903.48505="","-",903.48505)</f>
        <v>903.48505</v>
      </c>
      <c r="C29" s="27" t="s">
        <v>213</v>
      </c>
      <c r="D29" s="27">
        <f>IF(511.07549="","-",511.07549/1239054.72912*100)</f>
        <v>0.04124720869779299</v>
      </c>
      <c r="E29" s="27">
        <f>IF(903.48505="","-",903.48505/1427899.35432*100)</f>
        <v>0.06327372074695428</v>
      </c>
      <c r="F29" s="27">
        <f>IF(OR(1284225.24461="",1824.55301="",511.07549=""),"-",(511.07549-1824.55301)/1284225.24461*100)</f>
        <v>-0.10227781501047223</v>
      </c>
      <c r="G29" s="27">
        <f>IF(OR(1239054.72912="",903.48505="",511.07549=""),"-",(903.48505-511.07549)/1239054.72912*100)</f>
        <v>0.031670074838316194</v>
      </c>
    </row>
    <row r="30" spans="1:7" s="16" customFormat="1" ht="15.75">
      <c r="A30" s="47" t="s">
        <v>136</v>
      </c>
      <c r="B30" s="27">
        <f>IF(613.60097="","-",613.60097)</f>
        <v>613.60097</v>
      </c>
      <c r="C30" s="27" t="s">
        <v>208</v>
      </c>
      <c r="D30" s="27">
        <f>IF(197.56774="","-",197.56774/1239054.72912*100)</f>
        <v>0.015945037402852764</v>
      </c>
      <c r="E30" s="27">
        <f>IF(613.60097="","-",613.60097/1427899.35432*100)</f>
        <v>0.042972284296060315</v>
      </c>
      <c r="F30" s="27">
        <f>IF(OR(1284225.24461="",41.33259="",197.56774=""),"-",(197.56774-41.33259)/1284225.24461*100)</f>
        <v>0.012165712413436185</v>
      </c>
      <c r="G30" s="27">
        <f>IF(OR(1239054.72912="",613.60097="",197.56774=""),"-",(613.60097-197.56774)/1239054.72912*100)</f>
        <v>0.03357666293687242</v>
      </c>
    </row>
    <row r="31" spans="1:7" s="16" customFormat="1" ht="15.75">
      <c r="A31" s="47" t="s">
        <v>135</v>
      </c>
      <c r="B31" s="27">
        <f>IF(247.44813="","-",247.44813)</f>
        <v>247.44813</v>
      </c>
      <c r="C31" s="27">
        <f>IF(OR(368.05934="",247.44813=""),"-",247.44813/368.05934*100)</f>
        <v>67.23049875598863</v>
      </c>
      <c r="D31" s="27">
        <f>IF(368.05934="","-",368.05934/1239054.72912*100)</f>
        <v>0.029704849297609533</v>
      </c>
      <c r="E31" s="27">
        <f>IF(247.44813="","-",247.44813/1427899.35432*100)</f>
        <v>0.017329521807777602</v>
      </c>
      <c r="F31" s="27">
        <f>IF(OR(1284225.24461="",281.55469="",368.05934=""),"-",(368.05934-281.55469)/1284225.24461*100)</f>
        <v>0.006735940627476935</v>
      </c>
      <c r="G31" s="27">
        <f>IF(OR(1239054.72912="",247.44813="",368.05934=""),"-",(247.44813-368.05934)/1239054.72912*100)</f>
        <v>-0.009734130960111857</v>
      </c>
    </row>
    <row r="32" spans="1:7" s="16" customFormat="1" ht="15.75">
      <c r="A32" s="47" t="s">
        <v>201</v>
      </c>
      <c r="B32" s="27">
        <f>IF(229.87508="","-",229.87508)</f>
        <v>229.87508</v>
      </c>
      <c r="C32" s="27" t="s">
        <v>214</v>
      </c>
      <c r="D32" s="27">
        <f>IF(133.91955="","-",133.91955/1239054.72912*100)</f>
        <v>0.010808202967363045</v>
      </c>
      <c r="E32" s="27">
        <f>IF(229.87508="","-",229.87508/1427899.35432*100)</f>
        <v>0.016098829326067737</v>
      </c>
      <c r="F32" s="27">
        <f>IF(OR(1284225.24461="",153.16929="",133.91955=""),"-",(133.91955-153.16929)/1284225.24461*100)</f>
        <v>-0.0014989379846559443</v>
      </c>
      <c r="G32" s="27">
        <f>IF(OR(1239054.72912="",229.87508="",133.91955=""),"-",(229.87508-133.91955)/1239054.72912*100)</f>
        <v>0.007744252755336274</v>
      </c>
    </row>
    <row r="33" spans="1:7" s="16" customFormat="1" ht="15.75">
      <c r="A33" s="47" t="s">
        <v>132</v>
      </c>
      <c r="B33" s="27">
        <f>IF(82.14881="","-",82.14881)</f>
        <v>82.14881</v>
      </c>
      <c r="C33" s="27" t="s">
        <v>216</v>
      </c>
      <c r="D33" s="27">
        <f>IF(44.30125="","-",44.30125/1239054.72912*100)</f>
        <v>0.0035754070388370647</v>
      </c>
      <c r="E33" s="27">
        <f>IF(82.14881="","-",82.14881/1427899.35432*100)</f>
        <v>0.005753123268209701</v>
      </c>
      <c r="F33" s="27">
        <f>IF(OR(1284225.24461="",75.50102="",44.30125=""),"-",(44.30125-75.50102)/1284225.24461*100)</f>
        <v>-0.0024294624428968375</v>
      </c>
      <c r="G33" s="27">
        <f>IF(OR(1239054.72912="",82.14881="",44.30125=""),"-",(82.14881-44.30125)/1239054.72912*100)</f>
        <v>0.003054551111465435</v>
      </c>
    </row>
    <row r="34" spans="1:7" s="16" customFormat="1" ht="15.75">
      <c r="A34" s="47" t="s">
        <v>134</v>
      </c>
      <c r="B34" s="27">
        <f>IF(77.08266="","-",77.08266)</f>
        <v>77.08266</v>
      </c>
      <c r="C34" s="27">
        <f>IF(OR(283.37314="",77.08266=""),"-",77.08266/283.37314*100)</f>
        <v>27.201823009760208</v>
      </c>
      <c r="D34" s="27">
        <f>IF(283.37314="","-",283.37314/1239054.72912*100)</f>
        <v>0.022870106811283222</v>
      </c>
      <c r="E34" s="27">
        <f>IF(77.08266="","-",77.08266/1427899.35432*100)</f>
        <v>0.0053983258530646665</v>
      </c>
      <c r="F34" s="27">
        <f>IF(OR(1284225.24461="",81.53351="",283.37314=""),"-",(283.37314-81.53351)/1284225.24461*100)</f>
        <v>0.01571684023866823</v>
      </c>
      <c r="G34" s="27">
        <f>IF(OR(1239054.72912="",77.08266="",283.37314=""),"-",(77.08266-283.37314)/1239054.72912*100)</f>
        <v>-0.016649020834334845</v>
      </c>
    </row>
    <row r="35" spans="1:7" s="16" customFormat="1" ht="15.75">
      <c r="A35" s="47" t="s">
        <v>137</v>
      </c>
      <c r="B35" s="27">
        <f>IF(27.10437="","-",27.10437)</f>
        <v>27.10437</v>
      </c>
      <c r="C35" s="27">
        <f>IF(OR(89.31444="",27.10437=""),"-",27.10437/89.31444*100)</f>
        <v>30.34713087827679</v>
      </c>
      <c r="D35" s="27">
        <f>IF(89.31444="","-",89.31444/1239054.72912*100)</f>
        <v>0.0072082723951534255</v>
      </c>
      <c r="E35" s="27">
        <f>IF(27.10437="","-",27.10437/1427899.35432*100)</f>
        <v>0.0018981989114287227</v>
      </c>
      <c r="F35" s="27">
        <f>IF(OR(1284225.24461="",353.50797="",89.31444=""),"-",(89.31444-353.50797)/1284225.24461*100)</f>
        <v>-0.02057221123076674</v>
      </c>
      <c r="G35" s="27">
        <f>IF(OR(1239054.72912="",27.10437="",89.31444=""),"-",(27.10437-89.31444)/1239054.72912*100)</f>
        <v>-0.005020768537333517</v>
      </c>
    </row>
    <row r="36" spans="1:7" s="16" customFormat="1" ht="15.75">
      <c r="A36" s="47" t="s">
        <v>138</v>
      </c>
      <c r="B36" s="27">
        <f>IF(16.04847="","-",16.04847)</f>
        <v>16.04847</v>
      </c>
      <c r="C36" s="27">
        <f>IF(OR(27.28626="",16.04847=""),"-",16.04847/27.28626*100)</f>
        <v>58.815205894834975</v>
      </c>
      <c r="D36" s="27">
        <f>IF(27.28626="","-",27.28626/1239054.72912*100)</f>
        <v>0.0022021835967955357</v>
      </c>
      <c r="E36" s="27">
        <f>IF(16.04847="","-",16.04847/1427899.35432*100)</f>
        <v>0.0011239216511616582</v>
      </c>
      <c r="F36" s="27">
        <f>IF(OR(1284225.24461="",293.31069="",27.28626=""),"-",(27.28626-293.31069)/1284225.24461*100)</f>
        <v>-0.020714779678761702</v>
      </c>
      <c r="G36" s="27">
        <f>IF(OR(1239054.72912="",16.04847="",27.28626=""),"-",(16.04847-27.28626)/1239054.72912*100)</f>
        <v>-0.0009069647801579588</v>
      </c>
    </row>
    <row r="37" spans="1:7" s="16" customFormat="1" ht="14.25" customHeight="1">
      <c r="A37" s="15" t="s">
        <v>14</v>
      </c>
      <c r="B37" s="26">
        <f>IF(297482.88288="","-",297482.88288)</f>
        <v>297482.88288</v>
      </c>
      <c r="C37" s="26">
        <f>IF(263730.17166="","-",297482.88288/263730.17166*100)</f>
        <v>112.79819863140797</v>
      </c>
      <c r="D37" s="26">
        <f>IF(263730.17166="","-",263730.17166/1239054.72912*100)</f>
        <v>21.284787948576422</v>
      </c>
      <c r="E37" s="26">
        <f>IF(297482.88288="","-",297482.88288/1427899.35432*100)</f>
        <v>20.833603011303868</v>
      </c>
      <c r="F37" s="26">
        <f>IF(1284225.24461="","-",(263730.17166-328504.06755)/1284225.24461*100)</f>
        <v>-5.043811135302114</v>
      </c>
      <c r="G37" s="26">
        <f>IF(1239054.72912="","-",(297482.88288-263730.17166)/1239054.72912*100)</f>
        <v>2.724069439932795</v>
      </c>
    </row>
    <row r="38" spans="1:7" s="30" customFormat="1" ht="14.25" customHeight="1">
      <c r="A38" s="47" t="s">
        <v>210</v>
      </c>
      <c r="B38" s="27">
        <f>IF(162226.81766="","-",162226.81766)</f>
        <v>162226.81766</v>
      </c>
      <c r="C38" s="27">
        <f>IF(OR(145271.45061="",162226.81766=""),"-",162226.81766/145271.45061*100)</f>
        <v>111.6715066716852</v>
      </c>
      <c r="D38" s="27">
        <f>IF(145271.45061="","-",145271.45061/1239054.72912*100)</f>
        <v>11.724377236603141</v>
      </c>
      <c r="E38" s="27">
        <f>IF(162226.81766="","-",162226.81766/1427899.35432*100)</f>
        <v>11.361222145608178</v>
      </c>
      <c r="F38" s="27">
        <f>IF(OR(1284225.24461="",154982.71448="",145271.45061=""),"-",(145271.45061-154982.71448)/1284225.24461*100)</f>
        <v>-0.7561963067428379</v>
      </c>
      <c r="G38" s="27">
        <f>IF(OR(1239054.72912="",162226.81766="",145271.45061=""),"-",(162226.81766-145271.45061)/1239054.72912*100)</f>
        <v>1.3684114713836748</v>
      </c>
    </row>
    <row r="39" spans="1:7" s="30" customFormat="1" ht="14.25" customHeight="1">
      <c r="A39" s="47" t="s">
        <v>15</v>
      </c>
      <c r="B39" s="27">
        <f>IF(73560.19898="","-",73560.19898)</f>
        <v>73560.19898</v>
      </c>
      <c r="C39" s="27">
        <f>IF(OR(70350.9017="",73560.19898=""),"-",73560.19898/70350.9017*100)</f>
        <v>104.56184242482851</v>
      </c>
      <c r="D39" s="27">
        <f>IF(70350.9017="","-",70350.9017/1239054.72912*100)</f>
        <v>5.677788078817514</v>
      </c>
      <c r="E39" s="27">
        <f>IF(73560.19898="","-",73560.19898/1427899.35432*100)</f>
        <v>5.151637526654051</v>
      </c>
      <c r="F39" s="27">
        <f>IF(OR(1284225.24461="",94803.33689="",70350.9017=""),"-",(70350.9017-94803.33689)/1284225.24461*100)</f>
        <v>-1.9040612456910424</v>
      </c>
      <c r="G39" s="27">
        <f>IF(OR(1239054.72912="",73560.19898="",70350.9017=""),"-",(73560.19898-70350.9017)/1239054.72912*100)</f>
        <v>0.25901174537135274</v>
      </c>
    </row>
    <row r="40" spans="1:7" s="30" customFormat="1" ht="14.25" customHeight="1">
      <c r="A40" s="47" t="s">
        <v>16</v>
      </c>
      <c r="B40" s="27">
        <f>IF(43129.76103="","-",43129.76103)</f>
        <v>43129.76103</v>
      </c>
      <c r="C40" s="27">
        <f>IF(OR(31653.67343="",43129.76103=""),"-",43129.76103/31653.67343*100)</f>
        <v>136.25515258245971</v>
      </c>
      <c r="D40" s="27">
        <f>IF(31653.67343="","-",31653.67343/1239054.72912*100)</f>
        <v>2.554663057739268</v>
      </c>
      <c r="E40" s="27">
        <f>IF(43129.76103="","-",43129.76103/1427899.35432*100)</f>
        <v>3.020504274304363</v>
      </c>
      <c r="F40" s="27">
        <f>IF(OR(1284225.24461="",26022.7557="",31653.67343=""),"-",(31653.67343-26022.7557)/1284225.24461*100)</f>
        <v>0.43846807665815846</v>
      </c>
      <c r="G40" s="27">
        <f>IF(OR(1239054.72912="",43129.76103="",31653.67343=""),"-",(43129.76103-31653.67343)/1239054.72912*100)</f>
        <v>0.9261969895511022</v>
      </c>
    </row>
    <row r="41" spans="1:7" s="25" customFormat="1" ht="14.25" customHeight="1">
      <c r="A41" s="47" t="s">
        <v>17</v>
      </c>
      <c r="B41" s="27">
        <f>IF(9706.04138="","-",9706.04138)</f>
        <v>9706.04138</v>
      </c>
      <c r="C41" s="27">
        <f>IF(OR(8262.16627="",9706.04138=""),"-",9706.04138/8262.16627*100)</f>
        <v>117.47574501426732</v>
      </c>
      <c r="D41" s="27">
        <f>IF(8262.16627="","-",8262.16627/1239054.72912*100)</f>
        <v>0.666812052431933</v>
      </c>
      <c r="E41" s="27">
        <f>IF(9706.04138="","-",9706.04138/1427899.35432*100)</f>
        <v>0.6797426828883364</v>
      </c>
      <c r="F41" s="27">
        <f>IF(OR(1284225.24461="",42976.43333="",8262.16627=""),"-",(8262.16627-42976.43333)/1284225.24461*100)</f>
        <v>-2.7031291594444715</v>
      </c>
      <c r="G41" s="27">
        <f>IF(OR(1239054.72912="",9706.04138="",8262.16627=""),"-",(9706.04138-8262.16627)/1239054.72912*100)</f>
        <v>0.1165303740074071</v>
      </c>
    </row>
    <row r="42" spans="1:7" s="30" customFormat="1" ht="14.25" customHeight="1">
      <c r="A42" s="47" t="s">
        <v>19</v>
      </c>
      <c r="B42" s="27">
        <f>IF(3695.60929="","-",3695.60929)</f>
        <v>3695.60929</v>
      </c>
      <c r="C42" s="27">
        <f>IF(OR(3097.3458="",3695.60929=""),"-",3695.60929/3097.3458*100)</f>
        <v>119.31535994463387</v>
      </c>
      <c r="D42" s="27">
        <f>IF(3097.3458="","-",3097.3458/1239054.72912*100)</f>
        <v>0.24997651251448702</v>
      </c>
      <c r="E42" s="27">
        <f>IF(3695.60929="","-",3695.60929/1427899.35432*100)</f>
        <v>0.25881441005062555</v>
      </c>
      <c r="F42" s="27">
        <f>IF(OR(1284225.24461="",4223.80131="",3097.3458=""),"-",(3097.3458-4223.80131)/1284225.24461*100)</f>
        <v>-0.08771479261350976</v>
      </c>
      <c r="G42" s="27">
        <f>IF(OR(1239054.72912="",3695.60929="",3097.3458=""),"-",(3695.60929-3097.3458)/1239054.72912*100)</f>
        <v>0.04828386316921592</v>
      </c>
    </row>
    <row r="43" spans="1:7" s="25" customFormat="1" ht="14.25" customHeight="1">
      <c r="A43" s="47" t="s">
        <v>18</v>
      </c>
      <c r="B43" s="27">
        <f>IF(3178.9083="","-",3178.9083)</f>
        <v>3178.9083</v>
      </c>
      <c r="C43" s="27">
        <f>IF(OR(2420.49693="",3178.9083=""),"-",3178.9083/2420.49693*100)</f>
        <v>131.332878823358</v>
      </c>
      <c r="D43" s="27">
        <f>IF(2420.49693="","-",2420.49693/1239054.72912*100)</f>
        <v>0.19535028381830094</v>
      </c>
      <c r="E43" s="27">
        <f>IF(3178.9083="","-",3178.9083/1427899.35432*100)</f>
        <v>0.22262831693161406</v>
      </c>
      <c r="F43" s="27">
        <f>IF(OR(1284225.24461="",1995.92235="",2420.49693=""),"-",(2420.49693-1995.92235)/1284225.24461*100)</f>
        <v>0.033060756419637016</v>
      </c>
      <c r="G43" s="27">
        <f>IF(OR(1239054.72912="",3178.9083="",2420.49693=""),"-",(3178.9083-2420.49693)/1239054.72912*100)</f>
        <v>0.061208867709874146</v>
      </c>
    </row>
    <row r="44" spans="1:7" s="25" customFormat="1" ht="14.25" customHeight="1">
      <c r="A44" s="47" t="s">
        <v>22</v>
      </c>
      <c r="B44" s="27">
        <f>IF(631.40145="","-",631.40145)</f>
        <v>631.40145</v>
      </c>
      <c r="C44" s="27">
        <f>IF(OR(438.14658="",631.40145=""),"-",631.40145/438.14658*100)</f>
        <v>144.1073555794958</v>
      </c>
      <c r="D44" s="27">
        <f>IF(438.14658="","-",438.14658/1239054.72912*100)</f>
        <v>0.03536135811459917</v>
      </c>
      <c r="E44" s="27">
        <f>IF(631.40145="","-",631.40145/1427899.35432*100)</f>
        <v>0.04421890437093786</v>
      </c>
      <c r="F44" s="27">
        <f>IF(OR(1284225.24461="",733.48128="",438.14658=""),"-",(438.14658-733.48128)/1284225.24461*100)</f>
        <v>-0.022997110611206583</v>
      </c>
      <c r="G44" s="27">
        <f>IF(OR(1239054.72912="",631.40145="",438.14658=""),"-",(631.40145-438.14658)/1239054.72912*100)</f>
        <v>0.015596959961345146</v>
      </c>
    </row>
    <row r="45" spans="1:7" s="25" customFormat="1" ht="14.25" customHeight="1">
      <c r="A45" s="47" t="s">
        <v>20</v>
      </c>
      <c r="B45" s="27">
        <f>IF(590.01515="","-",590.01515)</f>
        <v>590.01515</v>
      </c>
      <c r="C45" s="27">
        <f>IF(OR(1105.81288="",590.01515=""),"-",590.01515/1105.81288*100)</f>
        <v>53.35578565516437</v>
      </c>
      <c r="D45" s="27">
        <f>IF(1105.81288="","-",1105.81288/1239054.72912*100)</f>
        <v>0.08924649202423601</v>
      </c>
      <c r="E45" s="27">
        <f>IF(590.01515="","-",590.01515/1427899.35432*100)</f>
        <v>0.04132049981078529</v>
      </c>
      <c r="F45" s="27">
        <f>IF(OR(1284225.24461="",1198.25833="",1105.81288=""),"-",(1105.81288-1198.25833)/1284225.24461*100)</f>
        <v>-0.007198538604345396</v>
      </c>
      <c r="G45" s="27">
        <f>IF(OR(1239054.72912="",590.01515="",1105.81288=""),"-",(590.01515-1105.81288)/1239054.72912*100)</f>
        <v>-0.041628325035031284</v>
      </c>
    </row>
    <row r="46" spans="1:7" s="25" customFormat="1" ht="14.25" customHeight="1">
      <c r="A46" s="47" t="s">
        <v>21</v>
      </c>
      <c r="B46" s="27">
        <f>IF(467.3823="","-",467.3823)</f>
        <v>467.3823</v>
      </c>
      <c r="C46" s="27">
        <f>IF(OR(856.49989="",467.3823=""),"-",467.3823/856.49989*100)</f>
        <v>54.568868654495674</v>
      </c>
      <c r="D46" s="27">
        <f>IF(856.49989="","-",856.49989/1239054.72912*100)</f>
        <v>0.0691252670177291</v>
      </c>
      <c r="E46" s="27">
        <f>IF(467.3823="","-",467.3823/1427899.35432*100)</f>
        <v>0.03273215990930808</v>
      </c>
      <c r="F46" s="27">
        <f>IF(OR(1284225.24461="",1153.04915="",856.49989=""),"-",(856.49989-1153.04915)/1284225.24461*100)</f>
        <v>-0.023091685920724723</v>
      </c>
      <c r="G46" s="27">
        <f>IF(OR(1239054.72912="",467.3823="",856.49989=""),"-",(467.3823-856.49989)/1239054.72912*100)</f>
        <v>-0.03140439085175509</v>
      </c>
    </row>
    <row r="47" spans="1:7" s="25" customFormat="1" ht="14.25" customHeight="1">
      <c r="A47" s="47" t="s">
        <v>23</v>
      </c>
      <c r="B47" s="27">
        <f>IF(296.74734="","-",296.74734)</f>
        <v>296.74734</v>
      </c>
      <c r="C47" s="27">
        <f>IF(OR(273.67757="",296.74734=""),"-",296.74734/273.67757*100)</f>
        <v>108.42954356836769</v>
      </c>
      <c r="D47" s="27">
        <f>IF(273.67757="","-",273.67757/1239054.72912*100)</f>
        <v>0.022087609495213417</v>
      </c>
      <c r="E47" s="27">
        <f>IF(296.74734="","-",296.74734/1427899.35432*100)</f>
        <v>0.020782090775670826</v>
      </c>
      <c r="F47" s="27">
        <f>IF(OR(1284225.24461="",414.31473="",273.67757=""),"-",(273.67757-414.31473)/1284225.24461*100)</f>
        <v>-0.010951128751772</v>
      </c>
      <c r="G47" s="27">
        <f>IF(OR(1239054.72912="",296.74734="",273.67757=""),"-",(296.74734-273.67757)/1239054.72912*100)</f>
        <v>0.0018618846656099355</v>
      </c>
    </row>
    <row r="48" spans="1:7" s="16" customFormat="1" ht="15.75">
      <c r="A48" s="15" t="s">
        <v>24</v>
      </c>
      <c r="B48" s="26">
        <f>IF(214661.98602="","-",214661.98602)</f>
        <v>214661.98602</v>
      </c>
      <c r="C48" s="26">
        <f>IF(190902.52386="","-",214661.98602/190902.52386*100)</f>
        <v>112.44586068302806</v>
      </c>
      <c r="D48" s="26">
        <f>IF(190902.52386="","-",190902.52386/1239054.72912*100)</f>
        <v>15.407109901883231</v>
      </c>
      <c r="E48" s="26">
        <f>IF(214661.98602="","-",214661.98602/1427899.35432*100)</f>
        <v>15.033411519555399</v>
      </c>
      <c r="F48" s="26">
        <f>IF(1284225.24461="","-",(190902.52386-160592.73474)/1284225.24461*100)</f>
        <v>2.36016144731718</v>
      </c>
      <c r="G48" s="26">
        <f>IF(1239054.72912="","-",(214661.98602-190902.52386)/1239054.72912*100)</f>
        <v>1.9175474336694105</v>
      </c>
    </row>
    <row r="49" spans="1:7" s="29" customFormat="1" ht="15.75">
      <c r="A49" s="47" t="s">
        <v>139</v>
      </c>
      <c r="B49" s="27">
        <f>IF(58926.15799="","-",58926.15799)</f>
        <v>58926.15799</v>
      </c>
      <c r="C49" s="27">
        <f>IF(OR(42709.21962="",58926.15799=""),"-",58926.15799/42709.21962*100)</f>
        <v>137.9705799222936</v>
      </c>
      <c r="D49" s="27">
        <f>IF(42709.21962="","-",42709.21962/1239054.72912*100)</f>
        <v>3.446919544089299</v>
      </c>
      <c r="E49" s="27">
        <f>IF(58926.15799="","-",58926.15799/1427899.35432*100)</f>
        <v>4.126772507580694</v>
      </c>
      <c r="F49" s="27">
        <f>IF(OR(1284225.24461="",39243.5275499999="",42709.21962=""),"-",(42709.21962-39243.5275499999)/1284225.24461*100)</f>
        <v>0.2698663715376959</v>
      </c>
      <c r="G49" s="27">
        <f>IF(OR(1239054.72912="",58926.15799="",42709.21962=""),"-",(58926.15799-42709.21962)/1239054.72912*100)</f>
        <v>1.308815340345585</v>
      </c>
    </row>
    <row r="50" spans="1:7" s="31" customFormat="1" ht="15.75">
      <c r="A50" s="47" t="s">
        <v>206</v>
      </c>
      <c r="B50" s="27">
        <f>IF(17672.52476="","-",17672.52476)</f>
        <v>17672.52476</v>
      </c>
      <c r="C50" s="27">
        <f>IF(OR(19477.1777="",17672.52476=""),"-",17672.52476/19477.1777*100)</f>
        <v>90.73452546464162</v>
      </c>
      <c r="D50" s="27">
        <f>IF(19477.1777="","-",19477.1777/1239054.72912*100)</f>
        <v>1.5719384497110196</v>
      </c>
      <c r="E50" s="27">
        <f>IF(17672.52476="","-",17672.52476/1427899.35432*100)</f>
        <v>1.2376589923185506</v>
      </c>
      <c r="F50" s="27">
        <f>IF(OR(1284225.24461="",26924.78679="",19477.1777=""),"-",(19477.1777-26924.78679)/1284225.24461*100)</f>
        <v>-0.5799301268417073</v>
      </c>
      <c r="G50" s="27">
        <f>IF(OR(1239054.72912="",17672.52476="",19477.1777=""),"-",(17672.52476-19477.1777)/1239054.72912*100)</f>
        <v>-0.1456475567694817</v>
      </c>
    </row>
    <row r="51" spans="1:7" s="16" customFormat="1" ht="15.75">
      <c r="A51" s="47" t="s">
        <v>25</v>
      </c>
      <c r="B51" s="27">
        <f>IF(11892.06208="","-",11892.06208)</f>
        <v>11892.06208</v>
      </c>
      <c r="C51" s="27">
        <f>IF(OR(11138.53635="",11892.06208=""),"-",11892.06208/11138.53635*100)</f>
        <v>106.7650336302938</v>
      </c>
      <c r="D51" s="27">
        <f>IF(11138.53635="","-",11138.53635/1239054.72912*100)</f>
        <v>0.8989543470699474</v>
      </c>
      <c r="E51" s="27">
        <f>IF(11892.06208="","-",11892.06208/1427899.35432*100)</f>
        <v>0.832836155014811</v>
      </c>
      <c r="F51" s="27">
        <f>IF(OR(1284225.24461="",15044.78459="",11138.53635=""),"-",(11138.53635-15044.78459)/1284225.24461*100)</f>
        <v>-0.30417158176845127</v>
      </c>
      <c r="G51" s="27">
        <f>IF(OR(1239054.72912="",11892.06208="",11138.53635=""),"-",(11892.06208-11138.53635)/1239054.72912*100)</f>
        <v>0.060814563900269965</v>
      </c>
    </row>
    <row r="52" spans="1:7" s="31" customFormat="1" ht="15.75">
      <c r="A52" s="47" t="s">
        <v>141</v>
      </c>
      <c r="B52" s="27">
        <f>IF(11570.26999="","-",11570.26999)</f>
        <v>11570.26999</v>
      </c>
      <c r="C52" s="27">
        <f>IF(OR(9755.13666="",11570.26999=""),"-",11570.26999/9755.13666*100)</f>
        <v>118.6069492746604</v>
      </c>
      <c r="D52" s="27">
        <f>IF(9755.13666="","-",9755.13666/1239054.72912*100)</f>
        <v>0.7873047437483478</v>
      </c>
      <c r="E52" s="27">
        <f>IF(11570.26999="","-",11570.26999/1427899.35432*100)</f>
        <v>0.8103001065862967</v>
      </c>
      <c r="F52" s="27">
        <f>IF(OR(1284225.24461="",12167.39543="",9755.13666=""),"-",(9755.13666-12167.39543)/1284225.24461*100)</f>
        <v>-0.1878376694528044</v>
      </c>
      <c r="G52" s="27">
        <f>IF(OR(1239054.72912="",11570.26999="",9755.13666=""),"-",(11570.26999-9755.13666)/1239054.72912*100)</f>
        <v>0.14649339430625008</v>
      </c>
    </row>
    <row r="53" spans="1:7" s="29" customFormat="1" ht="15.75">
      <c r="A53" s="47" t="s">
        <v>140</v>
      </c>
      <c r="B53" s="27">
        <f>IF(11524.97186="","-",11524.97186)</f>
        <v>11524.97186</v>
      </c>
      <c r="C53" s="27">
        <f>IF(OR(24354.04946="",11524.97186=""),"-",11524.97186/24354.04946*100)</f>
        <v>47.32261006092249</v>
      </c>
      <c r="D53" s="27">
        <f>IF(24354.04946="","-",24354.04946/1239054.72912*100)</f>
        <v>1.9655346037294659</v>
      </c>
      <c r="E53" s="27">
        <f>IF(11524.97186="","-",11524.97186/1427899.35432*100)</f>
        <v>0.8071277450425397</v>
      </c>
      <c r="F53" s="27">
        <f>IF(OR(1284225.24461="",8908.35251="",24354.04946=""),"-",(24354.04946-8908.35251)/1284225.24461*100)</f>
        <v>1.2027249125359332</v>
      </c>
      <c r="G53" s="27">
        <f>IF(OR(1239054.72912="",11524.97186="",24354.04946=""),"-",(11524.97186-24354.04946)/1239054.72912*100)</f>
        <v>-1.0353923275940726</v>
      </c>
    </row>
    <row r="54" spans="1:7" s="16" customFormat="1" ht="15.75">
      <c r="A54" s="47" t="s">
        <v>202</v>
      </c>
      <c r="B54" s="27">
        <f>IF(11514.30684="","-",11514.30684)</f>
        <v>11514.30684</v>
      </c>
      <c r="C54" s="27" t="str">
        <f>IF(OR(""="",11514.30684=""),"-",11514.30684/""*100)</f>
        <v>-</v>
      </c>
      <c r="D54" s="27" t="str">
        <f>IF(""="","-",""/1239054.72912*100)</f>
        <v>-</v>
      </c>
      <c r="E54" s="27">
        <f>IF(11514.30684="","-",11514.30684/1427899.35432*100)</f>
        <v>0.8063808422606501</v>
      </c>
      <c r="F54" s="27" t="str">
        <f>IF(OR(1284225.24461="",0.16492="",""=""),"-",(""-0.16492)/1284225.24461*100)</f>
        <v>-</v>
      </c>
      <c r="G54" s="27" t="str">
        <f>IF(OR(1239054.72912="",11514.30684="",""=""),"-",(11514.30684-"")/1239054.72912*100)</f>
        <v>-</v>
      </c>
    </row>
    <row r="55" spans="1:7" s="16" customFormat="1" ht="15.75">
      <c r="A55" s="47" t="s">
        <v>142</v>
      </c>
      <c r="B55" s="27">
        <f>IF(8921.62943="","-",8921.62943)</f>
        <v>8921.62943</v>
      </c>
      <c r="C55" s="27">
        <f>IF(OR(8559.41692="",8921.62943=""),"-",8921.62943/8559.41692*100)</f>
        <v>104.23174280894827</v>
      </c>
      <c r="D55" s="27">
        <f>IF(8559.41692="","-",8559.41692/1239054.72912*100)</f>
        <v>0.690802167074497</v>
      </c>
      <c r="E55" s="27">
        <f>IF(8921.62943="","-",8921.62943/1427899.35432*100)</f>
        <v>0.6248080022592836</v>
      </c>
      <c r="F55" s="27">
        <f>IF(OR(1284225.24461="",4915.30249="",8559.41692=""),"-",(8559.41692-4915.30249)/1284225.24461*100)</f>
        <v>0.2837597567322906</v>
      </c>
      <c r="G55" s="27">
        <f>IF(OR(1239054.72912="",8921.62943="",8559.41692=""),"-",(8921.62943-8559.41692)/1239054.72912*100)</f>
        <v>0.02923297102923382</v>
      </c>
    </row>
    <row r="56" spans="1:7" s="31" customFormat="1" ht="15.75">
      <c r="A56" s="47" t="s">
        <v>143</v>
      </c>
      <c r="B56" s="27">
        <f>IF(6520.2657="","-",6520.2657)</f>
        <v>6520.2657</v>
      </c>
      <c r="C56" s="27">
        <f>IF(OR(7424.73613="",6520.2657=""),"-",6520.2657/7424.73613*100)</f>
        <v>87.81814714807919</v>
      </c>
      <c r="D56" s="27">
        <f>IF(7424.73613="","-",7424.73613/1239054.72912*100)</f>
        <v>0.599225841724779</v>
      </c>
      <c r="E56" s="27">
        <f>IF(6520.2657="","-",6520.2657/1427899.35432*100)</f>
        <v>0.45663342309620325</v>
      </c>
      <c r="F56" s="27">
        <f>IF(OR(1284225.24461="",5128.09984="",7424.73613=""),"-",(7424.73613-5128.09984)/1284225.24461*100)</f>
        <v>0.17883438280310823</v>
      </c>
      <c r="G56" s="27">
        <f>IF(OR(1239054.72912="",6520.2657="",7424.73613=""),"-",(6520.2657-7424.73613)/1239054.72912*100)</f>
        <v>-0.07299681028959651</v>
      </c>
    </row>
    <row r="57" spans="1:7" s="16" customFormat="1" ht="15.75">
      <c r="A57" s="47" t="s">
        <v>144</v>
      </c>
      <c r="B57" s="27">
        <f>IF(5273.90993="","-",5273.90993)</f>
        <v>5273.90993</v>
      </c>
      <c r="C57" s="27">
        <f>IF(OR(6639.63764="",5273.90993=""),"-",5273.90993/6639.63764*100)</f>
        <v>79.43068908200237</v>
      </c>
      <c r="D57" s="27">
        <f>IF(6639.63764="","-",6639.63764/1239054.72912*100)</f>
        <v>0.5358631450214952</v>
      </c>
      <c r="E57" s="27">
        <f>IF(5273.90993="","-",5273.90993/1427899.35432*100)</f>
        <v>0.36934745534019536</v>
      </c>
      <c r="F57" s="27">
        <f>IF(OR(1284225.24461="",1836.65091="",6639.63764=""),"-",(6639.63764-1836.65091)/1284225.24461*100)</f>
        <v>0.373998778653397</v>
      </c>
      <c r="G57" s="27">
        <f>IF(OR(1239054.72912="",5273.90993="",6639.63764=""),"-",(5273.90993-6639.63764)/1239054.72912*100)</f>
        <v>-0.11022335639443187</v>
      </c>
    </row>
    <row r="58" spans="1:7" s="29" customFormat="1" ht="15.75">
      <c r="A58" s="47" t="s">
        <v>151</v>
      </c>
      <c r="B58" s="27">
        <f>IF(4903.96056="","-",4903.96056)</f>
        <v>4903.96056</v>
      </c>
      <c r="C58" s="27" t="s">
        <v>237</v>
      </c>
      <c r="D58" s="27">
        <f>IF(1847.64805="","-",1847.64805/1239054.72912*100)</f>
        <v>0.14911754957847861</v>
      </c>
      <c r="E58" s="27">
        <f>IF(4903.96056="","-",4903.96056/1427899.35432*100)</f>
        <v>0.34343881066711346</v>
      </c>
      <c r="F58" s="27">
        <f>IF(OR(1284225.24461="",1613.93312="",1847.64805=""),"-",(1847.64805-1613.93312)/1284225.24461*100)</f>
        <v>0.0181989048245953</v>
      </c>
      <c r="G58" s="27">
        <f>IF(OR(1239054.72912="",4903.96056="",1847.64805=""),"-",(4903.96056-1847.64805)/1239054.72912*100)</f>
        <v>0.24666485169469884</v>
      </c>
    </row>
    <row r="59" spans="1:7" s="16" customFormat="1" ht="15.75">
      <c r="A59" s="47" t="s">
        <v>146</v>
      </c>
      <c r="B59" s="27">
        <f>IF(3580.22734="","-",3580.22734)</f>
        <v>3580.22734</v>
      </c>
      <c r="C59" s="27">
        <f>IF(OR(3259.28604="",3580.22734=""),"-",3580.22734/3259.28604*100)</f>
        <v>109.84698170277807</v>
      </c>
      <c r="D59" s="27">
        <f>IF(3259.28604="","-",3259.28604/1239054.72912*100)</f>
        <v>0.2630461724894756</v>
      </c>
      <c r="E59" s="27">
        <f>IF(3580.22734="","-",3580.22734/1427899.35432*100)</f>
        <v>0.250733872045554</v>
      </c>
      <c r="F59" s="27">
        <f>IF(OR(1284225.24461="",2184.47095="",3259.28604=""),"-",(3259.28604-2184.47095)/1284225.24461*100)</f>
        <v>0.08369365845369325</v>
      </c>
      <c r="G59" s="27">
        <f>IF(OR(1239054.72912="",3580.22734="",3259.28604=""),"-",(3580.22734-3259.28604)/1239054.72912*100)</f>
        <v>0.02590210847489671</v>
      </c>
    </row>
    <row r="60" spans="1:7" s="29" customFormat="1" ht="15.75">
      <c r="A60" s="47" t="s">
        <v>153</v>
      </c>
      <c r="B60" s="27">
        <f>IF(3173.55376="","-",3173.55376)</f>
        <v>3173.55376</v>
      </c>
      <c r="C60" s="27" t="s">
        <v>213</v>
      </c>
      <c r="D60" s="27">
        <f>IF(1745.44339="","-",1745.44339/1239054.72912*100)</f>
        <v>0.14086895025530038</v>
      </c>
      <c r="E60" s="27">
        <f>IF(3173.55376="","-",3173.55376/1427899.35432*100)</f>
        <v>0.22225332271484377</v>
      </c>
      <c r="F60" s="27">
        <f>IF(OR(1284225.24461="",1761.27711="",1745.44339=""),"-",(1745.44339-1761.27711)/1284225.24461*100)</f>
        <v>-0.00123293947587898</v>
      </c>
      <c r="G60" s="27">
        <f>IF(OR(1239054.72912="",3173.55376="",1745.44339=""),"-",(3173.55376-1745.44339)/1239054.72912*100)</f>
        <v>0.1152580540985684</v>
      </c>
    </row>
    <row r="61" spans="1:7" s="16" customFormat="1" ht="15.75">
      <c r="A61" s="47" t="s">
        <v>149</v>
      </c>
      <c r="B61" s="27">
        <f>IF(2792.66494="","-",2792.66494)</f>
        <v>2792.66494</v>
      </c>
      <c r="C61" s="27">
        <f>IF(OR(2310.17688="",2792.66494=""),"-",2792.66494/2310.17688*100)</f>
        <v>120.88532978479121</v>
      </c>
      <c r="D61" s="27">
        <f>IF(2310.17688="","-",2310.17688/1239054.72912*100)</f>
        <v>0.1864467182689122</v>
      </c>
      <c r="E61" s="27">
        <f>IF(2792.66494="","-",2792.66494/1427899.35432*100)</f>
        <v>0.19557855611818903</v>
      </c>
      <c r="F61" s="27">
        <f>IF(OR(1284225.24461="",987.55291="",2310.17688=""),"-",(2310.17688-987.55291)/1284225.24461*100)</f>
        <v>0.1029900304133689</v>
      </c>
      <c r="G61" s="27">
        <f>IF(OR(1239054.72912="",2792.66494="",2310.17688=""),"-",(2792.66494-2310.17688)/1239054.72912*100)</f>
        <v>0.038940011983382865</v>
      </c>
    </row>
    <row r="62" spans="1:7" s="29" customFormat="1" ht="15.75">
      <c r="A62" s="47" t="s">
        <v>150</v>
      </c>
      <c r="B62" s="27">
        <f>IF(2785.13957="","-",2785.13957)</f>
        <v>2785.13957</v>
      </c>
      <c r="C62" s="27">
        <f>IF(OR(3192.1858="",2785.13957=""),"-",2785.13957/3192.1858*100)</f>
        <v>87.24866735513953</v>
      </c>
      <c r="D62" s="27">
        <f>IF(3192.1858="","-",3192.1858/1239054.72912*100)</f>
        <v>0.2576307345412539</v>
      </c>
      <c r="E62" s="27">
        <f>IF(2785.13957="","-",2785.13957/1427899.35432*100)</f>
        <v>0.19505153227878236</v>
      </c>
      <c r="F62" s="27">
        <f>IF(OR(1284225.24461="",4548.7705="",3192.1858=""),"-",(3192.1858-4548.7705)/1284225.24461*100)</f>
        <v>-0.10563448317915398</v>
      </c>
      <c r="G62" s="27">
        <f>IF(OR(1239054.72912="",2785.13957="",3192.1858=""),"-",(2785.13957-3192.1858)/1239054.72912*100)</f>
        <v>-0.032851351956752727</v>
      </c>
    </row>
    <row r="63" spans="1:7" s="16" customFormat="1" ht="15.75">
      <c r="A63" s="47" t="s">
        <v>119</v>
      </c>
      <c r="B63" s="27">
        <f>IF(2771.9905="","-",2771.9905)</f>
        <v>2771.9905</v>
      </c>
      <c r="C63" s="27" t="s">
        <v>198</v>
      </c>
      <c r="D63" s="27">
        <f>IF(1047.73777="","-",1047.73777/1239054.72912*100)</f>
        <v>0.08455944240204168</v>
      </c>
      <c r="E63" s="27">
        <f>IF(2771.9905="","-",2771.9905/1427899.35432*100)</f>
        <v>0.1941306641545537</v>
      </c>
      <c r="F63" s="27">
        <f>IF(OR(1284225.24461="",324.33377="",1047.73777=""),"-",(1047.73777-324.33377)/1284225.24461*100)</f>
        <v>0.056329993748073924</v>
      </c>
      <c r="G63" s="27">
        <f>IF(OR(1239054.72912="",2771.9905="",1047.73777=""),"-",(2771.9905-1047.73777)/1239054.72912*100)</f>
        <v>0.13915872232896417</v>
      </c>
    </row>
    <row r="64" spans="1:7" s="16" customFormat="1" ht="15.75">
      <c r="A64" s="47" t="s">
        <v>145</v>
      </c>
      <c r="B64" s="27">
        <f>IF(2264.28783="","-",2264.28783)</f>
        <v>2264.28783</v>
      </c>
      <c r="C64" s="27">
        <f>IF(OR(4634.1187="",2264.28783=""),"-",2264.28783/4634.1187*100)</f>
        <v>48.86123935496085</v>
      </c>
      <c r="D64" s="27">
        <f>IF(4634.1187="","-",4634.1187/1239054.72912*100)</f>
        <v>0.3740043592175495</v>
      </c>
      <c r="E64" s="27">
        <f>IF(2264.28783="","-",2264.28783/1427899.35432*100)</f>
        <v>0.15857474990443626</v>
      </c>
      <c r="F64" s="27">
        <f>IF(OR(1284225.24461="",1227.7547="",4634.1187=""),"-",(4634.1187-1227.7547)/1284225.24461*100)</f>
        <v>0.2652466157550471</v>
      </c>
      <c r="G64" s="27">
        <f>IF(OR(1239054.72912="",2264.28783="",4634.1187=""),"-",(2264.28783-4634.1187)/1239054.72912*100)</f>
        <v>-0.19126119406227504</v>
      </c>
    </row>
    <row r="65" spans="1:7" s="29" customFormat="1" ht="15.75">
      <c r="A65" s="47" t="s">
        <v>157</v>
      </c>
      <c r="B65" s="27">
        <f>IF(2155.50264="","-",2155.50264)</f>
        <v>2155.50264</v>
      </c>
      <c r="C65" s="27" t="s">
        <v>189</v>
      </c>
      <c r="D65" s="27">
        <f>IF(851.91847="","-",851.91847/1239054.72912*100)</f>
        <v>0.06875551579590423</v>
      </c>
      <c r="E65" s="27">
        <f>IF(2155.50264="","-",2155.50264/1427899.35432*100)</f>
        <v>0.15095620244372912</v>
      </c>
      <c r="F65" s="27">
        <f>IF(OR(1284225.24461="",557.86733="",851.91847=""),"-",(851.91847-557.86733)/1284225.24461*100)</f>
        <v>0.02289716241244727</v>
      </c>
      <c r="G65" s="27">
        <f>IF(OR(1239054.72912="",2155.50264="",851.91847=""),"-",(2155.50264-851.91847)/1239054.72912*100)</f>
        <v>0.1052079572728664</v>
      </c>
    </row>
    <row r="66" spans="1:7" s="31" customFormat="1" ht="15.75">
      <c r="A66" s="47" t="s">
        <v>160</v>
      </c>
      <c r="B66" s="27">
        <f>IF(1945.51967="","-",1945.51967)</f>
        <v>1945.51967</v>
      </c>
      <c r="C66" s="27" t="s">
        <v>240</v>
      </c>
      <c r="D66" s="27">
        <f>IF(671.23314="","-",671.23314/1239054.72912*100)</f>
        <v>0.05417300174276583</v>
      </c>
      <c r="E66" s="27">
        <f>IF(1945.51967="","-",1945.51967/1427899.35432*100)</f>
        <v>0.13625047620576194</v>
      </c>
      <c r="F66" s="27">
        <f>IF(OR(1284225.24461="",529.63131="",671.23314=""),"-",(671.23314-529.63131)/1284225.24461*100)</f>
        <v>0.011026245636761519</v>
      </c>
      <c r="G66" s="27">
        <f>IF(OR(1239054.72912="",1945.51967="",671.23314=""),"-",(1945.51967-671.23314)/1239054.72912*100)</f>
        <v>0.10284344186354238</v>
      </c>
    </row>
    <row r="67" spans="1:7" s="16" customFormat="1" ht="15.75">
      <c r="A67" s="47" t="s">
        <v>148</v>
      </c>
      <c r="B67" s="27">
        <f>IF(1773.8899="","-",1773.8899)</f>
        <v>1773.8899</v>
      </c>
      <c r="C67" s="27">
        <f>IF(OR(2298.86157="",1773.8899=""),"-",1773.8899/2298.86157*100)</f>
        <v>77.16384157920392</v>
      </c>
      <c r="D67" s="27">
        <f>IF(2298.86157="","-",2298.86157/1239054.72912*100)</f>
        <v>0.1855334971065156</v>
      </c>
      <c r="E67" s="27">
        <f>IF(1773.8899="","-",1773.8899/1427899.35432*100)</f>
        <v>0.12423073759598197</v>
      </c>
      <c r="F67" s="27">
        <f>IF(OR(1284225.24461="",456.54324="",2298.86157=""),"-",(2298.86157-456.54324)/1284225.24461*100)</f>
        <v>0.14345757005886337</v>
      </c>
      <c r="G67" s="27">
        <f>IF(OR(1239054.72912="",1773.8899="",2298.86157=""),"-",(1773.8899-2298.86157)/1239054.72912*100)</f>
        <v>-0.04236872332288703</v>
      </c>
    </row>
    <row r="68" spans="1:7" s="16" customFormat="1" ht="15.75">
      <c r="A68" s="47" t="s">
        <v>152</v>
      </c>
      <c r="B68" s="27">
        <f>IF(1419.29266="","-",1419.29266)</f>
        <v>1419.29266</v>
      </c>
      <c r="C68" s="27">
        <f>IF(OR(2556.17099="",1419.29266=""),"-",1419.29266/2556.17099*100)</f>
        <v>55.52416741886269</v>
      </c>
      <c r="D68" s="27">
        <f>IF(2556.17099="","-",2556.17099/1239054.72912*100)</f>
        <v>0.20630008747195863</v>
      </c>
      <c r="E68" s="27">
        <f>IF(1419.29266="","-",1419.29266/1427899.35432*100)</f>
        <v>0.09939724783165137</v>
      </c>
      <c r="F68" s="27">
        <f>IF(OR(1284225.24461="",526.7927="",2556.17099=""),"-",(2556.17099-526.7927)/1284225.24461*100)</f>
        <v>0.15802354754490847</v>
      </c>
      <c r="G68" s="27">
        <f>IF(OR(1239054.72912="",1419.29266="",2556.17099=""),"-",(1419.29266-2556.17099)/1239054.72912*100)</f>
        <v>-0.09175368151876813</v>
      </c>
    </row>
    <row r="69" spans="1:7" s="16" customFormat="1" ht="15.75">
      <c r="A69" s="47" t="s">
        <v>147</v>
      </c>
      <c r="B69" s="27">
        <f>IF(1210.90753="","-",1210.90753)</f>
        <v>1210.90753</v>
      </c>
      <c r="C69" s="27">
        <f>IF(OR(3077.53483="",1210.90753=""),"-",1210.90753/3077.53483*100)</f>
        <v>39.34667182954352</v>
      </c>
      <c r="D69" s="27">
        <f>IF(3077.53483="","-",3077.53483/1239054.72912*100)</f>
        <v>0.24837763479468927</v>
      </c>
      <c r="E69" s="27">
        <f>IF(1210.90753="","-",1210.90753/1427899.35432*100)</f>
        <v>0.08480342303793977</v>
      </c>
      <c r="F69" s="27">
        <f>IF(OR(1284225.24461="",485.57968="",3077.53483=""),"-",(3077.53483-485.57968)/1284225.24461*100)</f>
        <v>0.20183025998582815</v>
      </c>
      <c r="G69" s="27">
        <f>IF(OR(1239054.72912="",1210.90753="",3077.53483=""),"-",(1210.90753-3077.53483)/1239054.72912*100)</f>
        <v>-0.1506493019340408</v>
      </c>
    </row>
    <row r="70" spans="1:7" s="16" customFormat="1" ht="15.75">
      <c r="A70" s="47" t="s">
        <v>221</v>
      </c>
      <c r="B70" s="27">
        <f>IF(1061.98766="","-",1061.98766)</f>
        <v>1061.98766</v>
      </c>
      <c r="C70" s="27" t="s">
        <v>255</v>
      </c>
      <c r="D70" s="27">
        <f>IF(102.42082="","-",102.42082/1239054.72912*100)</f>
        <v>0.008266044880256517</v>
      </c>
      <c r="E70" s="27">
        <f>IF(1061.98766="","-",1061.98766/1427899.35432*100)</f>
        <v>0.07437412565437737</v>
      </c>
      <c r="F70" s="27">
        <f>IF(OR(1284225.24461="",482.00158="",102.42082=""),"-",(102.42082-482.00158)/1284225.24461*100)</f>
        <v>-0.029557179442868918</v>
      </c>
      <c r="G70" s="27">
        <f>IF(OR(1239054.72912="",1061.98766="",102.42082=""),"-",(1061.98766-102.42082)/1239054.72912*100)</f>
        <v>0.07744345890851023</v>
      </c>
    </row>
    <row r="71" spans="1:7" s="16" customFormat="1" ht="15.75">
      <c r="A71" s="47" t="s">
        <v>228</v>
      </c>
      <c r="B71" s="27">
        <f>IF(1034.90358="","-",1034.90358)</f>
        <v>1034.90358</v>
      </c>
      <c r="C71" s="27" t="s">
        <v>189</v>
      </c>
      <c r="D71" s="27">
        <f>IF(419.56893="","-",419.56893/1239054.72912*100)</f>
        <v>0.033862017563823496</v>
      </c>
      <c r="E71" s="27">
        <f>IF(1034.90358="","-",1034.90358/1427899.35432*100)</f>
        <v>0.07247734771144608</v>
      </c>
      <c r="F71" s="27" t="str">
        <f>IF(OR(1284225.24461="",""="",419.56893=""),"-",(419.56893-"")/1284225.24461*100)</f>
        <v>-</v>
      </c>
      <c r="G71" s="27">
        <f>IF(OR(1239054.72912="",1034.90358="",419.56893=""),"-",(1034.90358-419.56893)/1239054.72912*100)</f>
        <v>0.04966161990576656</v>
      </c>
    </row>
    <row r="72" spans="1:7" s="16" customFormat="1" ht="15.75">
      <c r="A72" s="47" t="s">
        <v>161</v>
      </c>
      <c r="B72" s="27">
        <f>IF(867.66296="","-",867.66296)</f>
        <v>867.66296</v>
      </c>
      <c r="C72" s="27">
        <f>IF(OR(604.97954="",867.66296=""),"-",867.66296/604.97954*100)</f>
        <v>143.42021550018038</v>
      </c>
      <c r="D72" s="27">
        <f>IF(604.97954="","-",604.97954/1239054.72912*100)</f>
        <v>0.04882589330252328</v>
      </c>
      <c r="E72" s="27">
        <f>IF(867.66296="","-",867.66296/1427899.35432*100)</f>
        <v>0.06076499421159848</v>
      </c>
      <c r="F72" s="27">
        <f>IF(OR(1284225.24461="",888.81389="",604.97954=""),"-",(604.97954-888.81389)/1284225.24461*100)</f>
        <v>-0.02210160181722609</v>
      </c>
      <c r="G72" s="27">
        <f>IF(OR(1239054.72912="",867.66296="",604.97954=""),"-",(867.66296-604.97954)/1239054.72912*100)</f>
        <v>0.021200308091843745</v>
      </c>
    </row>
    <row r="73" spans="1:7" s="16" customFormat="1" ht="15.75">
      <c r="A73" s="47" t="s">
        <v>155</v>
      </c>
      <c r="B73" s="27">
        <f>IF(746.31065="","-",746.31065)</f>
        <v>746.31065</v>
      </c>
      <c r="C73" s="27">
        <f>IF(OR(1150.98248="",746.31065=""),"-",746.31065/1150.98248*100)</f>
        <v>64.84118246526221</v>
      </c>
      <c r="D73" s="27">
        <f>IF(1150.98248="","-",1150.98248/1239054.72912*100)</f>
        <v>0.09289198071318847</v>
      </c>
      <c r="E73" s="27">
        <f>IF(746.31065="","-",746.31065/1427899.35432*100)</f>
        <v>0.05226633430024983</v>
      </c>
      <c r="F73" s="27">
        <f>IF(OR(1284225.24461="",896.25242="",1150.98248=""),"-",(1150.98248-896.25242)/1284225.24461*100)</f>
        <v>0.019835310127185483</v>
      </c>
      <c r="G73" s="27">
        <f>IF(OR(1239054.72912="",746.31065="",1150.98248=""),"-",(746.31065-1150.98248)/1239054.72912*100)</f>
        <v>-0.03265972200335376</v>
      </c>
    </row>
    <row r="74" spans="1:7" s="16" customFormat="1" ht="15.75">
      <c r="A74" s="47" t="s">
        <v>207</v>
      </c>
      <c r="B74" s="27">
        <f>IF(735.08671="","-",735.08671)</f>
        <v>735.08671</v>
      </c>
      <c r="C74" s="27">
        <f>IF(OR(710.30198="",735.08671=""),"-",735.08671/710.30198*100)</f>
        <v>103.48932294965587</v>
      </c>
      <c r="D74" s="27">
        <f>IF(710.30198="","-",710.30198/1239054.72912*100)</f>
        <v>0.05732611831476321</v>
      </c>
      <c r="E74" s="27">
        <f>IF(735.08671="","-",735.08671/1427899.35432*100)</f>
        <v>0.05148028870354564</v>
      </c>
      <c r="F74" s="27">
        <f>IF(OR(1284225.24461="",470.00384="",710.30198=""),"-",(710.30198-470.00384)/1284225.24461*100)</f>
        <v>0.018711525957658223</v>
      </c>
      <c r="G74" s="27">
        <f>IF(OR(1239054.72912="",735.08671="",710.30198=""),"-",(735.08671-710.30198)/1239054.72912*100)</f>
        <v>0.0020002934025039124</v>
      </c>
    </row>
    <row r="75" spans="1:7" s="16" customFormat="1" ht="15.75">
      <c r="A75" s="47" t="s">
        <v>120</v>
      </c>
      <c r="B75" s="27">
        <f>IF(692.59016="","-",692.59016)</f>
        <v>692.59016</v>
      </c>
      <c r="C75" s="27" t="s">
        <v>241</v>
      </c>
      <c r="D75" s="27">
        <f>IF(218.71874="","-",218.71874/1239054.72912*100)</f>
        <v>0.01765206450205296</v>
      </c>
      <c r="E75" s="27">
        <f>IF(692.59016="","-",692.59016/1427899.35432*100)</f>
        <v>0.04850413006383269</v>
      </c>
      <c r="F75" s="27">
        <f>IF(OR(1284225.24461="",201.56317="",218.71874=""),"-",(218.71874-201.56317)/1284225.24461*100)</f>
        <v>0.0013358692388273268</v>
      </c>
      <c r="G75" s="27">
        <f>IF(OR(1239054.72912="",692.59016="",218.71874=""),"-",(692.59016-218.71874)/1239054.72912*100)</f>
        <v>0.03824459153120317</v>
      </c>
    </row>
    <row r="76" spans="1:7" ht="15.75">
      <c r="A76" s="47" t="s">
        <v>203</v>
      </c>
      <c r="B76" s="27">
        <f>IF(615.61647="","-",615.61647)</f>
        <v>615.61647</v>
      </c>
      <c r="C76" s="27" t="s">
        <v>229</v>
      </c>
      <c r="D76" s="27">
        <f>IF(166.85426="","-",166.85426/1239054.72912*100)</f>
        <v>0.013466254240319397</v>
      </c>
      <c r="E76" s="27">
        <f>IF(615.61647="","-",615.61647/1427899.35432*100)</f>
        <v>0.043113435701017694</v>
      </c>
      <c r="F76" s="27" t="str">
        <f>IF(OR(1284225.24461="",""="",166.85426=""),"-",(166.85426-"")/1284225.24461*100)</f>
        <v>-</v>
      </c>
      <c r="G76" s="27">
        <f>IF(OR(1239054.72912="",615.61647="",166.85426=""),"-",(615.61647-166.85426)/1239054.72912*100)</f>
        <v>0.03621811042347737</v>
      </c>
    </row>
    <row r="77" spans="1:7" ht="15.75">
      <c r="A77" s="47" t="s">
        <v>162</v>
      </c>
      <c r="B77" s="27">
        <f>IF(492.48067="","-",492.48067)</f>
        <v>492.48067</v>
      </c>
      <c r="C77" s="27">
        <f>IF(OR(479.63482="",492.48067=""),"-",492.48067/479.63482*100)</f>
        <v>102.67825634510854</v>
      </c>
      <c r="D77" s="27">
        <f>IF(479.63482="","-",479.63482/1239054.72912*100)</f>
        <v>0.03870973644083064</v>
      </c>
      <c r="E77" s="27">
        <f>IF(492.48067="","-",492.48067/1427899.35432*100)</f>
        <v>0.034489872728777245</v>
      </c>
      <c r="F77" s="27">
        <f>IF(OR(1284225.24461="",479.16968="",479.63482=""),"-",(479.63482-479.16968)/1284225.24461*100)</f>
        <v>3.621950292226335E-05</v>
      </c>
      <c r="G77" s="27">
        <f>IF(OR(1239054.72912="",492.48067="",479.63482=""),"-",(492.48067-479.63482)/1239054.72912*100)</f>
        <v>0.001036745972401344</v>
      </c>
    </row>
    <row r="78" spans="1:7" ht="15.75">
      <c r="A78" s="47" t="s">
        <v>172</v>
      </c>
      <c r="B78" s="27">
        <f>IF(457.34485="","-",457.34485)</f>
        <v>457.34485</v>
      </c>
      <c r="C78" s="27" t="s">
        <v>256</v>
      </c>
      <c r="D78" s="27">
        <f>IF(61.42708="","-",61.42708/1239054.72912*100)</f>
        <v>0.004957576009868963</v>
      </c>
      <c r="E78" s="27">
        <f>IF(457.34485="","-",457.34485/1427899.35432*100)</f>
        <v>0.03202920770405409</v>
      </c>
      <c r="F78" s="27">
        <f>IF(OR(1284225.24461="",14.5143="",61.42708=""),"-",(61.42708-14.5143)/1284225.24461*100)</f>
        <v>0.00365300247732217</v>
      </c>
      <c r="G78" s="27">
        <f>IF(OR(1239054.72912="",457.34485="",61.42708=""),"-",(457.34485-61.42708)/1239054.72912*100)</f>
        <v>0.03195321083849042</v>
      </c>
    </row>
    <row r="79" spans="1:7" ht="15.75">
      <c r="A79" s="47" t="s">
        <v>222</v>
      </c>
      <c r="B79" s="27">
        <f>IF(375.16786="","-",375.16786)</f>
        <v>375.16786</v>
      </c>
      <c r="C79" s="27" t="s">
        <v>213</v>
      </c>
      <c r="D79" s="27">
        <f>IF(204.26007="","-",204.26007/1239054.72912*100)</f>
        <v>0.016485153173586557</v>
      </c>
      <c r="E79" s="27">
        <f>IF(375.16786="","-",375.16786/1427899.35432*100)</f>
        <v>0.026274110907394028</v>
      </c>
      <c r="F79" s="27">
        <f>IF(OR(1284225.24461="",899.24862="",204.26007=""),"-",(204.26007-899.24862)/1284225.24461*100)</f>
        <v>-0.05411734062361137</v>
      </c>
      <c r="G79" s="27">
        <f>IF(OR(1239054.72912="",375.16786="",204.26007=""),"-",(375.16786-204.26007)/1239054.72912*100)</f>
        <v>0.013793401210080682</v>
      </c>
    </row>
    <row r="80" spans="1:7" ht="15.75">
      <c r="A80" s="47" t="s">
        <v>164</v>
      </c>
      <c r="B80" s="27">
        <f>IF(362.10238="","-",362.10238)</f>
        <v>362.10238</v>
      </c>
      <c r="C80" s="27">
        <f>IF(OR(291.30327="",362.10238=""),"-",362.10238/291.30327*100)</f>
        <v>124.3042620153217</v>
      </c>
      <c r="D80" s="27">
        <f>IF(291.30327="","-",291.30327/1239054.72912*100)</f>
        <v>0.023510121316988885</v>
      </c>
      <c r="E80" s="27">
        <f>IF(362.10238="","-",362.10238/1427899.35432*100)</f>
        <v>0.025359096837216648</v>
      </c>
      <c r="F80" s="27">
        <f>IF(OR(1284225.24461="",313.67419="",291.30327=""),"-",(291.30327-313.67419)/1284225.24461*100)</f>
        <v>-0.0017419779041015291</v>
      </c>
      <c r="G80" s="27">
        <f>IF(OR(1239054.72912="",362.10238="",291.30327=""),"-",(362.10238-291.30327)/1239054.72912*100)</f>
        <v>0.005713961485000977</v>
      </c>
    </row>
    <row r="81" spans="1:7" ht="15.75">
      <c r="A81" s="47" t="s">
        <v>234</v>
      </c>
      <c r="B81" s="27">
        <f>IF(346.8895="","-",346.8895)</f>
        <v>346.8895</v>
      </c>
      <c r="C81" s="27" t="s">
        <v>245</v>
      </c>
      <c r="D81" s="27">
        <f>IF(98.3034="","-",98.3034/1239054.72912*100)</f>
        <v>0.007933741560376184</v>
      </c>
      <c r="E81" s="27">
        <f>IF(346.8895="","-",346.8895/1427899.35432*100)</f>
        <v>0.024293694016354332</v>
      </c>
      <c r="F81" s="27">
        <f>IF(OR(1284225.24461="",72.54842="",98.3034=""),"-",(98.3034-72.54842)/1284225.24461*100)</f>
        <v>0.0020054877528763583</v>
      </c>
      <c r="G81" s="27">
        <f>IF(OR(1239054.72912="",346.8895="",98.3034=""),"-",(346.8895-98.3034)/1239054.72912*100)</f>
        <v>0.0200625601240835</v>
      </c>
    </row>
    <row r="82" spans="1:7" ht="15.75">
      <c r="A82" s="47" t="s">
        <v>154</v>
      </c>
      <c r="B82" s="27">
        <f>IF(339.27215="","-",339.27215)</f>
        <v>339.27215</v>
      </c>
      <c r="C82" s="27">
        <f>IF(OR(1727.04903="",339.27215=""),"-",339.27215/1727.04903*100)</f>
        <v>19.64461599564432</v>
      </c>
      <c r="D82" s="27">
        <f>IF(1727.04903="","-",1727.04903/1239054.72912*100)</f>
        <v>0.13938440243285966</v>
      </c>
      <c r="E82" s="27">
        <f>IF(339.27215="","-",339.27215/1427899.35432*100)</f>
        <v>0.023760228546469902</v>
      </c>
      <c r="F82" s="27">
        <f>IF(OR(1284225.24461="",224.63961="",1727.04903=""),"-",(1727.04903-224.63961)/1284225.24461*100)</f>
        <v>0.11698955664559134</v>
      </c>
      <c r="G82" s="27">
        <f>IF(OR(1239054.72912="",339.27215="",1727.04903=""),"-",(339.27215-1727.04903)/1239054.72912*100)</f>
        <v>-0.11200287181710086</v>
      </c>
    </row>
    <row r="83" spans="1:7" ht="15.75">
      <c r="A83" s="47" t="s">
        <v>205</v>
      </c>
      <c r="B83" s="27">
        <f>IF(333.08602="","-",333.08602)</f>
        <v>333.08602</v>
      </c>
      <c r="C83" s="27">
        <f>IF(OR(281.51466="",333.08602=""),"-",333.08602/281.51466*100)</f>
        <v>118.31924490184633</v>
      </c>
      <c r="D83" s="27">
        <f>IF(281.51466="","-",281.51466/1239054.72912*100)</f>
        <v>0.022720115050925718</v>
      </c>
      <c r="E83" s="27">
        <f>IF(333.08602="","-",333.08602/1427899.35432*100)</f>
        <v>0.023326995631188837</v>
      </c>
      <c r="F83" s="27">
        <f>IF(OR(1284225.24461="",281.91991="",281.51466=""),"-",(281.51466-281.91991)/1284225.24461*100)</f>
        <v>-3.1555990796855264E-05</v>
      </c>
      <c r="G83" s="27">
        <f>IF(OR(1239054.72912="",333.08602="",281.51466=""),"-",(333.08602-281.51466)/1239054.72912*100)</f>
        <v>0.00416215351816033</v>
      </c>
    </row>
    <row r="84" spans="1:7" ht="15.75">
      <c r="A84" s="47" t="s">
        <v>182</v>
      </c>
      <c r="B84" s="27">
        <f>IF(307.0826="","-",307.0826)</f>
        <v>307.0826</v>
      </c>
      <c r="C84" s="27" t="s">
        <v>212</v>
      </c>
      <c r="D84" s="27">
        <f>IF(102.49819="","-",102.49819/1239054.72912*100)</f>
        <v>0.008272289156492396</v>
      </c>
      <c r="E84" s="27">
        <f>IF(307.0826="","-",307.0826/1427899.35432*100)</f>
        <v>0.021505899492912102</v>
      </c>
      <c r="F84" s="27">
        <f>IF(OR(1284225.24461="",73.85658="",102.49819=""),"-",(102.49819-73.85658)/1284225.24461*100)</f>
        <v>0.0022302637422999755</v>
      </c>
      <c r="G84" s="27">
        <f>IF(OR(1239054.72912="",307.0826="",102.49819=""),"-",(307.0826-102.49819)/1239054.72912*100)</f>
        <v>0.01651132957987253</v>
      </c>
    </row>
    <row r="85" spans="1:7" ht="15.75">
      <c r="A85" s="47" t="s">
        <v>114</v>
      </c>
      <c r="B85" s="27">
        <f>IF(235.12523="","-",235.12523)</f>
        <v>235.12523</v>
      </c>
      <c r="C85" s="27">
        <f>IF(OR(258.29377="",235.12523=""),"-",235.12523/258.29377*100)</f>
        <v>91.03015918657272</v>
      </c>
      <c r="D85" s="27">
        <f>IF(258.29377="","-",258.29377/1239054.72912*100)</f>
        <v>0.020846033991044535</v>
      </c>
      <c r="E85" s="27">
        <f>IF(235.12523="","-",235.12523/1427899.35432*100)</f>
        <v>0.016466512803486228</v>
      </c>
      <c r="F85" s="27">
        <f>IF(OR(1284225.24461="",130.62707="",258.29377=""),"-",(258.29377-130.62707)/1284225.24461*100)</f>
        <v>0.009941145491091048</v>
      </c>
      <c r="G85" s="27">
        <f>IF(OR(1239054.72912="",235.12523="",258.29377=""),"-",(235.12523-258.29377)/1239054.72912*100)</f>
        <v>-0.0018698560649096378</v>
      </c>
    </row>
    <row r="86" spans="1:7" ht="15.75">
      <c r="A86" s="47" t="s">
        <v>173</v>
      </c>
      <c r="B86" s="27">
        <f>IF(203.86518="","-",203.86518)</f>
        <v>203.86518</v>
      </c>
      <c r="C86" s="27">
        <f>IF(OR(204.4002="",203.86518=""),"-",203.86518/204.4002*100)</f>
        <v>99.73824878840627</v>
      </c>
      <c r="D86" s="27">
        <f>IF(204.4002="","-",204.4002/1239054.72912*100)</f>
        <v>0.01649646260138718</v>
      </c>
      <c r="E86" s="27">
        <f>IF(203.86518="","-",203.86518/1427899.35432*100)</f>
        <v>0.014277279374293541</v>
      </c>
      <c r="F86" s="27">
        <f>IF(OR(1284225.24461="",131.15331="",204.4002=""),"-",(204.4002-131.15331)/1284225.24461*100)</f>
        <v>0.0057035859018831235</v>
      </c>
      <c r="G86" s="27">
        <f>IF(OR(1239054.72912="",203.86518="",204.4002=""),"-",(203.86518-204.4002)/1239054.72912*100)</f>
        <v>-4.3179690729237134E-05</v>
      </c>
    </row>
    <row r="87" spans="1:7" ht="15.75">
      <c r="A87" s="47" t="s">
        <v>169</v>
      </c>
      <c r="B87" s="27">
        <f>IF(200.36525="","-",200.36525)</f>
        <v>200.36525</v>
      </c>
      <c r="C87" s="27">
        <f>IF(OR(178.54441="",200.36525=""),"-",200.36525/178.54441*100)</f>
        <v>112.22151956479622</v>
      </c>
      <c r="D87" s="27">
        <f>IF(178.54441="","-",178.54441/1239054.72912*100)</f>
        <v>0.014409727496605866</v>
      </c>
      <c r="E87" s="27">
        <f>IF(200.36525="","-",200.36525/1427899.35432*100)</f>
        <v>0.014032168961615557</v>
      </c>
      <c r="F87" s="27">
        <f>IF(OR(1284225.24461="",725.83131="",178.54441=""),"-",(178.54441-725.83131)/1284225.24461*100)</f>
        <v>-0.042616114446979506</v>
      </c>
      <c r="G87" s="27">
        <f>IF(OR(1239054.72912="",200.36525="",178.54441=""),"-",(200.36525-178.54441)/1239054.72912*100)</f>
        <v>0.0017610876652315087</v>
      </c>
    </row>
    <row r="88" spans="1:7" ht="15.75">
      <c r="A88" s="47" t="s">
        <v>225</v>
      </c>
      <c r="B88" s="27">
        <f>IF(187.53285="","-",187.53285)</f>
        <v>187.53285</v>
      </c>
      <c r="C88" s="27" t="s">
        <v>257</v>
      </c>
      <c r="D88" s="27">
        <f>IF(39.49098="","-",39.49098/1239054.72912*100)</f>
        <v>0.003187186092098388</v>
      </c>
      <c r="E88" s="27">
        <f>IF(187.53285="","-",187.53285/1427899.35432*100)</f>
        <v>0.013133478170757187</v>
      </c>
      <c r="F88" s="27">
        <f>IF(OR(1284225.24461="",32.14523="",39.49098=""),"-",(39.49098-32.14523)/1284225.24461*100)</f>
        <v>0.0005719985672942286</v>
      </c>
      <c r="G88" s="27">
        <f>IF(OR(1239054.72912="",187.53285="",39.49098=""),"-",(187.53285-39.49098)/1239054.72912*100)</f>
        <v>0.011947968602253922</v>
      </c>
    </row>
    <row r="89" spans="1:7" s="31" customFormat="1" ht="15.75">
      <c r="A89" s="47" t="s">
        <v>187</v>
      </c>
      <c r="B89" s="27">
        <f>IF(186.33116="","-",186.33116)</f>
        <v>186.33116</v>
      </c>
      <c r="C89" s="27" t="str">
        <f>IF(OR(""="",186.33116=""),"-",186.33116/""*100)</f>
        <v>-</v>
      </c>
      <c r="D89" s="27" t="str">
        <f>IF(""="","-",""/1239054.72912*100)</f>
        <v>-</v>
      </c>
      <c r="E89" s="27">
        <f>IF(186.33116="","-",186.33116/1427899.35432*100)</f>
        <v>0.013049320278510483</v>
      </c>
      <c r="F89" s="27" t="str">
        <f>IF(OR(1284225.24461="",163.41066="",""=""),"-",(""-163.41066)/1284225.24461*100)</f>
        <v>-</v>
      </c>
      <c r="G89" s="27" t="str">
        <f>IF(OR(1239054.72912="",186.33116="",""=""),"-",(186.33116-"")/1239054.72912*100)</f>
        <v>-</v>
      </c>
    </row>
    <row r="90" spans="1:7" ht="15.75">
      <c r="A90" s="47" t="s">
        <v>188</v>
      </c>
      <c r="B90" s="27">
        <f>IF(179.59211="","-",179.59211)</f>
        <v>179.59211</v>
      </c>
      <c r="C90" s="27">
        <f>IF(OR(117.22695="",179.59211=""),"-",179.59211/117.22695*100)</f>
        <v>153.20036049730885</v>
      </c>
      <c r="D90" s="27">
        <f>IF(117.22695="","-",117.22695/1239054.72912*100)</f>
        <v>0.0094609985535713</v>
      </c>
      <c r="E90" s="27">
        <f>IF(179.59211="","-",179.59211/1427899.35432*100)</f>
        <v>0.012577364746097674</v>
      </c>
      <c r="F90" s="27">
        <f>IF(OR(1284225.24461="",227.77149="",117.22695=""),"-",(117.22695-227.77149)/1284225.24461*100)</f>
        <v>-0.008607877820807885</v>
      </c>
      <c r="G90" s="27">
        <f>IF(OR(1239054.72912="",179.59211="",117.22695=""),"-",(179.59211-117.22695)/1239054.72912*100)</f>
        <v>0.005033285337145107</v>
      </c>
    </row>
    <row r="91" spans="1:7" ht="15.75">
      <c r="A91" s="47" t="s">
        <v>235</v>
      </c>
      <c r="B91" s="27">
        <f>IF(177.95744="","-",177.95744)</f>
        <v>177.95744</v>
      </c>
      <c r="C91" s="27" t="str">
        <f>IF(OR(""="",177.95744=""),"-",177.95744/""*100)</f>
        <v>-</v>
      </c>
      <c r="D91" s="27" t="str">
        <f>IF(""="","-",""/1239054.72912*100)</f>
        <v>-</v>
      </c>
      <c r="E91" s="27">
        <f>IF(177.95744="","-",177.95744/1427899.35432*100)</f>
        <v>0.012462883988399003</v>
      </c>
      <c r="F91" s="27" t="str">
        <f>IF(OR(1284225.24461="",""="",""=""),"-",(""-"")/1284225.24461*100)</f>
        <v>-</v>
      </c>
      <c r="G91" s="27" t="str">
        <f>IF(OR(1239054.72912="",177.95744="",""=""),"-",(177.95744-"")/1239054.72912*100)</f>
        <v>-</v>
      </c>
    </row>
    <row r="92" spans="1:7" ht="15.75">
      <c r="A92" s="47" t="s">
        <v>238</v>
      </c>
      <c r="B92" s="27">
        <f>IF(175.37435="","-",175.37435)</f>
        <v>175.37435</v>
      </c>
      <c r="C92" s="27">
        <f>IF(OR(118.14958="",175.37435=""),"-",175.37435/118.14958*100)</f>
        <v>148.43417132756628</v>
      </c>
      <c r="D92" s="27">
        <f>IF(118.14958="","-",118.14958/1239054.72912*100)</f>
        <v>0.009535460962560714</v>
      </c>
      <c r="E92" s="27">
        <f>IF(175.37435="","-",175.37435/1427899.35432*100)</f>
        <v>0.01228198258297536</v>
      </c>
      <c r="F92" s="27" t="str">
        <f>IF(OR(1284225.24461="",""="",118.14958=""),"-",(118.14958-"")/1284225.24461*100)</f>
        <v>-</v>
      </c>
      <c r="G92" s="27">
        <f>IF(OR(1239054.72912="",175.37435="",118.14958=""),"-",(175.37435-118.14958)/1239054.72912*100)</f>
        <v>0.004618421499479857</v>
      </c>
    </row>
    <row r="93" spans="1:7" ht="15.75">
      <c r="A93" s="47" t="s">
        <v>239</v>
      </c>
      <c r="B93" s="27">
        <f>IF(154.52508="","-",154.52508)</f>
        <v>154.52508</v>
      </c>
      <c r="C93" s="27">
        <f>IF(OR(159.13025="",154.52508=""),"-",154.52508/159.13025*100)</f>
        <v>97.10603734990677</v>
      </c>
      <c r="D93" s="27">
        <f>IF(159.13025="","-",159.13025/1239054.72912*100)</f>
        <v>0.01284287499657237</v>
      </c>
      <c r="E93" s="27">
        <f>IF(154.52508="","-",154.52508/1427899.35432*100)</f>
        <v>0.010821846759191832</v>
      </c>
      <c r="F93" s="27">
        <f>IF(OR(1284225.24461="",158.37172="",159.13025=""),"-",(159.13025-158.37172)/1284225.24461*100)</f>
        <v>5.906518371162633E-05</v>
      </c>
      <c r="G93" s="27">
        <f>IF(OR(1239054.72912="",154.52508="",159.13025=""),"-",(154.52508-159.13025)/1239054.72912*100)</f>
        <v>-0.000371668005598967</v>
      </c>
    </row>
    <row r="94" spans="1:7" ht="15.75">
      <c r="A94" s="47" t="s">
        <v>167</v>
      </c>
      <c r="B94" s="27">
        <f>IF(119.63437="","-",119.63437)</f>
        <v>119.63437</v>
      </c>
      <c r="C94" s="27" t="s">
        <v>242</v>
      </c>
      <c r="D94" s="27">
        <f>IF(13.3532="","-",13.3532/1239054.72912*100)</f>
        <v>0.0010776925091503984</v>
      </c>
      <c r="E94" s="27">
        <f>IF(119.63437="","-",119.63437/1427899.35432*100)</f>
        <v>0.008378347510141762</v>
      </c>
      <c r="F94" s="27" t="str">
        <f>IF(OR(1284225.24461="",""="",13.3532=""),"-",(13.3532-"")/1284225.24461*100)</f>
        <v>-</v>
      </c>
      <c r="G94" s="27">
        <f>IF(OR(1239054.72912="",119.63437="",13.3532=""),"-",(119.63437-13.3532)/1239054.72912*100)</f>
        <v>0.00857760093256598</v>
      </c>
    </row>
    <row r="95" spans="1:7" ht="15.75">
      <c r="A95" s="47" t="s">
        <v>204</v>
      </c>
      <c r="B95" s="27">
        <f>IF(116.25016="","-",116.25016)</f>
        <v>116.25016</v>
      </c>
      <c r="C95" s="27" t="s">
        <v>236</v>
      </c>
      <c r="D95" s="27">
        <f>IF(0.2121="","-",0.2121/1239054.72912*100)</f>
        <v>1.71178879362849E-05</v>
      </c>
      <c r="E95" s="27">
        <f>IF(116.25016="","-",116.25016/1427899.35432*100)</f>
        <v>0.00814134131010663</v>
      </c>
      <c r="F95" s="27">
        <f>IF(OR(1284225.24461="",27.7076="",0.2121=""),"-",(0.2121-27.7076)/1284225.24461*100)</f>
        <v>-0.002141018494644993</v>
      </c>
      <c r="G95" s="27">
        <f>IF(OR(1239054.72912="",116.25016="",0.2121=""),"-",(116.25016-0.2121)/1239054.72912*100)</f>
        <v>0.0093650471825738</v>
      </c>
    </row>
    <row r="96" spans="1:7" ht="15.75">
      <c r="A96" s="47" t="s">
        <v>159</v>
      </c>
      <c r="B96" s="27">
        <f>IF(102.85156="","-",102.85156)</f>
        <v>102.85156</v>
      </c>
      <c r="C96" s="27">
        <f>IF(OR(743.58649="",102.85156=""),"-",102.85156/743.58649*100)</f>
        <v>13.831822038617188</v>
      </c>
      <c r="D96" s="27">
        <f>IF(743.58649="","-",743.58649/1239054.72912*100)</f>
        <v>0.06001240078621137</v>
      </c>
      <c r="E96" s="27">
        <f>IF(102.85156="","-",102.85156/1427899.35432*100)</f>
        <v>0.007202997864578515</v>
      </c>
      <c r="F96" s="27">
        <f>IF(OR(1284225.24461="",626.41259="",743.58649=""),"-",(743.58649-626.41259)/1284225.24461*100)</f>
        <v>0.009124092560225599</v>
      </c>
      <c r="G96" s="27">
        <f>IF(OR(1239054.72912="",102.85156="",743.58649=""),"-",(102.85156-743.58649)/1239054.72912*100)</f>
        <v>-0.05171159230836091</v>
      </c>
    </row>
    <row r="97" spans="1:7" ht="15.75">
      <c r="A97" s="47" t="s">
        <v>156</v>
      </c>
      <c r="B97" s="27">
        <f>IF(63.48="","-",63.48)</f>
        <v>63.48</v>
      </c>
      <c r="C97" s="27">
        <f>IF(OR(900.94303="",63.48=""),"-",63.48/900.94303*100)</f>
        <v>7.045950508102604</v>
      </c>
      <c r="D97" s="27">
        <f>IF(900.94303="","-",900.94303/1239054.72912*100)</f>
        <v>0.07271212552813278</v>
      </c>
      <c r="E97" s="27">
        <f>IF(63.48="","-",63.48/1427899.35432*100)</f>
        <v>0.004445691484343496</v>
      </c>
      <c r="F97" s="27">
        <f>IF(OR(1284225.24461="",527.76143="",900.94303=""),"-",(900.94303-527.76143)/1284225.24461*100)</f>
        <v>0.0290588899078471</v>
      </c>
      <c r="G97" s="27">
        <f>IF(OR(1239054.72912="",63.48="",900.94303=""),"-",(63.48-900.94303)/1239054.72912*100)</f>
        <v>-0.06758886515003111</v>
      </c>
    </row>
    <row r="98" spans="1:7" ht="15.75">
      <c r="A98" s="47" t="s">
        <v>211</v>
      </c>
      <c r="B98" s="27">
        <f>IF(61.158="","-",61.158)</f>
        <v>61.158</v>
      </c>
      <c r="C98" s="27">
        <f>IF(OR(317.7785="",61.158=""),"-",61.158/317.7785*100)</f>
        <v>19.24548073579553</v>
      </c>
      <c r="D98" s="27">
        <f>IF(317.7785="","-",317.7785/1239054.72912*100)</f>
        <v>0.02564684937086615</v>
      </c>
      <c r="E98" s="27">
        <f>IF(61.158="","-",61.158/1427899.35432*100)</f>
        <v>0.004283074981088209</v>
      </c>
      <c r="F98" s="27">
        <f>IF(OR(1284225.24461="",8.04462="",317.7785=""),"-",(317.7785-8.04462)/1284225.24461*100)</f>
        <v>0.024118345383722897</v>
      </c>
      <c r="G98" s="27">
        <f>IF(OR(1239054.72912="",61.158="",317.7785=""),"-",(61.158-317.7785)/1239054.72912*100)</f>
        <v>-0.020710989915857608</v>
      </c>
    </row>
    <row r="99" spans="1:7" ht="15.75">
      <c r="A99" s="47" t="s">
        <v>179</v>
      </c>
      <c r="B99" s="27">
        <f>IF(59.72089="","-",59.72089)</f>
        <v>59.72089</v>
      </c>
      <c r="C99" s="27" t="str">
        <f>IF(OR(""="",59.72089=""),"-",59.72089/""*100)</f>
        <v>-</v>
      </c>
      <c r="D99" s="27" t="str">
        <f>IF(""="","-",""/1239054.72912*100)</f>
        <v>-</v>
      </c>
      <c r="E99" s="27">
        <f>IF(59.72089="","-",59.72089/1427899.35432*100)</f>
        <v>0.0041824299324261915</v>
      </c>
      <c r="F99" s="27" t="str">
        <f>IF(OR(1284225.24461="",""="",""=""),"-",(""-"")/1284225.24461*100)</f>
        <v>-</v>
      </c>
      <c r="G99" s="27" t="str">
        <f>IF(OR(1239054.72912="",59.72089="",""=""),"-",(59.72089-"")/1239054.72912*100)</f>
        <v>-</v>
      </c>
    </row>
    <row r="100" spans="1:7" ht="15.75">
      <c r="A100" s="47" t="s">
        <v>252</v>
      </c>
      <c r="B100" s="27">
        <f>IF(55.15="","-",55.15)</f>
        <v>55.15</v>
      </c>
      <c r="C100" s="27" t="str">
        <f>IF(OR(""="",55.15=""),"-",55.15/""*100)</f>
        <v>-</v>
      </c>
      <c r="D100" s="27" t="str">
        <f>IF(""="","-",""/1239054.72912*100)</f>
        <v>-</v>
      </c>
      <c r="E100" s="27">
        <f>IF(55.15="","-",55.15/1427899.35432*100)</f>
        <v>0.003862317034680904</v>
      </c>
      <c r="F100" s="27" t="str">
        <f>IF(OR(1284225.24461="",""="",""=""),"-",(""-"")/1284225.24461*100)</f>
        <v>-</v>
      </c>
      <c r="G100" s="27" t="str">
        <f>IF(OR(1239054.72912="",55.15="",""=""),"-",(55.15-"")/1239054.72912*100)</f>
        <v>-</v>
      </c>
    </row>
    <row r="101" spans="1:7" ht="15.75">
      <c r="A101" s="47" t="s">
        <v>223</v>
      </c>
      <c r="B101" s="27">
        <f>IF(45.4372="","-",45.4372)</f>
        <v>45.4372</v>
      </c>
      <c r="C101" s="27" t="s">
        <v>208</v>
      </c>
      <c r="D101" s="27">
        <f>IF(14.606="","-",14.606/1239054.72912*100)</f>
        <v>0.0011788018444006468</v>
      </c>
      <c r="E101" s="27">
        <f>IF(45.4372="","-",45.4372/1427899.35432*100)</f>
        <v>0.0031821010257153796</v>
      </c>
      <c r="F101" s="27" t="str">
        <f>IF(OR(1284225.24461="",""="",14.606=""),"-",(14.606-"")/1284225.24461*100)</f>
        <v>-</v>
      </c>
      <c r="G101" s="27">
        <f>IF(OR(1239054.72912="",45.4372="",14.606=""),"-",(45.4372-14.606)/1239054.72912*100)</f>
        <v>0.00248828395351809</v>
      </c>
    </row>
    <row r="102" spans="1:7" ht="15.75">
      <c r="A102" s="47" t="s">
        <v>253</v>
      </c>
      <c r="B102" s="27">
        <f>IF(45.3129="","-",45.3129)</f>
        <v>45.3129</v>
      </c>
      <c r="C102" s="27">
        <f>IF(OR(50.13236="",45.3129=""),"-",45.3129/50.13236*100)</f>
        <v>90.38652878101091</v>
      </c>
      <c r="D102" s="27">
        <f>IF(50.13236="","-",50.13236/1239054.72912*100)</f>
        <v>0.004046016598121129</v>
      </c>
      <c r="E102" s="27">
        <f>IF(45.3129="","-",45.3129/1427899.35432*100)</f>
        <v>0.0031733959303860805</v>
      </c>
      <c r="F102" s="27" t="str">
        <f>IF(OR(1284225.24461="",""="",50.13236=""),"-",(50.13236-"")/1284225.24461*100)</f>
        <v>-</v>
      </c>
      <c r="G102" s="27">
        <f>IF(OR(1239054.72912="",45.3129="",50.13236=""),"-",(45.3129-50.13236)/1239054.72912*100)</f>
        <v>-0.0003889626411758963</v>
      </c>
    </row>
    <row r="103" spans="1:7" ht="15.75">
      <c r="A103" s="54" t="s">
        <v>27</v>
      </c>
      <c r="B103" s="54"/>
      <c r="C103" s="54"/>
      <c r="D103" s="54"/>
      <c r="E103" s="54"/>
      <c r="F103" s="54"/>
      <c r="G103" s="54"/>
    </row>
  </sheetData>
  <sheetProtection/>
  <mergeCells count="10">
    <mergeCell ref="A103:G103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5.75"/>
  <cols>
    <col min="1" max="1" width="33.125" style="0" customWidth="1"/>
    <col min="2" max="2" width="11.75390625" style="0" customWidth="1"/>
    <col min="3" max="3" width="9.625" style="0" customWidth="1"/>
    <col min="4" max="4" width="8.25390625" style="0" customWidth="1"/>
    <col min="5" max="5" width="7.375" style="0" customWidth="1"/>
    <col min="6" max="6" width="9.625" style="0" customWidth="1"/>
    <col min="7" max="7" width="10.00390625" style="0" customWidth="1"/>
  </cols>
  <sheetData>
    <row r="1" spans="1:7" ht="15.75">
      <c r="A1" s="68" t="s">
        <v>30</v>
      </c>
      <c r="B1" s="68"/>
      <c r="C1" s="68"/>
      <c r="D1" s="68"/>
      <c r="E1" s="68"/>
      <c r="F1" s="68"/>
      <c r="G1" s="68"/>
    </row>
    <row r="2" ht="15.75">
      <c r="A2" s="2"/>
    </row>
    <row r="3" spans="1:7" ht="56.25" customHeight="1">
      <c r="A3" s="69"/>
      <c r="B3" s="72" t="s">
        <v>246</v>
      </c>
      <c r="C3" s="73"/>
      <c r="D3" s="72" t="s">
        <v>233</v>
      </c>
      <c r="E3" s="73"/>
      <c r="F3" s="74" t="s">
        <v>220</v>
      </c>
      <c r="G3" s="75"/>
    </row>
    <row r="4" spans="1:7" ht="27" customHeight="1">
      <c r="A4" s="70"/>
      <c r="B4" s="76" t="s">
        <v>217</v>
      </c>
      <c r="C4" s="78" t="s">
        <v>247</v>
      </c>
      <c r="D4" s="80" t="s">
        <v>248</v>
      </c>
      <c r="E4" s="80"/>
      <c r="F4" s="80" t="s">
        <v>248</v>
      </c>
      <c r="G4" s="72"/>
    </row>
    <row r="5" spans="1:7" ht="22.5" customHeight="1">
      <c r="A5" s="71"/>
      <c r="B5" s="77"/>
      <c r="C5" s="79"/>
      <c r="D5" s="18">
        <v>2016</v>
      </c>
      <c r="E5" s="18">
        <v>2017</v>
      </c>
      <c r="F5" s="18" t="s">
        <v>2</v>
      </c>
      <c r="G5" s="19" t="s">
        <v>186</v>
      </c>
    </row>
    <row r="6" spans="1:7" s="3" customFormat="1" ht="15">
      <c r="A6" s="7" t="s">
        <v>29</v>
      </c>
      <c r="B6" s="34">
        <f>IF(3007987.9188="","-",3007987.9188)</f>
        <v>3007987.9188</v>
      </c>
      <c r="C6" s="34">
        <f>IF(2533522.81179="","-",3007987.9188/2533522.81179*100)</f>
        <v>118.72748509711575</v>
      </c>
      <c r="D6" s="34">
        <v>100</v>
      </c>
      <c r="E6" s="34">
        <v>100</v>
      </c>
      <c r="F6" s="34">
        <f>IF(2624773.92828="","-",(2533522.81179-2624773.92828)/2624773.92828*100)</f>
        <v>-3.4765324170145306</v>
      </c>
      <c r="G6" s="34">
        <f>IF(2533522.81179="","-",(3007987.9188-2533522.81179)/2533522.81179*100)</f>
        <v>18.72748509711574</v>
      </c>
    </row>
    <row r="7" spans="1:7" ht="12.75" customHeight="1">
      <c r="A7" s="8" t="s">
        <v>3</v>
      </c>
      <c r="B7" s="38"/>
      <c r="C7" s="39"/>
      <c r="D7" s="40"/>
      <c r="E7" s="40"/>
      <c r="F7" s="41"/>
      <c r="G7" s="41"/>
    </row>
    <row r="8" spans="1:7" ht="15.75">
      <c r="A8" s="9" t="s">
        <v>4</v>
      </c>
      <c r="B8" s="26">
        <f>IF(1498577.69562="","-",1498577.69562)</f>
        <v>1498577.69562</v>
      </c>
      <c r="C8" s="26">
        <f>IF(1262238.64331="","-",1498577.69562/1262238.64331*100)</f>
        <v>118.72380104686403</v>
      </c>
      <c r="D8" s="26">
        <f>IF(1262238.64331="","-",1262238.64331/2533522.81179*100)</f>
        <v>49.82148324996511</v>
      </c>
      <c r="E8" s="26">
        <f>IF(1498577.69562="","-",1498577.69562/3007987.9188*100)</f>
        <v>49.81993731603281</v>
      </c>
      <c r="F8" s="26">
        <f>IF(2624773.92828="","-",(1262238.64331-1289976.04301)/2624773.92828*100)</f>
        <v>-1.0567538560616576</v>
      </c>
      <c r="G8" s="26">
        <f>IF(2533522.81179="","-",(1498577.69562-1262238.64331)/2533522.81179*100)</f>
        <v>9.328475402320148</v>
      </c>
    </row>
    <row r="9" spans="1:7" s="16" customFormat="1" ht="15.75">
      <c r="A9" s="47" t="s">
        <v>5</v>
      </c>
      <c r="B9" s="27">
        <f>IF(426259.91798="","-",426259.91798)</f>
        <v>426259.91798</v>
      </c>
      <c r="C9" s="27">
        <f>IF(OR(346109.67762="",426259.91798=""),"-",426259.91798/346109.67762*100)</f>
        <v>123.15746872816379</v>
      </c>
      <c r="D9" s="27">
        <f>IF(346109.67762="","-",346109.67762/2533522.81179*100)</f>
        <v>13.661202338867612</v>
      </c>
      <c r="E9" s="27">
        <f>IF(426259.91798="","-",426259.91798/3007987.9188*100)</f>
        <v>14.170931848358325</v>
      </c>
      <c r="F9" s="27">
        <f>IF(OR(2624773.92828="",383397.96528="",346109.67762=""),"-",(346109.67762-383397.96528)/2624773.92828*100)</f>
        <v>-1.4206285447385116</v>
      </c>
      <c r="G9" s="27">
        <f>IF(OR(2533522.81179="",426259.91798="",346109.67762=""),"-",(426259.91798-346109.67762)/2533522.81179*100)</f>
        <v>3.163588659514449</v>
      </c>
    </row>
    <row r="10" spans="1:7" s="16" customFormat="1" ht="15.75">
      <c r="A10" s="47" t="s">
        <v>7</v>
      </c>
      <c r="B10" s="27">
        <f>IF(243960.15419="","-",243960.15419)</f>
        <v>243960.15419</v>
      </c>
      <c r="C10" s="27">
        <f>IF(OR(203505.08326="",243960.15419=""),"-",243960.15419/203505.08326*100)</f>
        <v>119.87914517020404</v>
      </c>
      <c r="D10" s="27">
        <f>IF(203505.08326="","-",203505.08326/2533522.81179*100)</f>
        <v>8.032494608415163</v>
      </c>
      <c r="E10" s="27">
        <f>IF(243960.15419="","-",243960.15419/3007987.9188*100)</f>
        <v>8.110410040720009</v>
      </c>
      <c r="F10" s="27">
        <f>IF(OR(2624773.92828="",211183.02739="",203505.08326=""),"-",(203505.08326-211183.02739)/2624773.92828*100)</f>
        <v>-0.2925183021393124</v>
      </c>
      <c r="G10" s="27">
        <f>IF(OR(2533522.81179="",243960.15419="",203505.08326=""),"-",(243960.15419-203505.08326)/2533522.81179*100)</f>
        <v>1.5967912639956623</v>
      </c>
    </row>
    <row r="11" spans="1:7" s="16" customFormat="1" ht="15.75">
      <c r="A11" s="47" t="s">
        <v>6</v>
      </c>
      <c r="B11" s="27">
        <f>IF(216869.20844="","-",216869.20844)</f>
        <v>216869.20844</v>
      </c>
      <c r="C11" s="27">
        <f>IF(OR(186028.05975="",216869.20844=""),"-",216869.20844/186028.05975*100)</f>
        <v>116.57876168328956</v>
      </c>
      <c r="D11" s="27">
        <f>IF(186028.05975="","-",186028.05975/2533522.81179*100)</f>
        <v>7.342663696742729</v>
      </c>
      <c r="E11" s="27">
        <f>IF(216869.20844="","-",216869.20844/3007987.9188*100)</f>
        <v>7.209776578042816</v>
      </c>
      <c r="F11" s="27">
        <f>IF(OR(2624773.92828="",180613.17235="",186028.05975=""),"-",(186028.05975-180613.17235)/2624773.92828*100)</f>
        <v>0.2062991917764256</v>
      </c>
      <c r="G11" s="27">
        <f>IF(OR(2533522.81179="",216869.20844="",186028.05975=""),"-",(216869.20844-186028.05975)/2533522.81179*100)</f>
        <v>1.2173227154883963</v>
      </c>
    </row>
    <row r="12" spans="1:7" s="16" customFormat="1" ht="15.75">
      <c r="A12" s="47" t="s">
        <v>8</v>
      </c>
      <c r="B12" s="27">
        <f>IF(99455.75898="","-",99455.75898)</f>
        <v>99455.75898</v>
      </c>
      <c r="C12" s="27">
        <f>IF(OR(80828.50916="",99455.75898=""),"-",99455.75898/80828.50916*100)</f>
        <v>123.04539575649893</v>
      </c>
      <c r="D12" s="27">
        <f>IF(80828.50916="","-",80828.50916/2533522.81179*100)</f>
        <v>3.190360425564613</v>
      </c>
      <c r="E12" s="27">
        <f>IF(99455.75898="","-",99455.75898/3007987.9188*100)</f>
        <v>3.306388245723961</v>
      </c>
      <c r="F12" s="27">
        <f>IF(OR(2624773.92828="",77732.93493="",80828.50916=""),"-",(80828.50916-77732.93493)/2624773.92828*100)</f>
        <v>0.11793679435198104</v>
      </c>
      <c r="G12" s="27">
        <f>IF(OR(2533522.81179="",99455.75898="",80828.50916=""),"-",(99455.75898-80828.50916)/2533522.81179*100)</f>
        <v>0.7352311861300889</v>
      </c>
    </row>
    <row r="13" spans="1:7" s="16" customFormat="1" ht="15.75">
      <c r="A13" s="47" t="s">
        <v>200</v>
      </c>
      <c r="B13" s="27">
        <f>IF(77331.48602="","-",77331.48602)</f>
        <v>77331.48602</v>
      </c>
      <c r="C13" s="27">
        <f>IF(OR(62361.12496="",77331.48602=""),"-",77331.48602/62361.12496*100)</f>
        <v>124.00591886307754</v>
      </c>
      <c r="D13" s="27">
        <f>IF(62361.12496="","-",62361.12496/2533522.81179*100)</f>
        <v>2.4614392524826028</v>
      </c>
      <c r="E13" s="27">
        <f>IF(77331.48602="","-",77331.48602/3007987.9188*100)</f>
        <v>2.5708708980071453</v>
      </c>
      <c r="F13" s="27">
        <f>IF(OR(2624773.92828="",55588.39001="",62361.12496=""),"-",(62361.12496-55588.39001)/2624773.92828*100)</f>
        <v>0.2580311727813501</v>
      </c>
      <c r="G13" s="27">
        <f>IF(OR(2533522.81179="",77331.48602="",62361.12496=""),"-",(77331.48602-62361.12496)/2533522.81179*100)</f>
        <v>0.5908911098149159</v>
      </c>
    </row>
    <row r="14" spans="1:7" s="16" customFormat="1" ht="15.75">
      <c r="A14" s="47" t="s">
        <v>125</v>
      </c>
      <c r="B14" s="27">
        <f>IF(62908.3974="","-",62908.3974)</f>
        <v>62908.3974</v>
      </c>
      <c r="C14" s="27">
        <f>IF(OR(52251.85487="",62908.3974=""),"-",62908.3974/52251.85487*100)</f>
        <v>120.39457270275464</v>
      </c>
      <c r="D14" s="27">
        <f>IF(52251.85487="","-",52251.85487/2533522.81179*100)</f>
        <v>2.0624189617255784</v>
      </c>
      <c r="E14" s="27">
        <f>IF(62908.3974="","-",62908.3974/3007987.9188*100)</f>
        <v>2.091377994134249</v>
      </c>
      <c r="F14" s="27">
        <f>IF(OR(2624773.92828="",44660.2341299999="",52251.85487=""),"-",(52251.85487-44660.2341299999)/2624773.92828*100)</f>
        <v>0.2892295088047772</v>
      </c>
      <c r="G14" s="27">
        <f>IF(OR(2533522.81179="",62908.3974="",52251.85487=""),"-",(62908.3974-52251.85487)/2533522.81179*100)</f>
        <v>0.4206215345845208</v>
      </c>
    </row>
    <row r="15" spans="1:7" s="16" customFormat="1" ht="15.75">
      <c r="A15" s="47" t="s">
        <v>11</v>
      </c>
      <c r="B15" s="27">
        <f>IF(50411.08263="","-",50411.08263)</f>
        <v>50411.08263</v>
      </c>
      <c r="C15" s="27">
        <f>IF(OR(49772.39572="",50411.08263=""),"-",50411.08263/49772.39572*100)</f>
        <v>101.28321512509264</v>
      </c>
      <c r="D15" s="27">
        <f>IF(49772.39572="","-",49772.39572/2533522.81179*100)</f>
        <v>1.9645528940327364</v>
      </c>
      <c r="E15" s="27">
        <f>IF(50411.08263="","-",50411.08263/3007987.9188*100)</f>
        <v>1.675907084431073</v>
      </c>
      <c r="F15" s="27">
        <f>IF(OR(2624773.92828="",60601.96308="",49772.39572=""),"-",(49772.39572-60601.96308)/2624773.92828*100)</f>
        <v>-0.41259048039602236</v>
      </c>
      <c r="G15" s="27">
        <f>IF(OR(2533522.81179="",50411.08263="",49772.39572=""),"-",(50411.08263-49772.39572)/2533522.81179*100)</f>
        <v>0.025209439876673054</v>
      </c>
    </row>
    <row r="16" spans="1:7" s="16" customFormat="1" ht="15.75">
      <c r="A16" s="47" t="s">
        <v>9</v>
      </c>
      <c r="B16" s="27">
        <f>IF(46267.42269="","-",46267.42269)</f>
        <v>46267.42269</v>
      </c>
      <c r="C16" s="27">
        <f>IF(OR(35673.19616="",46267.42269=""),"-",46267.42269/35673.19616*100)</f>
        <v>129.6980020586975</v>
      </c>
      <c r="D16" s="27">
        <f>IF(35673.19616="","-",35673.19616/2533522.81179*100)</f>
        <v>1.4080471663405294</v>
      </c>
      <c r="E16" s="27">
        <f>IF(46267.42269="","-",46267.42269/3007987.9188*100)</f>
        <v>1.538151878896436</v>
      </c>
      <c r="F16" s="27">
        <f>IF(OR(2624773.92828="",43358.52708="",35673.19616=""),"-",(35673.19616-43358.52708)/2624773.92828*100)</f>
        <v>-0.2927997279002293</v>
      </c>
      <c r="G16" s="27">
        <f>IF(OR(2533522.81179="",46267.42269="",35673.19616=""),"-",(46267.42269-35673.19616)/2533522.81179*100)</f>
        <v>0.41816187644724234</v>
      </c>
    </row>
    <row r="17" spans="1:7" s="16" customFormat="1" ht="15.75">
      <c r="A17" s="47" t="s">
        <v>10</v>
      </c>
      <c r="B17" s="27">
        <f>IF(41959.47456="","-",41959.47456)</f>
        <v>41959.47456</v>
      </c>
      <c r="C17" s="27">
        <f>IF(OR(34390.58399="",41959.47456=""),"-",41959.47456/34390.58399*100)</f>
        <v>122.00861309072526</v>
      </c>
      <c r="D17" s="27">
        <f>IF(34390.58399="","-",34390.58399/2533522.81179*100)</f>
        <v>1.3574215250780455</v>
      </c>
      <c r="E17" s="27">
        <f>IF(41959.47456="","-",41959.47456/3007987.9188*100)</f>
        <v>1.3949349429813942</v>
      </c>
      <c r="F17" s="27">
        <f>IF(OR(2624773.92828="",31976.68686="",34390.58399=""),"-",(34390.58399-31976.68686)/2624773.92828*100)</f>
        <v>0.09196590624404026</v>
      </c>
      <c r="G17" s="27">
        <f>IF(OR(2533522.81179="",41959.47456="",34390.58399=""),"-",(41959.47456-34390.58399)/2533522.81179*100)</f>
        <v>0.2987496514646491</v>
      </c>
    </row>
    <row r="18" spans="1:7" s="16" customFormat="1" ht="15.75">
      <c r="A18" s="47" t="s">
        <v>123</v>
      </c>
      <c r="B18" s="27">
        <f>IF(38821.20013="","-",38821.20013)</f>
        <v>38821.20013</v>
      </c>
      <c r="C18" s="27">
        <f>IF(OR(32896.38315="",38821.20013=""),"-",38821.20013/32896.38315*100)</f>
        <v>118.0105422319049</v>
      </c>
      <c r="D18" s="27">
        <f>IF(32896.38315="","-",32896.38315/2533522.81179*100)</f>
        <v>1.2984443241210781</v>
      </c>
      <c r="E18" s="27">
        <f>IF(38821.20013="","-",38821.20013/3007987.9188*100)</f>
        <v>1.2906035921011025</v>
      </c>
      <c r="F18" s="27">
        <f>IF(OR(2624773.92828="",29376.64909="",32896.38315=""),"-",(32896.38315-29376.64909)/2624773.92828*100)</f>
        <v>0.13409665579490362</v>
      </c>
      <c r="G18" s="27">
        <f>IF(OR(2533522.81179="",38821.20013="",32896.38315=""),"-",(38821.20013-32896.38315)/2533522.81179*100)</f>
        <v>0.23385686335359884</v>
      </c>
    </row>
    <row r="19" spans="1:7" s="16" customFormat="1" ht="15.75">
      <c r="A19" s="47" t="s">
        <v>209</v>
      </c>
      <c r="B19" s="27">
        <f>IF(37881.92864="","-",37881.92864)</f>
        <v>37881.92864</v>
      </c>
      <c r="C19" s="27">
        <f>IF(OR(40253.92422="",37881.92864=""),"-",37881.92864/40253.92422*100)</f>
        <v>94.10741778357728</v>
      </c>
      <c r="D19" s="27">
        <f>IF(40253.92422="","-",40253.92422/2533522.81179*100)</f>
        <v>1.5888518561062235</v>
      </c>
      <c r="E19" s="27">
        <f>IF(37881.92864="","-",37881.92864/3007987.9188*100)</f>
        <v>1.2593776857691812</v>
      </c>
      <c r="F19" s="27">
        <f>IF(OR(2624773.92828="",34220.46869="",40253.92422=""),"-",(40253.92422-34220.46869)/2624773.92828*100)</f>
        <v>0.22986572157677934</v>
      </c>
      <c r="G19" s="27">
        <f>IF(OR(2533522.81179="",37881.92864="",40253.92422=""),"-",(37881.92864-40253.92422)/2533522.81179*100)</f>
        <v>-0.0936244019182178</v>
      </c>
    </row>
    <row r="20" spans="1:7" s="16" customFormat="1" ht="15.75">
      <c r="A20" s="47" t="s">
        <v>13</v>
      </c>
      <c r="B20" s="27">
        <f>IF(30319.40197="","-",30319.40197)</f>
        <v>30319.40197</v>
      </c>
      <c r="C20" s="27">
        <f>IF(OR(26809.67025="",30319.40197=""),"-",30319.40197/26809.67025*100)</f>
        <v>113.09129014744224</v>
      </c>
      <c r="D20" s="27">
        <f>IF(26809.67025="","-",26809.67025/2533522.81179*100)</f>
        <v>1.0581973102921567</v>
      </c>
      <c r="E20" s="27">
        <f>IF(30319.40197="","-",30319.40197/3007987.9188*100)</f>
        <v>1.0079628904259545</v>
      </c>
      <c r="F20" s="27">
        <f>IF(OR(2624773.92828="",27818.37391="",26809.67025=""),"-",(26809.67025-27818.37391)/2624773.92828*100)</f>
        <v>-0.03843011579519144</v>
      </c>
      <c r="G20" s="27">
        <f>IF(OR(2533522.81179="",30319.40197="",26809.67025=""),"-",(30319.40197-26809.67025)/2533522.81179*100)</f>
        <v>0.13853168022277573</v>
      </c>
    </row>
    <row r="21" spans="1:7" s="16" customFormat="1" ht="15.75">
      <c r="A21" s="47" t="s">
        <v>124</v>
      </c>
      <c r="B21" s="27">
        <f>IF(24192.0483="","-",24192.0483)</f>
        <v>24192.0483</v>
      </c>
      <c r="C21" s="27">
        <f>IF(OR(20578.24586="",24192.0483=""),"-",24192.0483/20578.24586*100)</f>
        <v>117.56127545849043</v>
      </c>
      <c r="D21" s="27">
        <f>IF(20578.24586="","-",20578.24586/2533522.81179*100)</f>
        <v>0.8122384280195578</v>
      </c>
      <c r="E21" s="27">
        <f>IF(24192.0483="","-",24192.0483/3007987.9188*100)</f>
        <v>0.8042601550624285</v>
      </c>
      <c r="F21" s="27">
        <f>IF(OR(2624773.92828="",22836.22662="",20578.24586=""),"-",(20578.24586-22836.22662)/2624773.92828*100)</f>
        <v>-0.08602572342219372</v>
      </c>
      <c r="G21" s="27">
        <f>IF(OR(2533522.81179="",24192.0483="",20578.24586=""),"-",(24192.0483-20578.24586)/2533522.81179*100)</f>
        <v>0.14263942772422694</v>
      </c>
    </row>
    <row r="22" spans="1:7" s="16" customFormat="1" ht="15.75">
      <c r="A22" s="47" t="s">
        <v>12</v>
      </c>
      <c r="B22" s="27">
        <f>IF(15364.08385="","-",15364.08385)</f>
        <v>15364.08385</v>
      </c>
      <c r="C22" s="27">
        <f>IF(OR(12504.14236="",15364.08385=""),"-",15364.08385/12504.14236*100)</f>
        <v>122.87195241113682</v>
      </c>
      <c r="D22" s="27">
        <f>IF(12504.14236="","-",12504.14236/2533522.81179*100)</f>
        <v>0.4935476523760011</v>
      </c>
      <c r="E22" s="27">
        <f>IF(15364.08385="","-",15364.08385/3007987.9188*100)</f>
        <v>0.5107761156211463</v>
      </c>
      <c r="F22" s="27">
        <f>IF(OR(2624773.92828="",13230.35184="",12504.14236=""),"-",(12504.14236-13230.35184)/2624773.92828*100)</f>
        <v>-0.027667505844051133</v>
      </c>
      <c r="G22" s="27">
        <f>IF(OR(2533522.81179="",15364.08385="",12504.14236=""),"-",(15364.08385-12504.14236)/2533522.81179*100)</f>
        <v>0.112883984177722</v>
      </c>
    </row>
    <row r="23" spans="1:7" s="16" customFormat="1" ht="15.75">
      <c r="A23" s="47" t="s">
        <v>127</v>
      </c>
      <c r="B23" s="27">
        <f>IF(14564.18371="","-",14564.18371)</f>
        <v>14564.18371</v>
      </c>
      <c r="C23" s="27">
        <f>IF(OR(12234.07188="",14564.18371=""),"-",14564.18371/12234.07188*100)</f>
        <v>119.04608582371677</v>
      </c>
      <c r="D23" s="27">
        <f>IF(12234.07188="","-",12234.07188/2533522.81179*100)</f>
        <v>0.48288777283028717</v>
      </c>
      <c r="E23" s="27">
        <f>IF(14564.18371="","-",14564.18371/3007987.9188*100)</f>
        <v>0.4841835839490407</v>
      </c>
      <c r="F23" s="27">
        <f>IF(OR(2624773.92828="",9440.66376="",12234.07188=""),"-",(12234.07188-9440.66376)/2624773.92828*100)</f>
        <v>0.10642471299730201</v>
      </c>
      <c r="G23" s="27">
        <f>IF(OR(2533522.81179="",14564.18371="",12234.07188=""),"-",(14564.18371-12234.07188)/2533522.81179*100)</f>
        <v>0.09197121964549097</v>
      </c>
    </row>
    <row r="24" spans="1:7" s="16" customFormat="1" ht="15.75">
      <c r="A24" s="47" t="s">
        <v>133</v>
      </c>
      <c r="B24" s="27">
        <f>IF(11817.78769="","-",11817.78769)</f>
        <v>11817.78769</v>
      </c>
      <c r="C24" s="27">
        <f>IF(OR(11162.61451="",11817.78769=""),"-",11817.78769/11162.61451*100)</f>
        <v>105.86935237630095</v>
      </c>
      <c r="D24" s="27">
        <f>IF(11162.61451="","-",11162.61451/2533522.81179*100)</f>
        <v>0.4405965660957803</v>
      </c>
      <c r="E24" s="27">
        <f>IF(11817.78769="","-",11817.78769/3007987.9188*100)</f>
        <v>0.3928801580664114</v>
      </c>
      <c r="F24" s="27">
        <f>IF(OR(2624773.92828="",9294.26283="",11162.61451=""),"-",(11162.61451-9294.26283)/2624773.92828*100)</f>
        <v>0.07118143242242277</v>
      </c>
      <c r="G24" s="27">
        <f>IF(OR(2533522.81179="",11817.78769="",11162.61451=""),"-",(11817.78769-11162.61451)/2533522.81179*100)</f>
        <v>0.025860165022043073</v>
      </c>
    </row>
    <row r="25" spans="1:7" s="16" customFormat="1" ht="15.75">
      <c r="A25" s="47" t="s">
        <v>135</v>
      </c>
      <c r="B25" s="27">
        <f>IF(9911.66615="","-",9911.66615)</f>
        <v>9911.66615</v>
      </c>
      <c r="C25" s="27">
        <f>IF(OR(9100.70131="",9911.66615=""),"-",9911.66615/9100.70131*100)</f>
        <v>108.9110147929907</v>
      </c>
      <c r="D25" s="27">
        <f>IF(9100.70131="","-",9100.70131/2533522.81179*100)</f>
        <v>0.35921134270625005</v>
      </c>
      <c r="E25" s="27">
        <f>IF(9911.66615="","-",9911.66615/3007987.9188*100)</f>
        <v>0.329511501294664</v>
      </c>
      <c r="F25" s="27">
        <f>IF(OR(2624773.92828="",10416.22141="",9100.70131=""),"-",(9100.70131-10416.22141)/2624773.92828*100)</f>
        <v>-0.05011936783683511</v>
      </c>
      <c r="G25" s="27">
        <f>IF(OR(2533522.81179="",9911.66615="",9100.70131=""),"-",(9911.66615-9100.70131)/2533522.81179*100)</f>
        <v>0.03200937588665447</v>
      </c>
    </row>
    <row r="26" spans="1:7" s="16" customFormat="1" ht="15.75">
      <c r="A26" s="47" t="s">
        <v>131</v>
      </c>
      <c r="B26" s="27">
        <f>IF(9753.1721="","-",9753.1721)</f>
        <v>9753.1721</v>
      </c>
      <c r="C26" s="27">
        <f>IF(OR(7374.60855="",9753.1721=""),"-",9753.1721/7374.60855*100)</f>
        <v>132.25342109853412</v>
      </c>
      <c r="D26" s="27">
        <f>IF(7374.60855="","-",7374.60855/2533522.81179*100)</f>
        <v>0.29108119791467935</v>
      </c>
      <c r="E26" s="27">
        <f>IF(9753.1721="","-",9753.1721/3007987.9188*100)</f>
        <v>0.32424239602301685</v>
      </c>
      <c r="F26" s="27">
        <f>IF(OR(2624773.92828="",9601.738="",7374.60855=""),"-",(7374.60855-9601.738)/2624773.92828*100)</f>
        <v>-0.08485033419466434</v>
      </c>
      <c r="G26" s="27">
        <f>IF(OR(2533522.81179="",9753.1721="",7374.60855=""),"-",(9753.1721-7374.60855)/2533522.81179*100)</f>
        <v>0.093883644502079</v>
      </c>
    </row>
    <row r="27" spans="1:7" s="16" customFormat="1" ht="15.75">
      <c r="A27" s="47" t="s">
        <v>132</v>
      </c>
      <c r="B27" s="27">
        <f>IF(8492.17658="","-",8492.17658)</f>
        <v>8492.17658</v>
      </c>
      <c r="C27" s="27">
        <f>IF(OR(6937.60582="",8492.17658=""),"-",8492.17658/6937.60582*100)</f>
        <v>122.40788537622622</v>
      </c>
      <c r="D27" s="27">
        <f>IF(6937.60582="","-",6937.60582/2533522.81179*100)</f>
        <v>0.27383238026179046</v>
      </c>
      <c r="E27" s="27">
        <f>IF(8492.17658="","-",8492.17658/3007987.9188*100)</f>
        <v>0.28232083403406255</v>
      </c>
      <c r="F27" s="27">
        <f>IF(OR(2624773.92828="",7817.66221="",6937.60582=""),"-",(6937.60582-7817.66221)/2624773.92828*100)</f>
        <v>-0.03352884530427719</v>
      </c>
      <c r="G27" s="27">
        <f>IF(OR(2533522.81179="",8492.17658="",6937.60582=""),"-",(8492.17658-6937.60582)/2533522.81179*100)</f>
        <v>0.06136004589205395</v>
      </c>
    </row>
    <row r="28" spans="1:7" s="16" customFormat="1" ht="15.75">
      <c r="A28" s="47" t="s">
        <v>134</v>
      </c>
      <c r="B28" s="27">
        <f>IF(8036.30951="","-",8036.30951)</f>
        <v>8036.30951</v>
      </c>
      <c r="C28" s="27">
        <f>IF(OR(8424.78401="",8036.30951=""),"-",8036.30951/8424.78401*100)</f>
        <v>95.38890849262259</v>
      </c>
      <c r="D28" s="27">
        <f>IF(8424.78401="","-",8424.78401/2533522.81179*100)</f>
        <v>0.3325323920824565</v>
      </c>
      <c r="E28" s="27">
        <f>IF(8036.30951="","-",8036.30951/3007987.9188*100)</f>
        <v>0.267165617912654</v>
      </c>
      <c r="F28" s="27">
        <f>IF(OR(2624773.92828="",4538.54386="",8424.78401=""),"-",(8424.78401-4538.54386)/2624773.92828*100)</f>
        <v>0.1480599951153367</v>
      </c>
      <c r="G28" s="27">
        <f>IF(OR(2533522.81179="",8036.30951="",8424.78401=""),"-",(8036.30951-8424.78401)/2533522.81179*100)</f>
        <v>-0.015333372890593078</v>
      </c>
    </row>
    <row r="29" spans="1:7" s="16" customFormat="1" ht="15.75">
      <c r="A29" s="47" t="s">
        <v>126</v>
      </c>
      <c r="B29" s="27">
        <f>IF(7394.89161="","-",7394.89161)</f>
        <v>7394.89161</v>
      </c>
      <c r="C29" s="27">
        <f>IF(OR(8621.41914="",7394.89161=""),"-",7394.89161/8621.41914*100)</f>
        <v>85.7734845031557</v>
      </c>
      <c r="D29" s="27">
        <f>IF(8621.41914="","-",8621.41914/2533522.81179*100)</f>
        <v>0.3402937246066769</v>
      </c>
      <c r="E29" s="27">
        <f>IF(7394.89161="","-",7394.89161/3007987.9188*100)</f>
        <v>0.2458417988909377</v>
      </c>
      <c r="F29" s="27">
        <f>IF(OR(2624773.92828="",6452.17924="",8621.41914=""),"-",(8621.41914-6452.17924)/2624773.92828*100)</f>
        <v>0.08264482806035377</v>
      </c>
      <c r="G29" s="27">
        <f>IF(OR(2533522.81179="",7394.89161="",8621.41914=""),"-",(7394.89161-8621.41914)/2533522.81179*100)</f>
        <v>-0.04841193946595754</v>
      </c>
    </row>
    <row r="30" spans="1:7" s="16" customFormat="1" ht="15.75">
      <c r="A30" s="47" t="s">
        <v>128</v>
      </c>
      <c r="B30" s="27">
        <f>IF(5008.0445="","-",5008.0445)</f>
        <v>5008.0445</v>
      </c>
      <c r="C30" s="27">
        <f>IF(OR(5292.93492="",5008.0445=""),"-",5008.0445/5292.93492*100)</f>
        <v>94.61753404668728</v>
      </c>
      <c r="D30" s="27">
        <f>IF(5292.93492="","-",5292.93492/2533522.81179*100)</f>
        <v>0.20891601588779074</v>
      </c>
      <c r="E30" s="27">
        <f>IF(5008.0445="","-",5008.0445/3007987.9188*100)</f>
        <v>0.16649150977966354</v>
      </c>
      <c r="F30" s="27">
        <f>IF(OR(2624773.92828="",4893.08582="",5292.93492=""),"-",(5292.93492-4893.08582)/2624773.92828*100)</f>
        <v>0.015233658628345883</v>
      </c>
      <c r="G30" s="27">
        <f>IF(OR(2533522.81179="",5008.0445="",5292.93492=""),"-",(5008.0445-5292.93492)/2533522.81179*100)</f>
        <v>-0.011244833426177726</v>
      </c>
    </row>
    <row r="31" spans="1:7" s="16" customFormat="1" ht="15.75">
      <c r="A31" s="47" t="s">
        <v>136</v>
      </c>
      <c r="B31" s="27">
        <f>IF(4536.71105="","-",4536.71105)</f>
        <v>4536.71105</v>
      </c>
      <c r="C31" s="27">
        <f>IF(OR(3452.29913="",4536.71105=""),"-",4536.71105/3452.29913*100)</f>
        <v>131.41129662191238</v>
      </c>
      <c r="D31" s="27">
        <f>IF(3452.29913="","-",3452.29913/2533522.81179*100)</f>
        <v>0.13626477385300748</v>
      </c>
      <c r="E31" s="27">
        <f>IF(4536.71105="","-",4536.71105/3007987.9188*100)</f>
        <v>0.1508221167261159</v>
      </c>
      <c r="F31" s="27">
        <f>IF(OR(2624773.92828="",3970.40209="",3452.29913=""),"-",(3452.29913-3970.40209)/2624773.92828*100)</f>
        <v>-0.019738955588434626</v>
      </c>
      <c r="G31" s="27">
        <f>IF(OR(2533522.81179="",4536.71105="",3452.29913=""),"-",(4536.71105-3452.29913)/2533522.81179*100)</f>
        <v>0.042802532306146265</v>
      </c>
    </row>
    <row r="32" spans="1:7" s="16" customFormat="1" ht="15.75">
      <c r="A32" s="47" t="s">
        <v>129</v>
      </c>
      <c r="B32" s="27">
        <f>IF(3148.56159="","-",3148.56159)</f>
        <v>3148.56159</v>
      </c>
      <c r="C32" s="27">
        <f>IF(OR(2597.3963="",3148.56159=""),"-",3148.56159/2597.3963*100)</f>
        <v>121.21991511268419</v>
      </c>
      <c r="D32" s="27">
        <f>IF(2597.3963="","-",2597.3963/2533522.81179*100)</f>
        <v>0.1025211333370577</v>
      </c>
      <c r="E32" s="27">
        <f>IF(3148.56159="","-",3148.56159/3007987.9188*100)</f>
        <v>0.10467334560492782</v>
      </c>
      <c r="F32" s="27">
        <f>IF(OR(2624773.92828="",4066.80416="",2597.3963=""),"-",(2597.3963-4066.80416)/2624773.92828*100)</f>
        <v>-0.055982263621571986</v>
      </c>
      <c r="G32" s="27">
        <f>IF(OR(2533522.81179="",3148.56159="",2597.3963=""),"-",(3148.56159-2597.3963)/2533522.81179*100)</f>
        <v>0.021754897466685418</v>
      </c>
    </row>
    <row r="33" spans="1:7" s="16" customFormat="1" ht="15.75">
      <c r="A33" s="47" t="s">
        <v>137</v>
      </c>
      <c r="B33" s="27">
        <f>IF(1720.91964="","-",1720.91964)</f>
        <v>1720.91964</v>
      </c>
      <c r="C33" s="27">
        <f>IF(OR(1443.2252="",1720.91964=""),"-",1720.91964/1443.2252*100)</f>
        <v>119.24124107589029</v>
      </c>
      <c r="D33" s="27">
        <f>IF(1443.2252="","-",1443.2252/2533522.81179*100)</f>
        <v>0.056965155130390306</v>
      </c>
      <c r="E33" s="27">
        <f>IF(1720.91964="","-",1720.91964/3007987.9188*100)</f>
        <v>0.05721165398451932</v>
      </c>
      <c r="F33" s="27">
        <f>IF(OR(2624773.92828="",1314.77036="",1443.2252=""),"-",(1443.2252-1314.77036)/2624773.92828*100)</f>
        <v>0.004893939192857491</v>
      </c>
      <c r="G33" s="27">
        <f>IF(OR(2533522.81179="",1720.91964="",1443.2252=""),"-",(1720.91964-1443.2252)/2533522.81179*100)</f>
        <v>0.010960802827893293</v>
      </c>
    </row>
    <row r="34" spans="1:7" s="16" customFormat="1" ht="15.75">
      <c r="A34" s="47" t="s">
        <v>201</v>
      </c>
      <c r="B34" s="27">
        <f>IF(1322.92434="","-",1322.92434)</f>
        <v>1322.92434</v>
      </c>
      <c r="C34" s="27">
        <f>IF(OR(1016.72278="",1322.92434=""),"-",1322.92434/1016.72278*100)</f>
        <v>130.1165239948691</v>
      </c>
      <c r="D34" s="27">
        <f>IF(1016.72278="","-",1016.72278/2533522.81179*100)</f>
        <v>0.04013079239975971</v>
      </c>
      <c r="E34" s="27">
        <f>IF(1322.92434="","-",1322.92434/3007987.9188*100)</f>
        <v>0.043980374114260555</v>
      </c>
      <c r="F34" s="27">
        <f>IF(OR(2624773.92828="",909.19885="",1016.72278=""),"-",(1016.72278-909.19885)/2624773.92828*100)</f>
        <v>0.004096502515569399</v>
      </c>
      <c r="G34" s="27">
        <f>IF(OR(2533522.81179="",1322.92434="",1016.72278=""),"-",(1322.92434-1016.72278)/2533522.81179*100)</f>
        <v>0.012085999722404737</v>
      </c>
    </row>
    <row r="35" spans="1:7" s="16" customFormat="1" ht="15.75">
      <c r="A35" s="47" t="s">
        <v>130</v>
      </c>
      <c r="B35" s="27">
        <f>IF(647.41559="","-",647.41559)</f>
        <v>647.41559</v>
      </c>
      <c r="C35" s="27" t="s">
        <v>214</v>
      </c>
      <c r="D35" s="27">
        <f>IF(376.83504="","-",376.83504/2533522.81179*100)</f>
        <v>0.014873954883941075</v>
      </c>
      <c r="E35" s="27">
        <f>IF(647.41559="","-",647.41559/3007987.9188*100)</f>
        <v>0.021523211112439523</v>
      </c>
      <c r="F35" s="27">
        <f>IF(OR(2624773.92828="",526.7606="",376.83504=""),"-",(376.83504-526.7606)/2624773.92828*100)</f>
        <v>-0.00571194183181503</v>
      </c>
      <c r="G35" s="27">
        <f>IF(OR(2533522.81179="",647.41559="",376.83504=""),"-",(647.41559-376.83504)/2533522.81179*100)</f>
        <v>0.010680012382001319</v>
      </c>
    </row>
    <row r="36" spans="1:7" s="16" customFormat="1" ht="15.75">
      <c r="A36" s="47" t="s">
        <v>138</v>
      </c>
      <c r="B36" s="27">
        <f>IF(221.36578="","-",221.36578)</f>
        <v>221.36578</v>
      </c>
      <c r="C36" s="27">
        <f>IF(OR(240.57339="",221.36578=""),"-",221.36578/240.57339*100)</f>
        <v>92.01590416961743</v>
      </c>
      <c r="D36" s="27">
        <f>IF(240.57339="","-",240.57339/2533522.81179*100)</f>
        <v>0.009495607810613262</v>
      </c>
      <c r="E36" s="27">
        <f>IF(221.36578="","-",221.36578/3007987.9188*100)</f>
        <v>0.007359264264874812</v>
      </c>
      <c r="F36" s="27">
        <f>IF(OR(2624773.92828="",138.77856="",240.57339=""),"-",(240.57339-138.77856)/2624773.92828*100)</f>
        <v>0.003878232289007289</v>
      </c>
      <c r="G36" s="27">
        <f>IF(OR(2533522.81179="",221.36578="",240.57339=""),"-",(221.36578-240.57339)/2533522.81179*100)</f>
        <v>-0.0007581384272766547</v>
      </c>
    </row>
    <row r="37" spans="1:7" s="16" customFormat="1" ht="15.75">
      <c r="A37" s="15" t="s">
        <v>14</v>
      </c>
      <c r="B37" s="26">
        <f>IF(742113.6951="","-",742113.6951)</f>
        <v>742113.6951</v>
      </c>
      <c r="C37" s="26">
        <f>IF(632002.87833="","-",742113.6951/632002.87833*100)</f>
        <v>117.4225182424732</v>
      </c>
      <c r="D37" s="26">
        <f>IF(632002.87833="","-",632002.87833/2533522.81179*100)</f>
        <v>24.945616253736173</v>
      </c>
      <c r="E37" s="26">
        <f>IF(742113.6951="","-",742113.6951/3007987.9188*100)</f>
        <v>24.671432038066733</v>
      </c>
      <c r="F37" s="26">
        <f>IF(2624773.92828="","-",(632002.87833-663481.00022)/2624773.92828*100)</f>
        <v>-1.199269832378574</v>
      </c>
      <c r="G37" s="26">
        <f>IF(2533522.81179="","-",(742113.6951-632002.87833)/2533522.81179*100)</f>
        <v>4.346154542504547</v>
      </c>
    </row>
    <row r="38" spans="1:7" s="16" customFormat="1" ht="15.75">
      <c r="A38" s="47" t="s">
        <v>210</v>
      </c>
      <c r="B38" s="27">
        <f>IF(343234.51508="","-",343234.51508)</f>
        <v>343234.51508</v>
      </c>
      <c r="C38" s="27">
        <f>IF(OR(323697.06704="",343234.51508=""),"-",343234.51508/323697.06704*100)</f>
        <v>106.03571982244304</v>
      </c>
      <c r="D38" s="27">
        <f>IF(323697.06704="","-",323697.06704/2533522.81179*100)</f>
        <v>12.776560192536794</v>
      </c>
      <c r="E38" s="27">
        <f>IF(343234.51508="","-",343234.51508/3007987.9188*100)</f>
        <v>11.410767740614105</v>
      </c>
      <c r="F38" s="27">
        <f>IF(OR(2624773.92828="",350992.33695="",323697.06704=""),"-",(323697.06704-350992.33695)/2624773.92828*100)</f>
        <v>-1.0399093657519858</v>
      </c>
      <c r="G38" s="27">
        <f>IF(OR(2533522.81179="",343234.51508="",323697.06704=""),"-",(343234.51508-323697.06704)/2533522.81179*100)</f>
        <v>0.7711573761673087</v>
      </c>
    </row>
    <row r="39" spans="1:7" s="16" customFormat="1" ht="15.75">
      <c r="A39" s="47" t="s">
        <v>16</v>
      </c>
      <c r="B39" s="27">
        <f>IF(321407.82169="","-",321407.82169)</f>
        <v>321407.82169</v>
      </c>
      <c r="C39" s="27">
        <f>IF(OR(240571.44359="",321407.82169=""),"-",321407.82169/240571.44359*100)</f>
        <v>133.60181777757774</v>
      </c>
      <c r="D39" s="27">
        <f>IF(240571.44359="","-",240571.44359/2533522.81179*100)</f>
        <v>9.495530984385729</v>
      </c>
      <c r="E39" s="27">
        <f>IF(321407.82169="","-",321407.82169/3007987.9188*100)</f>
        <v>10.685143370463459</v>
      </c>
      <c r="F39" s="27">
        <f>IF(OR(2624773.92828="",241021.14613="",240571.44359=""),"-",(240571.44359-241021.14613)/2624773.92828*100)</f>
        <v>-0.017133000871228782</v>
      </c>
      <c r="G39" s="27">
        <f>IF(OR(2533522.81179="",321407.82169="",240571.44359=""),"-",(321407.82169-240571.44359)/2533522.81179*100)</f>
        <v>3.190671018386725</v>
      </c>
    </row>
    <row r="40" spans="1:7" s="16" customFormat="1" ht="15.75">
      <c r="A40" s="47" t="s">
        <v>15</v>
      </c>
      <c r="B40" s="27">
        <f>IF(73469.6344="","-",73469.6344)</f>
        <v>73469.6344</v>
      </c>
      <c r="C40" s="27">
        <f>IF(OR(62817.98427="",73469.6344=""),"-",73469.6344/62817.98427*100)</f>
        <v>116.95637046266528</v>
      </c>
      <c r="D40" s="27">
        <f>IF(62817.98427="","-",62817.98427/2533522.81179*100)</f>
        <v>2.4794718238837348</v>
      </c>
      <c r="E40" s="27">
        <f>IF(73469.6344="","-",73469.6344/3007987.9188*100)</f>
        <v>2.4424843577599806</v>
      </c>
      <c r="F40" s="27">
        <f>IF(OR(2624773.92828="",50104.37748="",62817.98427=""),"-",(62817.98427-50104.37748)/2624773.92828*100)</f>
        <v>0.4843695928636092</v>
      </c>
      <c r="G40" s="27">
        <f>IF(OR(2533522.81179="",73469.6344="",62817.98427=""),"-",(73469.6344-62817.98427)/2533522.81179*100)</f>
        <v>0.4204284279751294</v>
      </c>
    </row>
    <row r="41" spans="1:7" s="16" customFormat="1" ht="15.75">
      <c r="A41" s="47" t="s">
        <v>19</v>
      </c>
      <c r="B41" s="27">
        <f>IF(2528.73629="","-",2528.73629)</f>
        <v>2528.73629</v>
      </c>
      <c r="C41" s="27">
        <f>IF(OR(1871.60972="",2528.73629=""),"-",2528.73629/1871.60972*100)</f>
        <v>135.11023494791425</v>
      </c>
      <c r="D41" s="27">
        <f>IF(1871.60972="","-",1871.60972/2533522.81179*100)</f>
        <v>0.07387380572577748</v>
      </c>
      <c r="E41" s="27">
        <f>IF(2528.73629="","-",2528.73629/3007987.9188*100)</f>
        <v>0.08406736856206551</v>
      </c>
      <c r="F41" s="27">
        <f>IF(OR(2624773.92828="",10012.14111="",1871.60972=""),"-",(1871.60972-10012.14111)/2624773.92828*100)</f>
        <v>-0.3101421917633282</v>
      </c>
      <c r="G41" s="27">
        <f>IF(OR(2533522.81179="",2528.73629="",1871.60972=""),"-",(2528.73629-1871.60972)/2533522.81179*100)</f>
        <v>0.025937266755286202</v>
      </c>
    </row>
    <row r="42" spans="1:7" s="16" customFormat="1" ht="15.75">
      <c r="A42" s="47" t="s">
        <v>17</v>
      </c>
      <c r="B42" s="27">
        <f>IF(935.62049="","-",935.62049)</f>
        <v>935.62049</v>
      </c>
      <c r="C42" s="27">
        <f>IF(OR(2210.3078="",935.62049=""),"-",935.62049/2210.3078*100)</f>
        <v>42.32987324208873</v>
      </c>
      <c r="D42" s="27">
        <f>IF(2210.3078="","-",2210.3078/2533522.81179*100)</f>
        <v>0.08724246688106035</v>
      </c>
      <c r="E42" s="27">
        <f>IF(935.62049="","-",935.62049/3007987.9188*100)</f>
        <v>0.031104529514641613</v>
      </c>
      <c r="F42" s="27">
        <f>IF(OR(2624773.92828="",8258.91981="",2210.3078=""),"-",(2210.3078-8258.91981)/2624773.92828*100)</f>
        <v>-0.2304431610216283</v>
      </c>
      <c r="G42" s="27">
        <f>IF(OR(2533522.81179="",935.62049="",2210.3078=""),"-",(935.62049-2210.3078)/2533522.81179*100)</f>
        <v>-0.05031284123703627</v>
      </c>
    </row>
    <row r="43" spans="1:7" s="16" customFormat="1" ht="15.75">
      <c r="A43" s="47" t="s">
        <v>22</v>
      </c>
      <c r="B43" s="27">
        <f>IF(375.92217="","-",375.92217)</f>
        <v>375.92217</v>
      </c>
      <c r="C43" s="27" t="s">
        <v>189</v>
      </c>
      <c r="D43" s="27">
        <f>IF(149.15931="","-",149.15931/2533522.81179*100)</f>
        <v>0.0058874271550219456</v>
      </c>
      <c r="E43" s="27">
        <f>IF(375.92217="","-",375.92217/3007987.9188*100)</f>
        <v>0.01249746276075369</v>
      </c>
      <c r="F43" s="27">
        <f>IF(OR(2624773.92828="",197.11592="",149.15931=""),"-",(149.15931-197.11592)/2624773.92828*100)</f>
        <v>-0.001827075828638152</v>
      </c>
      <c r="G43" s="27">
        <f>IF(OR(2533522.81179="",375.92217="",149.15931=""),"-",(375.92217-149.15931)/2533522.81179*100)</f>
        <v>0.008950496081769482</v>
      </c>
    </row>
    <row r="44" spans="1:7" s="16" customFormat="1" ht="15.75">
      <c r="A44" s="47" t="s">
        <v>18</v>
      </c>
      <c r="B44" s="27">
        <f>IF(109.24334="","-",109.24334)</f>
        <v>109.24334</v>
      </c>
      <c r="C44" s="27">
        <f>IF(OR(590.08284="",109.24334=""),"-",109.24334/590.08284*100)</f>
        <v>18.513220957247288</v>
      </c>
      <c r="D44" s="27">
        <f>IF(590.08284="","-",590.08284/2533522.81179*100)</f>
        <v>0.023291001654060145</v>
      </c>
      <c r="E44" s="27">
        <f>IF(109.24334="","-",109.24334/3007987.9188*100)</f>
        <v>0.0036317745599051903</v>
      </c>
      <c r="F44" s="27">
        <f>IF(OR(2624773.92828="",1.353="",590.08284=""),"-",(590.08284-1.353)/2624773.92828*100)</f>
        <v>0.02242973513478136</v>
      </c>
      <c r="G44" s="27">
        <f>IF(OR(2533522.81179="",109.24334="",590.08284=""),"-",(109.24334-590.08284)/2533522.81179*100)</f>
        <v>-0.01897908705468787</v>
      </c>
    </row>
    <row r="45" spans="1:7" s="16" customFormat="1" ht="15.75">
      <c r="A45" s="47" t="s">
        <v>20</v>
      </c>
      <c r="B45" s="27">
        <f>IF(45.15425="","-",45.15425)</f>
        <v>45.15425</v>
      </c>
      <c r="C45" s="27">
        <f>IF(OR(90.26525="",45.15425=""),"-",45.15425/90.26525*100)</f>
        <v>50.023957170672</v>
      </c>
      <c r="D45" s="27">
        <f>IF(90.26525="","-",90.26525/2533522.81179*100)</f>
        <v>0.0035628354945115032</v>
      </c>
      <c r="E45" s="27">
        <f>IF(45.15425="","-",45.15425/3007987.9188*100)</f>
        <v>0.0015011446594510836</v>
      </c>
      <c r="F45" s="27">
        <f>IF(OR(2624773.92828="",128.7099="",90.26525=""),"-",(90.26525-128.7099)/2624773.92828*100)</f>
        <v>-0.001464684237594229</v>
      </c>
      <c r="G45" s="27">
        <f>IF(OR(2533522.81179="",45.15425="",90.26525=""),"-",(45.15425-90.26525)/2533522.81179*100)</f>
        <v>-0.0017805641926755692</v>
      </c>
    </row>
    <row r="46" spans="1:7" s="16" customFormat="1" ht="15.75">
      <c r="A46" s="47" t="s">
        <v>21</v>
      </c>
      <c r="B46" s="27">
        <f>IF(4.47522="","-",4.47522)</f>
        <v>4.47522</v>
      </c>
      <c r="C46" s="27">
        <f>IF(OR(4.78116="",4.47522=""),"-",4.47522/4.78116*100)</f>
        <v>93.60113445272697</v>
      </c>
      <c r="D46" s="27">
        <f>IF(4.78116="","-",4.78116/2533522.81179*100)</f>
        <v>0.00018871588515999922</v>
      </c>
      <c r="E46" s="27">
        <f>IF(4.47522="","-",4.47522/3007987.9188*100)</f>
        <v>0.00014877785818319823</v>
      </c>
      <c r="F46" s="27">
        <f>IF(OR(2624773.92828="",2674.09148="",4.78116=""),"-",(4.78116-2674.09148)/2624773.92828*100)</f>
        <v>-0.10169677057670198</v>
      </c>
      <c r="G46" s="27">
        <f>IF(OR(2533522.81179="",4.47522="",4.78116=""),"-",(4.47522-4.78116)/2533522.81179*100)</f>
        <v>-1.2075675757734546E-05</v>
      </c>
    </row>
    <row r="47" spans="1:7" s="16" customFormat="1" ht="15.75">
      <c r="A47" s="47" t="s">
        <v>23</v>
      </c>
      <c r="B47" s="27">
        <f>IF(2.57217="","-",2.57217)</f>
        <v>2.57217</v>
      </c>
      <c r="C47" s="27" t="s">
        <v>267</v>
      </c>
      <c r="D47" s="27">
        <f>IF(0.17735="","-",0.17735/2533522.81179*100)</f>
        <v>7.0001343257966404E-06</v>
      </c>
      <c r="E47" s="27">
        <f>IF(2.57217="","-",2.57217/3007987.9188*100)</f>
        <v>8.55113141885934E-05</v>
      </c>
      <c r="F47" s="27">
        <f>IF(OR(2624773.92828="",90.80844="",0.17735=""),"-",(0.17735-90.80844)/2624773.92828*100)</f>
        <v>-0.003452910325857666</v>
      </c>
      <c r="G47" s="27">
        <f>IF(OR(2533522.81179="",2.57217="",0.17735=""),"-",(2.57217-0.17735)/2533522.81179*100)</f>
        <v>9.45252984838134E-05</v>
      </c>
    </row>
    <row r="48" spans="1:7" s="16" customFormat="1" ht="15.75">
      <c r="A48" s="15" t="s">
        <v>24</v>
      </c>
      <c r="B48" s="26">
        <f>IF(767296.52808="","-",767296.52808)</f>
        <v>767296.52808</v>
      </c>
      <c r="C48" s="26">
        <f>IF(639281.29015="","-",767296.52808/639281.29015*100)</f>
        <v>120.0248685363469</v>
      </c>
      <c r="D48" s="26">
        <f>IF(639281.29015="","-",639281.29015/2533522.81179*100)</f>
        <v>25.23290049629871</v>
      </c>
      <c r="E48" s="26">
        <f>IF(767296.52808="","-",767296.52808/3007987.9188*100)</f>
        <v>25.50863064590045</v>
      </c>
      <c r="F48" s="26">
        <f>IF(2624773.92828="","-",(639281.29015-671316.88505)/2624773.92828*100)</f>
        <v>-1.2205087285743033</v>
      </c>
      <c r="G48" s="26">
        <f>IF(2533522.81179="","-",(767296.52808-639281.29015)/2533522.81179*100)</f>
        <v>5.052855152291044</v>
      </c>
    </row>
    <row r="49" spans="1:7" s="16" customFormat="1" ht="15.75">
      <c r="A49" s="47" t="s">
        <v>142</v>
      </c>
      <c r="B49" s="27">
        <f>IF(305362.71555="","-",305362.71555)</f>
        <v>305362.71555</v>
      </c>
      <c r="C49" s="27">
        <f>IF(OR(239953.3821="",305362.71555=""),"-",305362.71555/239953.3821*100)</f>
        <v>127.25918379543441</v>
      </c>
      <c r="D49" s="27">
        <f>IF(239953.3821="","-",239953.3821/2533522.81179*100)</f>
        <v>9.471135644934915</v>
      </c>
      <c r="E49" s="27">
        <f>IF(305362.71555="","-",305362.71555/3007987.9188*100)</f>
        <v>10.151726795226649</v>
      </c>
      <c r="F49" s="27">
        <f>IF(OR(2624773.92828="",232947.76569="",239953.3821=""),"-",(239953.3821-232947.76569)/2624773.92828*100)</f>
        <v>0.2669036115651579</v>
      </c>
      <c r="G49" s="27">
        <f>IF(OR(2533522.81179="",305362.71555="",239953.3821=""),"-",(305362.71555-239953.3821)/2533522.81179*100)</f>
        <v>2.581754272967711</v>
      </c>
    </row>
    <row r="50" spans="1:7" s="16" customFormat="1" ht="15.75">
      <c r="A50" s="47" t="s">
        <v>139</v>
      </c>
      <c r="B50" s="27">
        <f>IF(193978.45636="","-",193978.45636)</f>
        <v>193978.45636</v>
      </c>
      <c r="C50" s="27">
        <f>IF(OR(176891.02938="",193978.45636=""),"-",193978.45636/176891.02938*100)</f>
        <v>109.65986067235356</v>
      </c>
      <c r="D50" s="27">
        <f>IF(176891.02938="","-",176891.02938/2533522.81179*100)</f>
        <v>6.9820184194442625</v>
      </c>
      <c r="E50" s="27">
        <f>IF(193978.45636="","-",193978.45636/3007987.9188*100)</f>
        <v>6.448777774259989</v>
      </c>
      <c r="F50" s="27">
        <f>IF(OR(2624773.92828="",196219.23927="",176891.02938=""),"-",(176891.02938-196219.23927)/2624773.92828*100)</f>
        <v>-0.736376176315713</v>
      </c>
      <c r="G50" s="27">
        <f>IF(OR(2533522.81179="",193978.45636="",176891.02938=""),"-",(193978.45636-176891.02938)/2533522.81179*100)</f>
        <v>0.6744532514363786</v>
      </c>
    </row>
    <row r="51" spans="1:7" s="16" customFormat="1" ht="15.75">
      <c r="A51" s="47" t="s">
        <v>25</v>
      </c>
      <c r="B51" s="27">
        <f>IF(50310.47986="","-",50310.47986)</f>
        <v>50310.47986</v>
      </c>
      <c r="C51" s="27">
        <f>IF(OR(36831.05767="",50310.47986=""),"-",50310.47986/36831.05767*100)</f>
        <v>136.59797747535063</v>
      </c>
      <c r="D51" s="27">
        <f>IF(36831.05767="","-",36831.05767/2533522.81179*100)</f>
        <v>1.4537488077313934</v>
      </c>
      <c r="E51" s="27">
        <f>IF(50310.47986="","-",50310.47986/3007987.9188*100)</f>
        <v>1.6725625640169044</v>
      </c>
      <c r="F51" s="27">
        <f>IF(OR(2624773.92828="",33249.5593="",36831.05767=""),"-",(36831.05767-33249.5593)/2624773.92828*100)</f>
        <v>0.13644978454761386</v>
      </c>
      <c r="G51" s="27">
        <f>IF(OR(2533522.81179="",50310.47986="",36831.05767=""),"-",(50310.47986-36831.05767)/2533522.81179*100)</f>
        <v>0.5320426612017135</v>
      </c>
    </row>
    <row r="52" spans="1:7" s="16" customFormat="1" ht="15.75">
      <c r="A52" s="47" t="s">
        <v>157</v>
      </c>
      <c r="B52" s="27">
        <f>IF(21746.85911="","-",21746.85911)</f>
        <v>21746.85911</v>
      </c>
      <c r="C52" s="27" t="s">
        <v>214</v>
      </c>
      <c r="D52" s="27">
        <f>IF(12523.19391="","-",12523.19391/2533522.81179*100)</f>
        <v>0.49429963100083696</v>
      </c>
      <c r="E52" s="27">
        <f>IF(21746.85911="","-",21746.85911/3007987.9188*100)</f>
        <v>0.7229702943313564</v>
      </c>
      <c r="F52" s="27">
        <f>IF(OR(2624773.92828="",7198.97339="",12523.19391=""),"-",(12523.19391-7198.97339)/2624773.92828*100)</f>
        <v>0.20284491790456533</v>
      </c>
      <c r="G52" s="27">
        <f>IF(OR(2533522.81179="",21746.85911="",12523.19391=""),"-",(21746.85911-12523.19391)/2533522.81179*100)</f>
        <v>0.36406481745799796</v>
      </c>
    </row>
    <row r="53" spans="1:7" s="16" customFormat="1" ht="15.75">
      <c r="A53" s="47" t="s">
        <v>161</v>
      </c>
      <c r="B53" s="27">
        <f>IF(20968.0532="","-",20968.0532)</f>
        <v>20968.0532</v>
      </c>
      <c r="C53" s="27">
        <f>IF(OR(17461.95067="",20968.0532=""),"-",20968.0532/17461.95067*100)</f>
        <v>120.07852728632177</v>
      </c>
      <c r="D53" s="27">
        <f>IF(17461.95067="","-",17461.95067/2533522.81179*100)</f>
        <v>0.6892359756438377</v>
      </c>
      <c r="E53" s="27">
        <f>IF(20968.0532="","-",20968.0532/3007987.9188*100)</f>
        <v>0.6970790364199649</v>
      </c>
      <c r="F53" s="27">
        <f>IF(OR(2624773.92828="",34856.13837="",17461.95067=""),"-",(17461.95067-34856.13837)/2624773.92828*100)</f>
        <v>-0.6626927947047355</v>
      </c>
      <c r="G53" s="27">
        <f>IF(OR(2533522.81179="",20968.0532="",17461.95067=""),"-",(20968.0532-17461.95067)/2533522.81179*100)</f>
        <v>0.13838843343679413</v>
      </c>
    </row>
    <row r="54" spans="1:7" s="16" customFormat="1" ht="15.75">
      <c r="A54" s="47" t="s">
        <v>206</v>
      </c>
      <c r="B54" s="27">
        <f>IF(19987.65699="","-",19987.65699)</f>
        <v>19987.65699</v>
      </c>
      <c r="C54" s="27">
        <f>IF(OR(17338.53034="",19987.65699=""),"-",19987.65699/17338.53034*100)</f>
        <v>115.27884196671769</v>
      </c>
      <c r="D54" s="27">
        <f>IF(17338.53034="","-",17338.53034/2533522.81179*100)</f>
        <v>0.6843644848711615</v>
      </c>
      <c r="E54" s="27">
        <f>IF(19987.65699="","-",19987.65699/3007987.9188*100)</f>
        <v>0.6644859464054573</v>
      </c>
      <c r="F54" s="27">
        <f>IF(OR(2624773.92828="",21874.80464="",17338.53034=""),"-",(17338.53034-21874.80464)/2624773.92828*100)</f>
        <v>-0.17282533368397915</v>
      </c>
      <c r="G54" s="27">
        <f>IF(OR(2533522.81179="",19987.65699="",17338.53034=""),"-",(19987.65699-17338.53034)/2533522.81179*100)</f>
        <v>0.10456296811980632</v>
      </c>
    </row>
    <row r="55" spans="1:7" s="16" customFormat="1" ht="15.75">
      <c r="A55" s="47" t="s">
        <v>154</v>
      </c>
      <c r="B55" s="27">
        <f>IF(17863.08975="","-",17863.08975)</f>
        <v>17863.08975</v>
      </c>
      <c r="C55" s="27">
        <f>IF(OR(15422.37904="",17863.08975=""),"-",17863.08975/15422.37904*100)</f>
        <v>115.82577307735524</v>
      </c>
      <c r="D55" s="27">
        <f>IF(15422.37904="","-",15422.37904/2533522.81179*100)</f>
        <v>0.6087325903769418</v>
      </c>
      <c r="E55" s="27">
        <f>IF(17863.08975="","-",17863.08975/3007987.9188*100)</f>
        <v>0.5938551028863925</v>
      </c>
      <c r="F55" s="27">
        <f>IF(OR(2624773.92828="",17776.54849="",15422.37904=""),"-",(15422.37904-17776.54849)/2624773.92828*100)</f>
        <v>-0.08969037007856427</v>
      </c>
      <c r="G55" s="27">
        <f>IF(OR(2533522.81179="",17863.08975="",15422.37904=""),"-",(17863.08975-15422.37904)/2533522.81179*100)</f>
        <v>0.09633663840096128</v>
      </c>
    </row>
    <row r="56" spans="1:7" s="16" customFormat="1" ht="15.75">
      <c r="A56" s="47" t="s">
        <v>114</v>
      </c>
      <c r="B56" s="27">
        <f>IF(16731.17555="","-",16731.17555)</f>
        <v>16731.17555</v>
      </c>
      <c r="C56" s="27">
        <f>IF(OR(14425.14288="",16731.17555=""),"-",16731.17555/14425.14288*100)</f>
        <v>115.9862033200187</v>
      </c>
      <c r="D56" s="27">
        <f>IF(14425.14288="","-",14425.14288/2533522.81179*100)</f>
        <v>0.5693709491334028</v>
      </c>
      <c r="E56" s="27">
        <f>IF(16731.17555="","-",16731.17555/3007987.9188*100)</f>
        <v>0.5562248254200003</v>
      </c>
      <c r="F56" s="27">
        <f>IF(OR(2624773.92828="",16473.63222="",14425.14288=""),"-",(14425.14288-16473.63222)/2624773.92828*100)</f>
        <v>-0.07804441052728543</v>
      </c>
      <c r="G56" s="27">
        <f>IF(OR(2533522.81179="",16731.17555="",14425.14288=""),"-",(16731.17555-14425.14288)/2533522.81179*100)</f>
        <v>0.09102079757358601</v>
      </c>
    </row>
    <row r="57" spans="1:7" s="16" customFormat="1" ht="15.75">
      <c r="A57" s="47" t="s">
        <v>155</v>
      </c>
      <c r="B57" s="27">
        <f>IF(11823.02695="","-",11823.02695)</f>
        <v>11823.02695</v>
      </c>
      <c r="C57" s="27">
        <f>IF(OR(9308.89868="",11823.02695=""),"-",11823.02695/9308.89868*100)</f>
        <v>127.00779497580695</v>
      </c>
      <c r="D57" s="27">
        <f>IF(9308.89868="","-",9308.89868/2533522.81179*100)</f>
        <v>0.367429045307195</v>
      </c>
      <c r="E57" s="27">
        <f>IF(11823.02695="","-",11823.02695/3007987.9188*100)</f>
        <v>0.39305433629256903</v>
      </c>
      <c r="F57" s="27">
        <f>IF(OR(2624773.92828="",7191.16828="",9308.89868=""),"-",(9308.89868-7191.16828)/2624773.92828*100)</f>
        <v>0.08068239238370283</v>
      </c>
      <c r="G57" s="27">
        <f>IF(OR(2533522.81179="",11823.02695="",9308.89868=""),"-",(11823.02695-9308.89868)/2533522.81179*100)</f>
        <v>0.09923448323813204</v>
      </c>
    </row>
    <row r="58" spans="1:7" s="16" customFormat="1" ht="15.75">
      <c r="A58" s="47" t="s">
        <v>151</v>
      </c>
      <c r="B58" s="27">
        <f>IF(10410.87795="","-",10410.87795)</f>
        <v>10410.87795</v>
      </c>
      <c r="C58" s="27">
        <f>IF(OR(11618.7014="",10410.87795=""),"-",10410.87795/11618.7014*100)</f>
        <v>89.60448841554702</v>
      </c>
      <c r="D58" s="27">
        <f>IF(11618.7014="","-",11618.7014/2533522.81179*100)</f>
        <v>0.45859864951407653</v>
      </c>
      <c r="E58" s="27">
        <f>IF(10410.87795="","-",10410.87795/3007987.9188*100)</f>
        <v>0.3461077049190175</v>
      </c>
      <c r="F58" s="27">
        <f>IF(OR(2624773.92828="",10020.88924="",11618.7014=""),"-",(11618.7014-10020.88924)/2624773.92828*100)</f>
        <v>0.06087427731526719</v>
      </c>
      <c r="G58" s="27">
        <f>IF(OR(2533522.81179="",10410.87795="",11618.7014=""),"-",(10410.87795-11618.7014)/2533522.81179*100)</f>
        <v>-0.04767367573638072</v>
      </c>
    </row>
    <row r="59" spans="1:7" s="16" customFormat="1" ht="15.75">
      <c r="A59" s="47" t="s">
        <v>166</v>
      </c>
      <c r="B59" s="27">
        <f>IF(8108.88464="","-",8108.88464)</f>
        <v>8108.88464</v>
      </c>
      <c r="C59" s="27">
        <f>IF(OR(6398.6458="",8108.88464=""),"-",8108.88464/6398.6458*100)</f>
        <v>126.72813738181914</v>
      </c>
      <c r="D59" s="27">
        <f>IF(6398.6458="","-",6398.6458/2533522.81179*100)</f>
        <v>0.2525592337366479</v>
      </c>
      <c r="E59" s="27">
        <f>IF(8108.88464="","-",8108.88464/3007987.9188*100)</f>
        <v>0.26957836463767915</v>
      </c>
      <c r="F59" s="27">
        <f>IF(OR(2624773.92828="",5060.94391="",6398.6458=""),"-",(6398.6458-5060.94391)/2624773.92828*100)</f>
        <v>0.0509644611898667</v>
      </c>
      <c r="G59" s="27">
        <f>IF(OR(2533522.81179="",8108.88464="",6398.6458=""),"-",(8108.88464-6398.6458)/2533522.81179*100)</f>
        <v>0.06750437896360094</v>
      </c>
    </row>
    <row r="60" spans="1:7" s="16" customFormat="1" ht="15.75">
      <c r="A60" s="47" t="s">
        <v>145</v>
      </c>
      <c r="B60" s="27">
        <f>IF(6169.95902="","-",6169.95902)</f>
        <v>6169.95902</v>
      </c>
      <c r="C60" s="27">
        <f>IF(OR(8762.28365="",6169.95902=""),"-",6169.95902/8762.28365*100)</f>
        <v>70.41496562371616</v>
      </c>
      <c r="D60" s="27">
        <f>IF(8762.28365="","-",8762.28365/2533522.81179*100)</f>
        <v>0.34585374993364343</v>
      </c>
      <c r="E60" s="27">
        <f>IF(6169.95902="","-",6169.95902/3007987.9188*100)</f>
        <v>0.20511914231561906</v>
      </c>
      <c r="F60" s="27">
        <f>IF(OR(2624773.92828="",17678.25355="",8762.28365=""),"-",(8762.28365-17678.25355)/2624773.92828*100)</f>
        <v>-0.3396852507538654</v>
      </c>
      <c r="G60" s="27">
        <f>IF(OR(2533522.81179="",6169.95902="",8762.28365=""),"-",(6169.95902-8762.28365)/2533522.81179*100)</f>
        <v>-0.1023209508095352</v>
      </c>
    </row>
    <row r="61" spans="1:7" s="16" customFormat="1" ht="15.75">
      <c r="A61" s="47" t="s">
        <v>156</v>
      </c>
      <c r="B61" s="27">
        <f>IF(6074.98994="","-",6074.98994)</f>
        <v>6074.98994</v>
      </c>
      <c r="C61" s="27" t="s">
        <v>214</v>
      </c>
      <c r="D61" s="27">
        <f>IF(3675.71789="","-",3675.71789/2533522.81179*100)</f>
        <v>0.14508327585979025</v>
      </c>
      <c r="E61" s="27">
        <f>IF(6074.98994="","-",6074.98994/3007987.9188*100)</f>
        <v>0.2019619128797413</v>
      </c>
      <c r="F61" s="27">
        <f>IF(OR(2624773.92828="",3833.74123="",3675.71789=""),"-",(3675.71789-3833.74123)/2624773.92828*100)</f>
        <v>-0.006020455258924033</v>
      </c>
      <c r="G61" s="27">
        <f>IF(OR(2533522.81179="",6074.98994="",3675.71789=""),"-",(6074.98994-3675.71789)/2533522.81179*100)</f>
        <v>0.09470102415635454</v>
      </c>
    </row>
    <row r="62" spans="1:7" s="16" customFormat="1" ht="15.75">
      <c r="A62" s="47" t="s">
        <v>147</v>
      </c>
      <c r="B62" s="27">
        <f>IF(6071.9766="","-",6071.9766)</f>
        <v>6071.9766</v>
      </c>
      <c r="C62" s="27" t="s">
        <v>268</v>
      </c>
      <c r="D62" s="27">
        <f>IF(3003.81054="","-",3003.81054/2533522.81179*100)</f>
        <v>0.11856260089790664</v>
      </c>
      <c r="E62" s="27">
        <f>IF(6071.9766="","-",6071.9766/3007987.9188*100)</f>
        <v>0.2018617349507953</v>
      </c>
      <c r="F62" s="27">
        <f>IF(OR(2624773.92828="",2459.79733="",3003.81054=""),"-",(3003.81054-2459.79733)/2624773.92828*100)</f>
        <v>0.020726097746501502</v>
      </c>
      <c r="G62" s="27">
        <f>IF(OR(2533522.81179="",6071.9766="",3003.81054=""),"-",(6071.9766-3003.81054)/2533522.81179*100)</f>
        <v>0.12110276038257814</v>
      </c>
    </row>
    <row r="63" spans="1:7" s="16" customFormat="1" ht="15.75">
      <c r="A63" s="47" t="s">
        <v>149</v>
      </c>
      <c r="B63" s="27">
        <f>IF(5998.99732="","-",5998.99732)</f>
        <v>5998.99732</v>
      </c>
      <c r="C63" s="27" t="s">
        <v>215</v>
      </c>
      <c r="D63" s="27">
        <f>IF(3771.42396="","-",3771.42396/2533522.81179*100)</f>
        <v>0.14886086450255367</v>
      </c>
      <c r="E63" s="27">
        <f>IF(5998.99732="","-",5998.99732/3007987.9188*100)</f>
        <v>0.19943555233404084</v>
      </c>
      <c r="F63" s="27">
        <f>IF(OR(2624773.92828="",1140.55188="",3771.42396=""),"-",(3771.42396-1140.55188)/2624773.92828*100)</f>
        <v>0.10023233055061607</v>
      </c>
      <c r="G63" s="27">
        <f>IF(OR(2533522.81179="",5998.99732="",3771.42396=""),"-",(5998.99732-3771.42396)/2533522.81179*100)</f>
        <v>0.08792395117319514</v>
      </c>
    </row>
    <row r="64" spans="1:7" s="16" customFormat="1" ht="15.75">
      <c r="A64" s="47" t="s">
        <v>144</v>
      </c>
      <c r="B64" s="27">
        <f>IF(5543.57354="","-",5543.57354)</f>
        <v>5543.57354</v>
      </c>
      <c r="C64" s="27">
        <f>IF(OR(3960.87948="",5543.57354=""),"-",5543.57354/3960.87948*100)</f>
        <v>139.95814737589544</v>
      </c>
      <c r="D64" s="27">
        <f>IF(3960.87948="","-",3960.87948/2533522.81179*100)</f>
        <v>0.15633881256437296</v>
      </c>
      <c r="E64" s="27">
        <f>IF(5543.57354="","-",5543.57354/3007987.9188*100)</f>
        <v>0.18429507330639616</v>
      </c>
      <c r="F64" s="27">
        <f>IF(OR(2624773.92828="",4756.88682="",3960.87948=""),"-",(3960.87948-4756.88682)/2624773.92828*100)</f>
        <v>-0.030326700955979814</v>
      </c>
      <c r="G64" s="27">
        <f>IF(OR(2533522.81179="",5543.57354="",3960.87948=""),"-",(5543.57354-3960.87948)/2533522.81179*100)</f>
        <v>0.06247009313019706</v>
      </c>
    </row>
    <row r="65" spans="1:7" s="16" customFormat="1" ht="15.75">
      <c r="A65" s="47" t="s">
        <v>163</v>
      </c>
      <c r="B65" s="27">
        <f>IF(4679.69306="","-",4679.69306)</f>
        <v>4679.69306</v>
      </c>
      <c r="C65" s="27">
        <f>IF(OR(3708.98386="",4679.69306=""),"-",4679.69306/3708.98386*100)</f>
        <v>126.17183672511317</v>
      </c>
      <c r="D65" s="27">
        <f>IF(3708.98386="","-",3708.98386/2533522.81179*100)</f>
        <v>0.14639630804743003</v>
      </c>
      <c r="E65" s="27">
        <f>IF(4679.69306="","-",4679.69306/3007987.9188*100)</f>
        <v>0.1555755271073996</v>
      </c>
      <c r="F65" s="27">
        <f>IF(OR(2624773.92828="",3806.9129="",3708.98386=""),"-",(3708.98386-3806.9129)/2624773.92828*100)</f>
        <v>-0.003730951414325132</v>
      </c>
      <c r="G65" s="27">
        <f>IF(OR(2533522.81179="",4679.69306="",3708.98386=""),"-",(4679.69306-3708.98386)/2533522.81179*100)</f>
        <v>0.03831460271376709</v>
      </c>
    </row>
    <row r="66" spans="1:7" s="16" customFormat="1" ht="15.75">
      <c r="A66" s="47" t="s">
        <v>167</v>
      </c>
      <c r="B66" s="27">
        <f>IF(4131.79836="","-",4131.79836)</f>
        <v>4131.79836</v>
      </c>
      <c r="C66" s="27">
        <f>IF(OR(3041.26821="",4131.79836=""),"-",4131.79836/3041.26821*100)</f>
        <v>135.85774337213093</v>
      </c>
      <c r="D66" s="27">
        <f>IF(3041.26821="","-",3041.26821/2533522.81179*100)</f>
        <v>0.12004108255300314</v>
      </c>
      <c r="E66" s="27">
        <f>IF(4131.79836="","-",4131.79836/3007987.9188*100)</f>
        <v>0.13736086950935394</v>
      </c>
      <c r="F66" s="27">
        <f>IF(OR(2624773.92828="",1820.0584="",3041.26821=""),"-",(3041.26821-1820.0584)/2624773.92828*100)</f>
        <v>0.04652628543899978</v>
      </c>
      <c r="G66" s="27">
        <f>IF(OR(2533522.81179="",4131.79836="",3041.26821=""),"-",(4131.79836-3041.26821)/2533522.81179*100)</f>
        <v>0.04304402332298368</v>
      </c>
    </row>
    <row r="67" spans="1:7" s="16" customFormat="1" ht="15.75">
      <c r="A67" s="47" t="s">
        <v>169</v>
      </c>
      <c r="B67" s="27">
        <f>IF(4077.76961="","-",4077.76961)</f>
        <v>4077.76961</v>
      </c>
      <c r="C67" s="27">
        <f>IF(OR(3181.84775="",4077.76961=""),"-",4077.76961/3181.84775*100)</f>
        <v>128.15728250982468</v>
      </c>
      <c r="D67" s="27">
        <f>IF(3181.84775="","-",3181.84775/2533522.81179*100)</f>
        <v>0.12558985990546268</v>
      </c>
      <c r="E67" s="27">
        <f>IF(4077.76961="","-",4077.76961/3007987.9188*100)</f>
        <v>0.13556469374474003</v>
      </c>
      <c r="F67" s="27">
        <f>IF(OR(2624773.92828="",3445.26777="",3181.84775=""),"-",(3181.84775-3445.26777)/2624773.92828*100)</f>
        <v>-0.010035912699445995</v>
      </c>
      <c r="G67" s="27">
        <f>IF(OR(2533522.81179="",4077.76961="",3181.84775=""),"-",(4077.76961-3181.84775)/2533522.81179*100)</f>
        <v>0.03536269165727415</v>
      </c>
    </row>
    <row r="68" spans="1:7" s="16" customFormat="1" ht="15.75">
      <c r="A68" s="47" t="s">
        <v>153</v>
      </c>
      <c r="B68" s="27">
        <f>IF(3913.0066="","-",3913.0066)</f>
        <v>3913.0066</v>
      </c>
      <c r="C68" s="27" t="s">
        <v>216</v>
      </c>
      <c r="D68" s="27">
        <f>IF(2057.3585="","-",2057.3585/2533522.81179*100)</f>
        <v>0.08120544604634612</v>
      </c>
      <c r="E68" s="27">
        <f>IF(3913.0066="","-",3913.0066/3007987.9188*100)</f>
        <v>0.13008717806157433</v>
      </c>
      <c r="F68" s="27">
        <f>IF(OR(2624773.92828="",1930.07267="",2057.3585=""),"-",(2057.3585-1930.07267)/2624773.92828*100)</f>
        <v>0.0048494016428839454</v>
      </c>
      <c r="G68" s="27">
        <f>IF(OR(2533522.81179="",3913.0066="",2057.3585=""),"-",(3913.0066-2057.3585)/2533522.81179*100)</f>
        <v>0.07324378889996797</v>
      </c>
    </row>
    <row r="69" spans="1:7" s="16" customFormat="1" ht="15.75">
      <c r="A69" s="47" t="s">
        <v>168</v>
      </c>
      <c r="B69" s="27">
        <f>IF(3571.17355="","-",3571.17355)</f>
        <v>3571.17355</v>
      </c>
      <c r="C69" s="27">
        <f>IF(OR(4117.3746="",3571.17355=""),"-",3571.17355/4117.3746*100)</f>
        <v>86.734239580727</v>
      </c>
      <c r="D69" s="27">
        <f>IF(4117.3746="","-",4117.3746/2533522.81179*100)</f>
        <v>0.16251578951013934</v>
      </c>
      <c r="E69" s="27">
        <f>IF(3571.17355="","-",3571.17355/3007987.9188*100)</f>
        <v>0.11872300176739659</v>
      </c>
      <c r="F69" s="27">
        <f>IF(OR(2624773.92828="",3664.27011="",4117.3746=""),"-",(4117.3746-3664.27011)/2624773.92828*100)</f>
        <v>0.017262610128748003</v>
      </c>
      <c r="G69" s="27">
        <f>IF(OR(2533522.81179="",3571.17355="",4117.3746=""),"-",(3571.17355-4117.3746)/2533522.81179*100)</f>
        <v>-0.02155895527990509</v>
      </c>
    </row>
    <row r="70" spans="1:7" s="16" customFormat="1" ht="15.75">
      <c r="A70" s="47" t="s">
        <v>150</v>
      </c>
      <c r="B70" s="27">
        <f>IF(3363.018="","-",3363.018)</f>
        <v>3363.018</v>
      </c>
      <c r="C70" s="27">
        <f>IF(OR(2958.32095="",3363.018=""),"-",3363.018/2958.32095*100)</f>
        <v>113.67995754483637</v>
      </c>
      <c r="D70" s="27">
        <f>IF(2958.32095="","-",2958.32095/2533522.81179*100)</f>
        <v>0.11676709348079123</v>
      </c>
      <c r="E70" s="27">
        <f>IF(3363.018="","-",3363.018/3007987.9188*100)</f>
        <v>0.11180290914671075</v>
      </c>
      <c r="F70" s="27">
        <f>IF(OR(2624773.92828="",3062.63946="",2958.32095=""),"-",(2958.32095-3062.63946)/2624773.92828*100)</f>
        <v>-0.003974380760035947</v>
      </c>
      <c r="G70" s="27">
        <f>IF(OR(2533522.81179="",3363.018="",2958.32095=""),"-",(3363.018-2958.32095)/2533522.81179*100)</f>
        <v>0.015973688814511645</v>
      </c>
    </row>
    <row r="71" spans="1:7" s="16" customFormat="1" ht="15.75">
      <c r="A71" s="47" t="s">
        <v>170</v>
      </c>
      <c r="B71" s="27">
        <f>IF(3324.31294="","-",3324.31294)</f>
        <v>3324.31294</v>
      </c>
      <c r="C71" s="27">
        <f>IF(OR(2691.2615="",3324.31294=""),"-",3324.31294/2691.2615*100)</f>
        <v>123.52247969957581</v>
      </c>
      <c r="D71" s="27">
        <f>IF(2691.2615="","-",2691.2615/2533522.81179*100)</f>
        <v>0.10622606149334622</v>
      </c>
      <c r="E71" s="27">
        <f>IF(3324.31294="","-",3324.31294/3007987.9188*100)</f>
        <v>0.11051616661167289</v>
      </c>
      <c r="F71" s="27">
        <f>IF(OR(2624773.92828="",3981.52101="",2691.2615=""),"-",(2691.2615-3981.52101)/2624773.92828*100)</f>
        <v>-0.04915697676277591</v>
      </c>
      <c r="G71" s="27">
        <f>IF(OR(2533522.81179="",3324.31294="",2691.2615=""),"-",(3324.31294-2691.2615)/2533522.81179*100)</f>
        <v>0.024987003750431294</v>
      </c>
    </row>
    <row r="72" spans="1:7" s="16" customFormat="1" ht="15.75">
      <c r="A72" s="47" t="s">
        <v>171</v>
      </c>
      <c r="B72" s="27">
        <f>IF(2503.60375="","-",2503.60375)</f>
        <v>2503.60375</v>
      </c>
      <c r="C72" s="27">
        <f>IF(OR(2392.40713="",2503.60375=""),"-",2503.60375/2392.40713*100)</f>
        <v>104.64789703247541</v>
      </c>
      <c r="D72" s="27">
        <f>IF(2392.40713="","-",2392.40713/2533522.81179*100)</f>
        <v>0.09443006073861643</v>
      </c>
      <c r="E72" s="27">
        <f>IF(2503.60375="","-",2503.60375/3007987.9188*100)</f>
        <v>0.08323184193501622</v>
      </c>
      <c r="F72" s="27">
        <f>IF(OR(2624773.92828="",2075.58782="",2392.40713=""),"-",(2392.40713-2075.58782)/2624773.92828*100)</f>
        <v>0.012070346576766321</v>
      </c>
      <c r="G72" s="27">
        <f>IF(OR(2533522.81179="",2503.60375="",2392.40713=""),"-",(2503.60375-2392.40713)/2533522.81179*100)</f>
        <v>0.004389011990834882</v>
      </c>
    </row>
    <row r="73" spans="1:7" s="16" customFormat="1" ht="15.75">
      <c r="A73" s="47" t="s">
        <v>174</v>
      </c>
      <c r="B73" s="27">
        <f>IF(2430.66609="","-",2430.66609)</f>
        <v>2430.66609</v>
      </c>
      <c r="C73" s="27" t="s">
        <v>189</v>
      </c>
      <c r="D73" s="27">
        <f>IF(961.9937="","-",961.9937/2533522.81179*100)</f>
        <v>0.037970595548746065</v>
      </c>
      <c r="E73" s="27">
        <f>IF(2430.66609="","-",2430.66609/3007987.9188*100)</f>
        <v>0.080807042967436</v>
      </c>
      <c r="F73" s="27">
        <f>IF(OR(2624773.92828="",823.05761="",961.9937=""),"-",(961.9937-823.05761)/2624773.92828*100)</f>
        <v>0.005293259297612884</v>
      </c>
      <c r="G73" s="27">
        <f>IF(OR(2533522.81179="",2430.66609="",961.9937=""),"-",(2430.66609-961.9937)/2533522.81179*100)</f>
        <v>0.057969574347836436</v>
      </c>
    </row>
    <row r="74" spans="1:7" s="16" customFormat="1" ht="15.75">
      <c r="A74" s="47" t="s">
        <v>172</v>
      </c>
      <c r="B74" s="27">
        <f>IF(2277.16641="","-",2277.16641)</f>
        <v>2277.16641</v>
      </c>
      <c r="C74" s="27">
        <f>IF(OR(2030.66792="",2277.16641=""),"-",2277.16641/2030.66792*100)</f>
        <v>112.13878879812115</v>
      </c>
      <c r="D74" s="27">
        <f>IF(2030.66792="","-",2030.66792/2533522.81179*100)</f>
        <v>0.0801519493153993</v>
      </c>
      <c r="E74" s="27">
        <f>IF(2277.16641="","-",2277.16641/3007987.9188*100)</f>
        <v>0.07570397459935435</v>
      </c>
      <c r="F74" s="27">
        <f>IF(OR(2624773.92828="",744.40067="",2030.66792=""),"-",(2030.66792-744.40067)/2624773.92828*100)</f>
        <v>0.04900487756836582</v>
      </c>
      <c r="G74" s="27">
        <f>IF(OR(2533522.81179="",2277.16641="",2030.66792=""),"-",(2277.16641-2030.66792)/2533522.81179*100)</f>
        <v>0.00972947584497343</v>
      </c>
    </row>
    <row r="75" spans="1:7" s="16" customFormat="1" ht="15.75">
      <c r="A75" s="47" t="s">
        <v>159</v>
      </c>
      <c r="B75" s="27">
        <f>IF(1733.94759="","-",1733.94759)</f>
        <v>1733.94759</v>
      </c>
      <c r="C75" s="27">
        <f>IF(OR(1476.47099="",1733.94759=""),"-",1733.94759/1476.47099*100)</f>
        <v>117.43864943800892</v>
      </c>
      <c r="D75" s="27">
        <f>IF(1476.47099="","-",1476.47099/2533522.81179*100)</f>
        <v>0.05827739079865773</v>
      </c>
      <c r="E75" s="27">
        <f>IF(1733.94759="","-",1733.94759/3007987.9188*100)</f>
        <v>0.05764476576394419</v>
      </c>
      <c r="F75" s="27">
        <f>IF(OR(2624773.92828="",2464.3582="",1476.47099=""),"-",(1476.47099-2464.3582)/2624773.92828*100)</f>
        <v>-0.03763703987441528</v>
      </c>
      <c r="G75" s="27">
        <f>IF(OR(2533522.81179="",1733.94759="",1476.47099=""),"-",(1733.94759-1476.47099)/2533522.81179*100)</f>
        <v>0.010162789882996395</v>
      </c>
    </row>
    <row r="76" spans="1:7" s="16" customFormat="1" ht="15.75">
      <c r="A76" s="47" t="s">
        <v>121</v>
      </c>
      <c r="B76" s="27">
        <f>IF(1643.92418="","-",1643.92418)</f>
        <v>1643.92418</v>
      </c>
      <c r="C76" s="27">
        <f>IF(OR(2109.16468="",1643.92418=""),"-",1643.92418/2109.16468*100)</f>
        <v>77.94195472683528</v>
      </c>
      <c r="D76" s="27">
        <f>IF(2109.16468="","-",2109.16468/2533522.81179*100)</f>
        <v>0.08325027389470474</v>
      </c>
      <c r="E76" s="27">
        <f>IF(1643.92418="","-",1643.92418/3007987.9188*100)</f>
        <v>0.05465195420917194</v>
      </c>
      <c r="F76" s="27">
        <f>IF(OR(2624773.92828="",2864.91568="",2109.16468=""),"-",(2109.16468-2864.91568)/2624773.92828*100)</f>
        <v>-0.028792994012068678</v>
      </c>
      <c r="G76" s="27">
        <f>IF(OR(2533522.81179="",1643.92418="",2109.16468=""),"-",(1643.92418-2109.16468)/2533522.81179*100)</f>
        <v>-0.018363383105727604</v>
      </c>
    </row>
    <row r="77" spans="1:7" s="16" customFormat="1" ht="15.75">
      <c r="A77" s="47" t="s">
        <v>141</v>
      </c>
      <c r="B77" s="27">
        <f>IF(1416.86226="","-",1416.86226)</f>
        <v>1416.86226</v>
      </c>
      <c r="C77" s="27" t="s">
        <v>215</v>
      </c>
      <c r="D77" s="27">
        <f>IF(878.6552="","-",878.6552/2533522.81179*100)</f>
        <v>0.03468116394733415</v>
      </c>
      <c r="E77" s="27">
        <f>IF(1416.86226="","-",1416.86226/3007987.9188*100)</f>
        <v>0.047103322827348325</v>
      </c>
      <c r="F77" s="27">
        <f>IF(OR(2624773.92828="",1406.97944="",878.6552=""),"-",(878.6552-1406.97944)/2624773.92828*100)</f>
        <v>-0.020128371221143908</v>
      </c>
      <c r="G77" s="27">
        <f>IF(OR(2533522.81179="",1416.86226="",878.6552=""),"-",(1416.86226-878.6552)/2533522.81179*100)</f>
        <v>0.021243426642752142</v>
      </c>
    </row>
    <row r="78" spans="1:7" s="16" customFormat="1" ht="15.75">
      <c r="A78" s="47" t="s">
        <v>180</v>
      </c>
      <c r="B78" s="27">
        <f>IF(1265.49422="","-",1265.49422)</f>
        <v>1265.49422</v>
      </c>
      <c r="C78" s="27" t="s">
        <v>193</v>
      </c>
      <c r="D78" s="27">
        <f>IF(579.90475="","-",579.90475/2533522.81179*100)</f>
        <v>0.022889264991077074</v>
      </c>
      <c r="E78" s="27">
        <f>IF(1265.49422="","-",1265.49422/3007987.9188*100)</f>
        <v>0.042071120435379056</v>
      </c>
      <c r="F78" s="27">
        <f>IF(OR(2624773.92828="",1364.04414="",579.90475=""),"-",(579.90475-1364.04414)/2624773.92828*100)</f>
        <v>-0.029874549634598135</v>
      </c>
      <c r="G78" s="27">
        <f>IF(OR(2533522.81179="",1265.49422="",579.90475=""),"-",(1265.49422-579.90475)/2533522.81179*100)</f>
        <v>0.02706071825402721</v>
      </c>
    </row>
    <row r="79" spans="1:7" s="16" customFormat="1" ht="15.75">
      <c r="A79" s="47" t="s">
        <v>158</v>
      </c>
      <c r="B79" s="27">
        <f>IF(1201.44956="","-",1201.44956)</f>
        <v>1201.44956</v>
      </c>
      <c r="C79" s="27">
        <f>IF(OR(999.71612="",1201.44956=""),"-",1201.44956/999.71612*100)</f>
        <v>120.17907243508287</v>
      </c>
      <c r="D79" s="27">
        <f>IF(999.71612="","-",999.71612/2533522.81179*100)</f>
        <v>0.03945952708014792</v>
      </c>
      <c r="E79" s="27">
        <f>IF(1201.44956="","-",1201.44956/3007987.9188*100)</f>
        <v>0.03994196760202759</v>
      </c>
      <c r="F79" s="27">
        <f>IF(OR(2624773.92828="",677.713="",999.71612=""),"-",(999.71612-677.713)/2624773.92828*100)</f>
        <v>0.012267842061773561</v>
      </c>
      <c r="G79" s="27">
        <f>IF(OR(2533522.81179="",1201.44956="",999.71612=""),"-",(1201.44956-999.71612)/2533522.81179*100)</f>
        <v>0.007962566552044189</v>
      </c>
    </row>
    <row r="80" spans="1:7" s="16" customFormat="1" ht="15.75">
      <c r="A80" s="47" t="s">
        <v>175</v>
      </c>
      <c r="B80" s="27">
        <f>IF(1149.46315="","-",1149.46315)</f>
        <v>1149.46315</v>
      </c>
      <c r="C80" s="27">
        <f>IF(OR(1016.27894="",1149.46315=""),"-",1149.46315/1016.27894*100)</f>
        <v>113.10508412188489</v>
      </c>
      <c r="D80" s="27">
        <f>IF(1016.27894="","-",1016.27894/2533522.81179*100)</f>
        <v>0.04011327371005483</v>
      </c>
      <c r="E80" s="27">
        <f>IF(1149.46315="","-",1149.46315/3007987.9188*100)</f>
        <v>0.038213689051602454</v>
      </c>
      <c r="F80" s="27">
        <f>IF(OR(2624773.92828="",950.87844="",1016.27894=""),"-",(1016.27894-950.87844)/2624773.92828*100)</f>
        <v>0.0024916622073755763</v>
      </c>
      <c r="G80" s="27">
        <f>IF(OR(2533522.81179="",1149.46315="",1016.27894=""),"-",(1149.46315-1016.27894)/2533522.81179*100)</f>
        <v>0.005256878263744619</v>
      </c>
    </row>
    <row r="81" spans="1:7" s="16" customFormat="1" ht="15.75">
      <c r="A81" s="47" t="s">
        <v>173</v>
      </c>
      <c r="B81" s="27">
        <f>IF(1103.9834="","-",1103.9834)</f>
        <v>1103.9834</v>
      </c>
      <c r="C81" s="27">
        <f>IF(OR(951.24537="",1103.9834=""),"-",1103.9834/951.24537*100)</f>
        <v>116.05663846752812</v>
      </c>
      <c r="D81" s="27">
        <f>IF(951.24537="","-",951.24537/2533522.81179*100)</f>
        <v>0.03754635109552932</v>
      </c>
      <c r="E81" s="27">
        <f>IF(1103.9834="","-",1103.9834/3007987.9188*100)</f>
        <v>0.0367017232050726</v>
      </c>
      <c r="F81" s="27">
        <f>IF(OR(2624773.92828="",1449.39061="",951.24537=""),"-",(951.24537-1449.39061)/2624773.92828*100)</f>
        <v>-0.01897859600908303</v>
      </c>
      <c r="G81" s="27">
        <f>IF(OR(2533522.81179="",1103.9834="",951.24537=""),"-",(1103.9834-951.24537)/2533522.81179*100)</f>
        <v>0.006028681853157923</v>
      </c>
    </row>
    <row r="82" spans="1:7" s="16" customFormat="1" ht="15.75">
      <c r="A82" s="47" t="s">
        <v>160</v>
      </c>
      <c r="B82" s="27">
        <f>IF(1065.16882="","-",1065.16882)</f>
        <v>1065.16882</v>
      </c>
      <c r="C82" s="27">
        <f>IF(OR(697.68852="",1065.16882=""),"-",1065.16882/697.68852*100)</f>
        <v>152.67111174482275</v>
      </c>
      <c r="D82" s="27">
        <f>IF(697.68852="","-",697.68852/2533522.81179*100)</f>
        <v>0.02753827661441362</v>
      </c>
      <c r="E82" s="27">
        <f>IF(1065.16882="","-",1065.16882/3007987.9188*100)</f>
        <v>0.035411339697964485</v>
      </c>
      <c r="F82" s="27">
        <f>IF(OR(2624773.92828="",556.46585="",697.68852=""),"-",(697.68852-556.46585)/2624773.92828*100)</f>
        <v>0.005380374609730386</v>
      </c>
      <c r="G82" s="27">
        <f>IF(OR(2533522.81179="",1065.16882="",697.68852=""),"-",(1065.16882-697.68852)/2533522.81179*100)</f>
        <v>0.014504716448176191</v>
      </c>
    </row>
    <row r="83" spans="1:7" s="16" customFormat="1" ht="15.75">
      <c r="A83" s="47" t="s">
        <v>152</v>
      </c>
      <c r="B83" s="27">
        <f>IF(1057.88765="","-",1057.88765)</f>
        <v>1057.88765</v>
      </c>
      <c r="C83" s="27">
        <f>IF(OR(1502.49678="",1057.88765=""),"-",1057.88765/1502.49678*100)</f>
        <v>70.40864673267386</v>
      </c>
      <c r="D83" s="27">
        <f>IF(1502.49678="","-",1502.49678/2533522.81179*100)</f>
        <v>0.059304647781657296</v>
      </c>
      <c r="E83" s="27">
        <f>IF(1057.88765="","-",1057.88765/3007987.9188*100)</f>
        <v>0.03516927855288831</v>
      </c>
      <c r="F83" s="27">
        <f>IF(OR(2624773.92828="",467.77377="",1502.49678=""),"-",(1502.49678-467.77377)/2624773.92828*100)</f>
        <v>0.03942141450170713</v>
      </c>
      <c r="G83" s="27">
        <f>IF(OR(2533522.81179="",1057.88765="",1502.49678=""),"-",(1057.88765-1502.49678)/2533522.81179*100)</f>
        <v>-0.017549047829013707</v>
      </c>
    </row>
    <row r="84" spans="1:7" s="16" customFormat="1" ht="15.75">
      <c r="A84" s="47" t="s">
        <v>202</v>
      </c>
      <c r="B84" s="27">
        <f>IF(877.64584="","-",877.64584)</f>
        <v>877.64584</v>
      </c>
      <c r="C84" s="27" t="s">
        <v>215</v>
      </c>
      <c r="D84" s="27">
        <f>IF(552.18107="","-",552.18107/2533522.81179*100)</f>
        <v>0.021794991046868436</v>
      </c>
      <c r="E84" s="27">
        <f>IF(877.64584="","-",877.64584/3007987.9188*100)</f>
        <v>0.029177173036988992</v>
      </c>
      <c r="F84" s="27">
        <f>IF(OR(2624773.92828="",24.85682="",552.18107=""),"-",(552.18107-24.85682)/2624773.92828*100)</f>
        <v>0.020090273082891855</v>
      </c>
      <c r="G84" s="27">
        <f>IF(OR(2533522.81179="",877.64584="",552.18107=""),"-",(877.64584-552.18107)/2533522.81179*100)</f>
        <v>0.012846332722382343</v>
      </c>
    </row>
    <row r="85" spans="1:7" s="16" customFormat="1" ht="15.75">
      <c r="A85" s="47" t="s">
        <v>181</v>
      </c>
      <c r="B85" s="27">
        <f>IF(722.81582="","-",722.81582)</f>
        <v>722.81582</v>
      </c>
      <c r="C85" s="27">
        <f>IF(OR(495.96921="",722.81582=""),"-",722.81582/495.96921*100)</f>
        <v>145.7380428918158</v>
      </c>
      <c r="D85" s="27">
        <f>IF(495.96921="","-",495.96921/2533522.81179*100)</f>
        <v>0.019576267783813037</v>
      </c>
      <c r="E85" s="27">
        <f>IF(722.81582="","-",722.81582/3007987.9188*100)</f>
        <v>0.024029877762552936</v>
      </c>
      <c r="F85" s="27">
        <f>IF(OR(2624773.92828="",267.20852="",495.96921=""),"-",(495.96921-267.20852)/2624773.92828*100)</f>
        <v>0.008715443548690898</v>
      </c>
      <c r="G85" s="27">
        <f>IF(OR(2533522.81179="",722.81582="",495.96921=""),"-",(722.81582-495.96921)/2533522.81179*100)</f>
        <v>0.008953801755577128</v>
      </c>
    </row>
    <row r="86" spans="1:7" s="16" customFormat="1" ht="15.75">
      <c r="A86" s="47" t="s">
        <v>176</v>
      </c>
      <c r="B86" s="27">
        <f>IF(690.54367="","-",690.54367)</f>
        <v>690.54367</v>
      </c>
      <c r="C86" s="27">
        <f>IF(OR(792.43231="",690.54367=""),"-",690.54367/792.43231*100)</f>
        <v>87.14229105574961</v>
      </c>
      <c r="D86" s="27">
        <f>IF(792.43231="","-",792.43231/2533522.81179*100)</f>
        <v>0.031277883361157735</v>
      </c>
      <c r="E86" s="27">
        <f>IF(690.54367="","-",690.54367/3007987.9188*100)</f>
        <v>0.022956996126350267</v>
      </c>
      <c r="F86" s="27">
        <f>IF(OR(2624773.92828="",954.7627="",792.43231=""),"-",(792.43231-954.7627)/2624773.92828*100)</f>
        <v>-0.006184547486204809</v>
      </c>
      <c r="G86" s="27">
        <f>IF(OR(2533522.81179="",690.54367="",792.43231=""),"-",(690.54367-792.43231)/2533522.81179*100)</f>
        <v>-0.004021619206499783</v>
      </c>
    </row>
    <row r="87" spans="1:7" s="16" customFormat="1" ht="15.75">
      <c r="A87" s="47" t="s">
        <v>251</v>
      </c>
      <c r="B87" s="27">
        <f>IF(688.16165="","-",688.16165)</f>
        <v>688.16165</v>
      </c>
      <c r="C87" s="27">
        <f>IF(OR(725.44552="",688.16165=""),"-",688.16165/725.44552*100)</f>
        <v>94.86055548320155</v>
      </c>
      <c r="D87" s="27">
        <f>IF(725.44552="","-",725.44552/2533522.81179*100)</f>
        <v>0.028633865723413546</v>
      </c>
      <c r="E87" s="27">
        <f>IF(688.16165="","-",688.16165/3007987.9188*100)</f>
        <v>0.022877806313614905</v>
      </c>
      <c r="F87" s="27">
        <f>IF(OR(2624773.92828="",733.24792="",725.44552=""),"-",(725.44552-733.24792)/2624773.92828*100)</f>
        <v>-0.0002972598864966974</v>
      </c>
      <c r="G87" s="27">
        <f>IF(OR(2533522.81179="",688.16165="",725.44552=""),"-",(688.16165-725.44552)/2533522.81179*100)</f>
        <v>-0.0014716216418694074</v>
      </c>
    </row>
    <row r="88" spans="1:7" s="16" customFormat="1" ht="15.75">
      <c r="A88" s="47" t="s">
        <v>182</v>
      </c>
      <c r="B88" s="27">
        <f>IF(636.3605="","-",636.3605)</f>
        <v>636.3605</v>
      </c>
      <c r="C88" s="27" t="s">
        <v>193</v>
      </c>
      <c r="D88" s="27">
        <f>IF(287.26091="","-",287.26091/2533522.81179*100)</f>
        <v>0.011338398401751224</v>
      </c>
      <c r="E88" s="27">
        <f>IF(636.3605="","-",636.3605/3007987.9188*100)</f>
        <v>0.021155686697500706</v>
      </c>
      <c r="F88" s="27">
        <f>IF(OR(2624773.92828="",611.42803="",287.26091=""),"-",(287.26091-611.42803)/2624773.92828*100)</f>
        <v>-0.012350287257402963</v>
      </c>
      <c r="G88" s="27">
        <f>IF(OR(2533522.81179="",636.3605="",287.26091=""),"-",(636.3605-287.26091)/2533522.81179*100)</f>
        <v>0.013779216369216425</v>
      </c>
    </row>
    <row r="89" spans="1:7" s="16" customFormat="1" ht="15.75">
      <c r="A89" s="47" t="s">
        <v>120</v>
      </c>
      <c r="B89" s="27">
        <f>IF(596.89138="","-",596.89138)</f>
        <v>596.89138</v>
      </c>
      <c r="C89" s="27">
        <f>IF(OR(2231.66234="",596.89138=""),"-",596.89138/2231.66234*100)</f>
        <v>26.746491586177868</v>
      </c>
      <c r="D89" s="27">
        <f>IF(2231.66234="","-",2231.66234/2533522.81179*100)</f>
        <v>0.08808534620705752</v>
      </c>
      <c r="E89" s="27">
        <f>IF(596.89138="","-",596.89138/3007987.9188*100)</f>
        <v>0.019843543129592172</v>
      </c>
      <c r="F89" s="27">
        <f>IF(OR(2624773.92828="",2331.35533="",2231.66234=""),"-",(2231.66234-2331.35533)/2624773.92828*100)</f>
        <v>-0.0037981552973336743</v>
      </c>
      <c r="G89" s="27">
        <f>IF(OR(2533522.81179="",596.89138="",2231.66234=""),"-",(596.89138-2231.66234)/2533522.81179*100)</f>
        <v>-0.06452560649513123</v>
      </c>
    </row>
    <row r="90" spans="1:7" ht="15.75">
      <c r="A90" s="47" t="s">
        <v>177</v>
      </c>
      <c r="B90" s="27">
        <f>IF(579.63207="","-",579.63207)</f>
        <v>579.63207</v>
      </c>
      <c r="C90" s="27">
        <f>IF(OR(770.47359="",579.63207=""),"-",579.63207/770.47359*100)</f>
        <v>75.23062146750547</v>
      </c>
      <c r="D90" s="27">
        <f>IF(770.47359="","-",770.47359/2533522.81179*100)</f>
        <v>0.030411156608281736</v>
      </c>
      <c r="E90" s="27">
        <f>IF(579.63207="","-",579.63207/3007987.9188*100)</f>
        <v>0.01926976057241736</v>
      </c>
      <c r="F90" s="27">
        <f>IF(OR(2624773.92828="",1388.71671="",770.47359=""),"-",(770.47359-1388.71671)/2624773.92828*100)</f>
        <v>-0.023554147400615615</v>
      </c>
      <c r="G90" s="27">
        <f>IF(OR(2533522.81179="",579.63207="",770.47359=""),"-",(579.63207-770.47359)/2533522.81179*100)</f>
        <v>-0.0075326544964150295</v>
      </c>
    </row>
    <row r="91" spans="1:7" ht="15.75">
      <c r="A91" s="47" t="s">
        <v>143</v>
      </c>
      <c r="B91" s="27">
        <f>IF(472.13211="","-",472.13211)</f>
        <v>472.13211</v>
      </c>
      <c r="C91" s="27">
        <f>IF(OR(883.68974="",472.13211=""),"-",472.13211/883.68974*100)</f>
        <v>53.4273612818001</v>
      </c>
      <c r="D91" s="27">
        <f>IF(883.68974="","-",883.68974/2533522.81179*100)</f>
        <v>0.034879880926576304</v>
      </c>
      <c r="E91" s="27">
        <f>IF(472.13211="","-",472.13211/3007987.9188*100)</f>
        <v>0.015695944356995666</v>
      </c>
      <c r="F91" s="27">
        <f>IF(OR(2624773.92828="",447.9159="",883.68974=""),"-",(883.68974-447.9159)/2624773.92828*100)</f>
        <v>0.016602338026329003</v>
      </c>
      <c r="G91" s="27">
        <f>IF(OR(2533522.81179="",472.13211="",883.68974=""),"-",(472.13211-883.68974)/2533522.81179*100)</f>
        <v>-0.0162444809292727</v>
      </c>
    </row>
    <row r="92" spans="1:7" ht="15.75">
      <c r="A92" s="47" t="s">
        <v>119</v>
      </c>
      <c r="B92" s="27">
        <f>IF(468.78064="","-",468.78064)</f>
        <v>468.78064</v>
      </c>
      <c r="C92" s="27" t="s">
        <v>198</v>
      </c>
      <c r="D92" s="27">
        <f>IF(182.84037="","-",182.84037/2533522.81179*100)</f>
        <v>0.00721684324882074</v>
      </c>
      <c r="E92" s="27">
        <f>IF(468.78064="","-",468.78064/3007987.9188*100)</f>
        <v>0.015584525358965347</v>
      </c>
      <c r="F92" s="27">
        <f>IF(OR(2624773.92828="",206.86604="",182.84037=""),"-",(182.84037-206.86604)/2624773.92828*100)</f>
        <v>-0.0009153424506827482</v>
      </c>
      <c r="G92" s="27">
        <f>IF(OR(2533522.81179="",468.78064="",182.84037=""),"-",(468.78064-182.84037)/2533522.81179*100)</f>
        <v>0.011286271774201067</v>
      </c>
    </row>
    <row r="93" spans="1:7" ht="15.75">
      <c r="A93" s="47" t="s">
        <v>165</v>
      </c>
      <c r="B93" s="27">
        <f>IF(468.08473="","-",468.08473)</f>
        <v>468.08473</v>
      </c>
      <c r="C93" s="27">
        <f>IF(OR(631.12549="",468.08473=""),"-",468.08473/631.12549*100)</f>
        <v>74.16666533307028</v>
      </c>
      <c r="D93" s="27">
        <f>IF(631.12549="","-",631.12549/2533522.81179*100)</f>
        <v>0.02491098509407513</v>
      </c>
      <c r="E93" s="27">
        <f>IF(468.08473="","-",468.08473/3007987.9188*100)</f>
        <v>0.015561389960194277</v>
      </c>
      <c r="F93" s="27">
        <f>IF(OR(2624773.92828="",443.74297="",631.12549=""),"-",(631.12549-443.74297)/2624773.92828*100)</f>
        <v>0.0071389965429438235</v>
      </c>
      <c r="G93" s="27">
        <f>IF(OR(2533522.81179="",468.08473="",631.12549=""),"-",(468.08473-631.12549)/2533522.81179*100)</f>
        <v>-0.006435338148181404</v>
      </c>
    </row>
    <row r="94" spans="1:7" ht="15.75">
      <c r="A94" s="47" t="s">
        <v>178</v>
      </c>
      <c r="B94" s="27">
        <f>IF(465.67483="","-",465.67483)</f>
        <v>465.67483</v>
      </c>
      <c r="C94" s="27">
        <f>IF(OR(611.50179="",465.67483=""),"-",465.67483/611.50179*100)</f>
        <v>76.15265198160745</v>
      </c>
      <c r="D94" s="27">
        <f>IF(611.50179="","-",611.50179/2533522.81179*100)</f>
        <v>0.024136423289907463</v>
      </c>
      <c r="E94" s="27">
        <f>IF(465.67483="","-",465.67483/3007987.9188*100)</f>
        <v>0.015481273282034167</v>
      </c>
      <c r="F94" s="27">
        <f>IF(OR(2624773.92828="",1533.07141="",611.50179=""),"-",(611.50179-1533.07141)/2624773.92828*100)</f>
        <v>-0.03511043789603242</v>
      </c>
      <c r="G94" s="27">
        <f>IF(OR(2533522.81179="",465.67483="",611.50179=""),"-",(465.67483-611.50179)/2533522.81179*100)</f>
        <v>-0.005755896861136588</v>
      </c>
    </row>
    <row r="95" spans="1:7" ht="15.75">
      <c r="A95" s="47" t="s">
        <v>183</v>
      </c>
      <c r="B95" s="27">
        <f>IF(452.00982="","-",452.00982)</f>
        <v>452.00982</v>
      </c>
      <c r="C95" s="27">
        <f>IF(OR(371.24805="",452.00982=""),"-",452.00982/371.24805*100)</f>
        <v>121.75412638531031</v>
      </c>
      <c r="D95" s="27">
        <f>IF(371.24805="","-",371.24805/2533522.81179*100)</f>
        <v>0.014653432298788086</v>
      </c>
      <c r="E95" s="27">
        <f>IF(452.00982="","-",452.00982/3007987.9188*100)</f>
        <v>0.015026982561164134</v>
      </c>
      <c r="F95" s="27">
        <f>IF(OR(2624773.92828="",1586.37391="",371.24805=""),"-",(371.24805-1586.37391)/2624773.92828*100)</f>
        <v>-0.04629449595288633</v>
      </c>
      <c r="G95" s="27">
        <f>IF(OR(2533522.81179="",452.00982="",371.24805=""),"-",(452.00982-371.24805)/2533522.81179*100)</f>
        <v>0.0031877261820642423</v>
      </c>
    </row>
    <row r="96" spans="1:7" ht="15.75">
      <c r="A96" s="47" t="s">
        <v>191</v>
      </c>
      <c r="B96" s="27">
        <f>IF(439.61138="","-",439.61138)</f>
        <v>439.61138</v>
      </c>
      <c r="C96" s="27">
        <f>IF(OR(308.03459="",439.61138=""),"-",439.61138/308.03459*100)</f>
        <v>142.71493990334008</v>
      </c>
      <c r="D96" s="27">
        <f>IF(308.03459="","-",308.03459/2533522.81179*100)</f>
        <v>0.012158350758340536</v>
      </c>
      <c r="E96" s="27">
        <f>IF(439.61138="","-",439.61138/3007987.9188*100)</f>
        <v>0.01461479872483589</v>
      </c>
      <c r="F96" s="27">
        <f>IF(OR(2624773.92828="",234.82006="",308.03459=""),"-",(308.03459-234.82006)/2624773.92828*100)</f>
        <v>0.0027893651796509975</v>
      </c>
      <c r="G96" s="27">
        <f>IF(OR(2533522.81179="",439.61138="",308.03459=""),"-",(439.61138-308.03459)/2533522.81179*100)</f>
        <v>0.005193432219662454</v>
      </c>
    </row>
    <row r="97" spans="1:7" ht="15.75">
      <c r="A97" s="47" t="s">
        <v>179</v>
      </c>
      <c r="B97" s="27">
        <f>IF(422.53671="","-",422.53671)</f>
        <v>422.53671</v>
      </c>
      <c r="C97" s="27">
        <f>IF(OR(555.94834="",422.53671=""),"-",422.53671/555.94834*100)</f>
        <v>76.00287285685573</v>
      </c>
      <c r="D97" s="27">
        <f>IF(555.94834="","-",555.94834/2533522.81179*100)</f>
        <v>0.02194368795152896</v>
      </c>
      <c r="E97" s="27">
        <f>IF(422.53671="","-",422.53671/3007987.9188*100)</f>
        <v>0.01404715449018711</v>
      </c>
      <c r="F97" s="27">
        <f>IF(OR(2624773.92828="",616.42984="",555.94834=""),"-",(555.94834-616.42984)/2624773.92828*100)</f>
        <v>-0.0023042555912475547</v>
      </c>
      <c r="G97" s="27">
        <f>IF(OR(2533522.81179="",422.53671="",555.94834=""),"-",(422.53671-555.94834)/2533522.81179*100)</f>
        <v>-0.005265854697623235</v>
      </c>
    </row>
    <row r="98" spans="1:7" ht="15.75">
      <c r="A98" s="47" t="s">
        <v>205</v>
      </c>
      <c r="B98" s="27">
        <f>IF(396.65052="","-",396.65052)</f>
        <v>396.65052</v>
      </c>
      <c r="C98" s="27" t="s">
        <v>269</v>
      </c>
      <c r="D98" s="27">
        <f>IF(5.24822="","-",5.24822/2533522.81179*100)</f>
        <v>0.00020715108526265824</v>
      </c>
      <c r="E98" s="27">
        <f>IF(396.65052="","-",396.65052/3007987.9188*100)</f>
        <v>0.013186572908784782</v>
      </c>
      <c r="F98" s="27">
        <f>IF(OR(2624773.92828="",758.48931="",5.24822=""),"-",(5.24822-758.48931)/2624773.92828*100)</f>
        <v>-0.028697370157649914</v>
      </c>
      <c r="G98" s="27">
        <f>IF(OR(2533522.81179="",396.65052="",5.24822=""),"-",(396.65052-5.24822)/2533522.81179*100)</f>
        <v>0.015448935299835093</v>
      </c>
    </row>
    <row r="99" spans="1:7" ht="15.75">
      <c r="A99" s="47" t="s">
        <v>164</v>
      </c>
      <c r="B99" s="27">
        <f>IF(380.89392="","-",380.89392)</f>
        <v>380.89392</v>
      </c>
      <c r="C99" s="27">
        <f>IF(OR(769.08905="",380.89392=""),"-",380.89392/769.08905*100)</f>
        <v>49.52533389989104</v>
      </c>
      <c r="D99" s="27">
        <f>IF(769.08905="","-",769.08905/2533522.81179*100)</f>
        <v>0.030356507800954773</v>
      </c>
      <c r="E99" s="27">
        <f>IF(380.89392="","-",380.89392/3007987.9188*100)</f>
        <v>0.012662747666618054</v>
      </c>
      <c r="F99" s="27">
        <f>IF(OR(2624773.92828="",1277.70612="",769.08905=""),"-",(769.08905-1277.70612)/2624773.92828*100)</f>
        <v>-0.019377557225787212</v>
      </c>
      <c r="G99" s="27">
        <f>IF(OR(2533522.81179="",380.89392="",769.08905=""),"-",(380.89392-769.08905)/2533522.81179*100)</f>
        <v>-0.015322345952185448</v>
      </c>
    </row>
    <row r="100" spans="1:7" ht="15.75">
      <c r="A100" s="47" t="s">
        <v>211</v>
      </c>
      <c r="B100" s="27">
        <f>IF(285.63783="","-",285.63783)</f>
        <v>285.63783</v>
      </c>
      <c r="C100" s="27" t="s">
        <v>214</v>
      </c>
      <c r="D100" s="27">
        <f>IF(163.62183="","-",163.62183/2533522.81179*100)</f>
        <v>0.00645827340644298</v>
      </c>
      <c r="E100" s="27">
        <f>IF(285.63783="","-",285.63783/3007987.9188*100)</f>
        <v>0.009495976636566802</v>
      </c>
      <c r="F100" s="27">
        <f>IF(OR(2624773.92828="",113.15331="",163.62183=""),"-",(163.62183-113.15331)/2624773.92828*100)</f>
        <v>0.001922775880095385</v>
      </c>
      <c r="G100" s="27">
        <f>IF(OR(2533522.81179="",285.63783="",163.62183=""),"-",(285.63783-163.62183)/2533522.81179*100)</f>
        <v>0.004816060839562463</v>
      </c>
    </row>
    <row r="101" spans="1:7" ht="15.75">
      <c r="A101" s="47" t="s">
        <v>190</v>
      </c>
      <c r="B101" s="27">
        <f>IF(216.38946="","-",216.38946)</f>
        <v>216.38946</v>
      </c>
      <c r="C101" s="27" t="s">
        <v>213</v>
      </c>
      <c r="D101" s="27">
        <f>IF(121.76609="","-",121.76609/2533522.81179*100)</f>
        <v>0.004806196708920457</v>
      </c>
      <c r="E101" s="27">
        <f>IF(216.38946="","-",216.38946/3007987.9188*100)</f>
        <v>0.00719382743020876</v>
      </c>
      <c r="F101" s="27">
        <f>IF(OR(2624773.92828="",60.89116="",121.76609=""),"-",(121.76609-60.89116)/2624773.92828*100)</f>
        <v>0.0023192446916710657</v>
      </c>
      <c r="G101" s="27">
        <f>IF(OR(2533522.81179="",216.38946="",121.76609=""),"-",(216.38946-121.76609)/2533522.81179*100)</f>
        <v>0.003734853681192873</v>
      </c>
    </row>
    <row r="102" spans="1:7" ht="15.75">
      <c r="A102" s="47" t="s">
        <v>192</v>
      </c>
      <c r="B102" s="27">
        <f>IF(177.41364="","-",177.41364)</f>
        <v>177.41364</v>
      </c>
      <c r="C102" s="27" t="s">
        <v>208</v>
      </c>
      <c r="D102" s="27">
        <f>IF(58.13389="","-",58.13389/2533522.81179*100)</f>
        <v>0.002294587194142013</v>
      </c>
      <c r="E102" s="27">
        <f>IF(177.41364="","-",177.41364/3007987.9188*100)</f>
        <v>0.005898083529230961</v>
      </c>
      <c r="F102" s="27">
        <f>IF(OR(2624773.92828="",67.30655="",58.13389=""),"-",(58.13389-67.30655)/2624773.92828*100)</f>
        <v>-0.0003494647634667262</v>
      </c>
      <c r="G102" s="27">
        <f>IF(OR(2533522.81179="",177.41364="",58.13389=""),"-",(177.41364-58.13389)/2533522.81179*100)</f>
        <v>0.004708059049041114</v>
      </c>
    </row>
    <row r="103" spans="1:7" ht="15.75">
      <c r="A103" s="47" t="s">
        <v>230</v>
      </c>
      <c r="B103" s="27">
        <f>IF(115.49561="","-",115.49561)</f>
        <v>115.49561</v>
      </c>
      <c r="C103" s="27">
        <f>IF(OR(154.68446="",115.49561=""),"-",115.49561/154.68446*100)</f>
        <v>74.66529604848476</v>
      </c>
      <c r="D103" s="27">
        <f>IF(154.68446="","-",154.68446/2533522.81179*100)</f>
        <v>0.0061055088701061026</v>
      </c>
      <c r="E103" s="27">
        <f>IF(115.49561="","-",115.49561/3007987.9188*100)</f>
        <v>0.0038396301154718583</v>
      </c>
      <c r="F103" s="27">
        <f>IF(OR(2624773.92828="",93.52716="",154.68446=""),"-",(154.68446-93.52716)/2624773.92828*100)</f>
        <v>0.0023300025705480874</v>
      </c>
      <c r="G103" s="27">
        <f>IF(OR(2533522.81179="",115.49561="",154.68446=""),"-",(115.49561-154.68446)/2533522.81179*100)</f>
        <v>-0.0015468125969748839</v>
      </c>
    </row>
    <row r="104" spans="1:7" ht="15.75">
      <c r="A104" s="47" t="s">
        <v>148</v>
      </c>
      <c r="B104" s="27">
        <f>IF(89.79033="","-",89.79033)</f>
        <v>89.79033</v>
      </c>
      <c r="C104" s="27" t="s">
        <v>214</v>
      </c>
      <c r="D104" s="27">
        <f>IF(52.64672="","-",52.64672/2533522.81179*100)</f>
        <v>0.002078004577460414</v>
      </c>
      <c r="E104" s="27">
        <f>IF(89.79033="","-",89.79033/3007987.9188*100)</f>
        <v>0.0029850628534379467</v>
      </c>
      <c r="F104" s="27">
        <f>IF(OR(2624773.92828="",17.56035="",52.64672=""),"-",(52.64672-17.56035)/2624773.92828*100)</f>
        <v>0.0013367387424101666</v>
      </c>
      <c r="G104" s="27">
        <f>IF(OR(2533522.81179="",89.79033="",52.64672=""),"-",(89.79033-52.64672)/2533522.81179*100)</f>
        <v>0.0014660854769946619</v>
      </c>
    </row>
    <row r="105" spans="1:7" ht="15.75">
      <c r="A105" s="47" t="s">
        <v>224</v>
      </c>
      <c r="B105" s="27">
        <f>IF(76.51369="","-",76.51369)</f>
        <v>76.51369</v>
      </c>
      <c r="C105" s="27" t="s">
        <v>268</v>
      </c>
      <c r="D105" s="27">
        <f>IF(37.57779="","-",37.57779/2533522.81179*100)</f>
        <v>0.0014832228794281236</v>
      </c>
      <c r="E105" s="27">
        <f>IF(76.51369="","-",76.51369/3007987.9188*100)</f>
        <v>0.0025436834211263787</v>
      </c>
      <c r="F105" s="27">
        <f>IF(OR(2624773.92828="",12.74649="",37.57779=""),"-",(37.57779-12.74649)/2624773.92828*100)</f>
        <v>0.0009460357607358518</v>
      </c>
      <c r="G105" s="27">
        <f>IF(OR(2533522.81179="",76.51369="",37.57779=""),"-",(76.51369-37.57779)/2533522.81179*100)</f>
        <v>0.0015368284753075013</v>
      </c>
    </row>
    <row r="106" spans="1:7" ht="15.75">
      <c r="A106" s="47" t="s">
        <v>231</v>
      </c>
      <c r="B106" s="27">
        <f>IF(76.2305="","-",76.2305)</f>
        <v>76.2305</v>
      </c>
      <c r="C106" s="27">
        <f>IF(OR(62.61605="",76.2305=""),"-",76.2305/62.61605*100)</f>
        <v>121.74274806539218</v>
      </c>
      <c r="D106" s="27">
        <f>IF(62.61605="","-",62.61605/2533522.81179*100)</f>
        <v>0.002471501330424577</v>
      </c>
      <c r="E106" s="27">
        <f>IF(76.2305="","-",76.2305/3007987.9188*100)</f>
        <v>0.0025342688221437816</v>
      </c>
      <c r="F106" s="27">
        <f>IF(OR(2624773.92828="",19.04327="",62.61605=""),"-",(62.61605-19.04327)/2624773.92828*100)</f>
        <v>0.001660058397050332</v>
      </c>
      <c r="G106" s="27">
        <f>IF(OR(2533522.81179="",76.2305="",62.61605=""),"-",(76.2305-62.61605)/2533522.81179*100)</f>
        <v>0.0005373723077070319</v>
      </c>
    </row>
    <row r="107" spans="1:7" ht="15.75">
      <c r="A107" s="47" t="s">
        <v>225</v>
      </c>
      <c r="B107" s="27">
        <f>IF(63.43256="","-",63.43256)</f>
        <v>63.43256</v>
      </c>
      <c r="C107" s="27">
        <f>IF(OR(163.49492="",63.43256=""),"-",63.43256/163.49492*100)</f>
        <v>38.797878246002995</v>
      </c>
      <c r="D107" s="27">
        <f>IF(163.49492="","-",163.49492/2533522.81179*100)</f>
        <v>0.006453264175840855</v>
      </c>
      <c r="E107" s="27">
        <f>IF(63.43256="","-",63.43256/3007987.9188*100)</f>
        <v>0.002108803682473088</v>
      </c>
      <c r="F107" s="27">
        <f>IF(OR(2624773.92828="",200.75319="",163.49492=""),"-",(163.49492-200.75319)/2624773.92828*100)</f>
        <v>-0.0014194849163415425</v>
      </c>
      <c r="G107" s="27">
        <f>IF(OR(2533522.81179="",63.43256="",163.49492=""),"-",(63.43256-163.49492)/2533522.81179*100)</f>
        <v>-0.003949534598005192</v>
      </c>
    </row>
    <row r="108" spans="1:7" ht="15.75">
      <c r="A108" s="47" t="s">
        <v>258</v>
      </c>
      <c r="B108" s="27">
        <f>IF(58.34258="","-",58.34258)</f>
        <v>58.34258</v>
      </c>
      <c r="C108" s="27">
        <f>IF(OR(44.07383="",58.34258=""),"-",58.34258/44.07383*100)</f>
        <v>132.37465407476498</v>
      </c>
      <c r="D108" s="27">
        <f>IF(44.07383="","-",44.07383/2533522.81179*100)</f>
        <v>0.0017396263335343993</v>
      </c>
      <c r="E108" s="27">
        <f>IF(58.34258="","-",58.34258/3007987.9188*100)</f>
        <v>0.0019395882422052764</v>
      </c>
      <c r="F108" s="27">
        <f>IF(OR(2624773.92828="",25.33654="",44.07383=""),"-",(44.07383-25.33654)/2624773.92828*100)</f>
        <v>0.0007138630035188762</v>
      </c>
      <c r="G108" s="27">
        <f>IF(OR(2533522.81179="",58.34258="",44.07383=""),"-",(58.34258-44.07383)/2533522.81179*100)</f>
        <v>0.0005631980076752792</v>
      </c>
    </row>
    <row r="109" spans="1:7" ht="15.75">
      <c r="A109" s="47" t="s">
        <v>259</v>
      </c>
      <c r="B109" s="27">
        <f>IF(57.08404="","-",57.08404)</f>
        <v>57.08404</v>
      </c>
      <c r="C109" s="27">
        <f>IF(OR(69.57702="",57.08404=""),"-",57.08404/69.57702*100)</f>
        <v>82.04438764408133</v>
      </c>
      <c r="D109" s="27">
        <f>IF(69.57702="","-",69.57702/2533522.81179*100)</f>
        <v>0.0027462559119742842</v>
      </c>
      <c r="E109" s="27">
        <f>IF(57.08404="","-",57.08404/3007987.9188*100)</f>
        <v>0.0018977483135229141</v>
      </c>
      <c r="F109" s="27">
        <f>IF(OR(2624773.92828="",58.14617="",69.57702=""),"-",(69.57702-58.14617)/2624773.92828*100)</f>
        <v>0.00043549845862308524</v>
      </c>
      <c r="G109" s="27">
        <f>IF(OR(2533522.81179="",57.08404="",69.57702=""),"-",(57.08404-69.57702)/2533522.81179*100)</f>
        <v>-0.0004931070658556015</v>
      </c>
    </row>
    <row r="110" spans="1:7" ht="15.75">
      <c r="A110" s="47" t="s">
        <v>226</v>
      </c>
      <c r="B110" s="27">
        <f>IF(54.8964="","-",54.8964)</f>
        <v>54.8964</v>
      </c>
      <c r="C110" s="27" t="str">
        <f>IF(OR(""="",54.8964=""),"-",54.8964/""*100)</f>
        <v>-</v>
      </c>
      <c r="D110" s="27" t="str">
        <f>IF(""="","-",""/2533522.81179*100)</f>
        <v>-</v>
      </c>
      <c r="E110" s="27">
        <f>IF(54.8964="","-",54.8964/3007987.9188*100)</f>
        <v>0.0018250206278055878</v>
      </c>
      <c r="F110" s="27" t="str">
        <f>IF(OR(2624773.92828="",""="",""=""),"-",(""-"")/2624773.92828*100)</f>
        <v>-</v>
      </c>
      <c r="G110" s="27" t="str">
        <f>IF(OR(2533522.81179="",54.8964="",""=""),"-",(54.8964-"")/2533522.81179*100)</f>
        <v>-</v>
      </c>
    </row>
    <row r="111" spans="1:7" ht="15.75">
      <c r="A111" s="47" t="s">
        <v>243</v>
      </c>
      <c r="B111" s="27">
        <f>IF(52.2511="","-",52.2511)</f>
        <v>52.2511</v>
      </c>
      <c r="C111" s="27">
        <f>IF(OR(35.62585="",52.2511=""),"-",52.2511/35.62585*100)</f>
        <v>146.66625498058292</v>
      </c>
      <c r="D111" s="27">
        <f>IF(35.62585="","-",35.62585/2533522.81179*100)</f>
        <v>0.001406178378746446</v>
      </c>
      <c r="E111" s="27">
        <f>IF(52.2511="","-",52.2511/3007987.9188*100)</f>
        <v>0.0017370781203418176</v>
      </c>
      <c r="F111" s="27">
        <f>IF(OR(2624773.92828="",44.68792="",35.62585=""),"-",(35.62585-44.68792)/2624773.92828*100)</f>
        <v>-0.000345251448224279</v>
      </c>
      <c r="G111" s="27">
        <f>IF(OR(2533522.81179="",52.2511="",35.62585=""),"-",(52.2511-35.62585)/2533522.81179*100)</f>
        <v>0.0006562107877076436</v>
      </c>
    </row>
    <row r="112" spans="1:7" ht="15.75">
      <c r="A112" s="54" t="s">
        <v>27</v>
      </c>
      <c r="B112" s="54"/>
      <c r="C112" s="54"/>
      <c r="D112" s="54"/>
      <c r="E112" s="54"/>
      <c r="F112" s="54"/>
      <c r="G112" s="54"/>
    </row>
  </sheetData>
  <sheetProtection/>
  <mergeCells count="10">
    <mergeCell ref="A112:G112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45.875" style="0" customWidth="1"/>
    <col min="2" max="3" width="13.00390625" style="0" customWidth="1"/>
    <col min="4" max="4" width="15.50390625" style="0" customWidth="1"/>
  </cols>
  <sheetData>
    <row r="1" spans="1:4" ht="15.75">
      <c r="A1" s="68" t="s">
        <v>34</v>
      </c>
      <c r="B1" s="68"/>
      <c r="C1" s="68"/>
      <c r="D1" s="68"/>
    </row>
    <row r="2" ht="10.5" customHeight="1">
      <c r="A2" s="4"/>
    </row>
    <row r="3" spans="1:5" ht="21.75" customHeight="1">
      <c r="A3" s="78"/>
      <c r="B3" s="82" t="s">
        <v>249</v>
      </c>
      <c r="C3" s="73"/>
      <c r="D3" s="74" t="s">
        <v>250</v>
      </c>
      <c r="E3" s="1"/>
    </row>
    <row r="4" spans="1:5" ht="23.25" customHeight="1">
      <c r="A4" s="79"/>
      <c r="B4" s="20">
        <v>2016</v>
      </c>
      <c r="C4" s="19">
        <v>2017</v>
      </c>
      <c r="D4" s="83"/>
      <c r="E4" s="1"/>
    </row>
    <row r="5" spans="1:4" ht="17.25" customHeight="1">
      <c r="A5" s="7" t="s">
        <v>199</v>
      </c>
      <c r="B5" s="34">
        <f>IF(-1294468.08267="","-",-1294468.08267)</f>
        <v>-1294468.08267</v>
      </c>
      <c r="C5" s="34">
        <f>IF(-1580088.56448="","-",-1580088.56448)</f>
        <v>-1580088.56448</v>
      </c>
      <c r="D5" s="48">
        <f>IF(-1294468.08267="","-",-1580088.56448/-1294468.08267*100)</f>
        <v>122.06469866919181</v>
      </c>
    </row>
    <row r="6" spans="1:4" ht="15.75">
      <c r="A6" s="8" t="s">
        <v>32</v>
      </c>
      <c r="B6" s="40"/>
      <c r="C6" s="39"/>
      <c r="D6" s="43"/>
    </row>
    <row r="7" spans="1:4" ht="15.75">
      <c r="A7" s="42" t="s">
        <v>4</v>
      </c>
      <c r="B7" s="26">
        <f>IF(-477816.60971="","-",-477816.60971)</f>
        <v>-477816.60971</v>
      </c>
      <c r="C7" s="26">
        <f>IF(-582823.2102="","-",-582823.2102)</f>
        <v>-582823.2102</v>
      </c>
      <c r="D7" s="49">
        <f>IF(-477816.60971="","-",-582823.2102/-477816.60971*100)</f>
        <v>121.97633953196633</v>
      </c>
    </row>
    <row r="8" spans="1:4" ht="15.75">
      <c r="A8" s="47" t="s">
        <v>7</v>
      </c>
      <c r="B8" s="27">
        <f>IF(-124860.03249="","-",-124860.03249)</f>
        <v>-124860.03249</v>
      </c>
      <c r="C8" s="27">
        <f>IF(-148353.15746="","-",-148353.15746)</f>
        <v>-148353.15746</v>
      </c>
      <c r="D8" s="50">
        <f>IF(OR(-124860.03249="",-148353.15746="",-124860.03249=0),"-",-148353.15746/-124860.03249*100)</f>
        <v>118.8155685222023</v>
      </c>
    </row>
    <row r="9" spans="1:4" ht="15.75">
      <c r="A9" s="47" t="s">
        <v>6</v>
      </c>
      <c r="B9" s="27">
        <f>IF(-60946.84711="","-",-60946.84711)</f>
        <v>-60946.84711</v>
      </c>
      <c r="C9" s="27">
        <f>IF(-84622.05195="","-",-84622.05195)</f>
        <v>-84622.05195</v>
      </c>
      <c r="D9" s="50">
        <f>IF(OR(-60946.84711="",-84622.05195="",-60946.84711=0),"-",-84622.05195/-60946.84711*100)</f>
        <v>138.84565972259364</v>
      </c>
    </row>
    <row r="10" spans="1:4" ht="15.75">
      <c r="A10" s="47" t="s">
        <v>5</v>
      </c>
      <c r="B10" s="27">
        <f>IF(-44613.99129="","-",-44613.99129)</f>
        <v>-44613.99129</v>
      </c>
      <c r="C10" s="27">
        <f>IF(-77134.19337="","-",-77134.19337)</f>
        <v>-77134.19337</v>
      </c>
      <c r="D10" s="50" t="s">
        <v>214</v>
      </c>
    </row>
    <row r="11" spans="1:4" ht="15.75">
      <c r="A11" s="47" t="s">
        <v>125</v>
      </c>
      <c r="B11" s="27">
        <f>IF(-48279.15759="","-",-48279.15759)</f>
        <v>-48279.15759</v>
      </c>
      <c r="C11" s="27">
        <f>IF(-56622.506="","-",-56622.506)</f>
        <v>-56622.506</v>
      </c>
      <c r="D11" s="50">
        <f>IF(OR(-48279.15759="",-56622.506="",-48279.15759=0),"-",-56622.506/-48279.15759*100)</f>
        <v>117.2814705692548</v>
      </c>
    </row>
    <row r="12" spans="1:4" ht="15.75">
      <c r="A12" s="47" t="s">
        <v>200</v>
      </c>
      <c r="B12" s="27">
        <f>IF(-34490.62255="","-",-34490.62255)</f>
        <v>-34490.62255</v>
      </c>
      <c r="C12" s="27">
        <f>IF(-53329.36646="","-",-53329.36646)</f>
        <v>-53329.36646</v>
      </c>
      <c r="D12" s="50">
        <f>IF(OR(-34490.62255="",-53329.36646="",-34490.62255=0),"-",-53329.36646/-34490.62255*100)</f>
        <v>154.6199010548158</v>
      </c>
    </row>
    <row r="13" spans="1:4" ht="15.75">
      <c r="A13" s="47" t="s">
        <v>8</v>
      </c>
      <c r="B13" s="27">
        <f>IF(-38210.54597="","-",-38210.54597)</f>
        <v>-38210.54597</v>
      </c>
      <c r="C13" s="27">
        <f>IF(-52618.08731="","-",-52618.08731)</f>
        <v>-52618.08731</v>
      </c>
      <c r="D13" s="50">
        <f>IF(OR(-38210.54597="",-52618.08731="",-38210.54597=0),"-",-52618.08731/-38210.54597*100)</f>
        <v>137.70566730795133</v>
      </c>
    </row>
    <row r="14" spans="1:4" ht="15.75">
      <c r="A14" s="47" t="s">
        <v>11</v>
      </c>
      <c r="B14" s="27">
        <f>IF(-35123.51945="","-",-35123.51945)</f>
        <v>-35123.51945</v>
      </c>
      <c r="C14" s="27">
        <f>IF(-30416.01183="","-",-30416.01183)</f>
        <v>-30416.01183</v>
      </c>
      <c r="D14" s="50">
        <f>IF(OR(-35123.51945="",-30416.01183="",-35123.51945=0),"-",-30416.01183/-35123.51945*100)</f>
        <v>86.59727813808249</v>
      </c>
    </row>
    <row r="15" spans="1:4" ht="15.75">
      <c r="A15" s="47" t="s">
        <v>123</v>
      </c>
      <c r="B15" s="27">
        <f>IF(-28991.1724="","-",-28991.1724)</f>
        <v>-28991.1724</v>
      </c>
      <c r="C15" s="27">
        <f>IF(-24390.18217="","-",-24390.18217)</f>
        <v>-24390.18217</v>
      </c>
      <c r="D15" s="50">
        <f>IF(OR(-28991.1724="",-24390.18217="",-28991.1724=0),"-",-24390.18217/-28991.1724*100)</f>
        <v>84.12968552454953</v>
      </c>
    </row>
    <row r="16" spans="1:4" ht="15.75">
      <c r="A16" s="47" t="s">
        <v>10</v>
      </c>
      <c r="B16" s="27">
        <f>IF(-15624.00607="","-",-15624.00607)</f>
        <v>-15624.00607</v>
      </c>
      <c r="C16" s="27">
        <f>IF(-22498.539="","-",-22498.539)</f>
        <v>-22498.539</v>
      </c>
      <c r="D16" s="50">
        <f>IF(OR(-15624.00607="",-22498.539="",-15624.00607=0),"-",-22498.539/-15624.00607*100)</f>
        <v>143.99980964677135</v>
      </c>
    </row>
    <row r="17" spans="1:4" ht="15.75">
      <c r="A17" s="47" t="s">
        <v>124</v>
      </c>
      <c r="B17" s="27">
        <f>IF(-14262.27123="","-",-14262.27123)</f>
        <v>-14262.27123</v>
      </c>
      <c r="C17" s="27">
        <f>IF(-15985.94271="","-",-15985.94271)</f>
        <v>-15985.94271</v>
      </c>
      <c r="D17" s="50">
        <f>IF(OR(-14262.27123="",-15985.94271="",-14262.27123=0),"-",-15985.94271/-14262.27123*100)</f>
        <v>112.08553288745722</v>
      </c>
    </row>
    <row r="18" spans="1:4" ht="15.75">
      <c r="A18" s="47" t="s">
        <v>13</v>
      </c>
      <c r="B18" s="27">
        <f>IF(-14693.69401="","-",-14693.69401)</f>
        <v>-14693.69401</v>
      </c>
      <c r="C18" s="27">
        <f>IF(-15668.33292="","-",-15668.33292)</f>
        <v>-15668.33292</v>
      </c>
      <c r="D18" s="50">
        <f>IF(OR(-14693.69401="",-15668.33292="",-14693.69401=0),"-",-15668.33292/-14693.69401*100)</f>
        <v>106.63304210184789</v>
      </c>
    </row>
    <row r="19" spans="1:4" ht="15.75">
      <c r="A19" s="47" t="s">
        <v>133</v>
      </c>
      <c r="B19" s="27">
        <f>IF(-10651.53902="","-",-10651.53902)</f>
        <v>-10651.53902</v>
      </c>
      <c r="C19" s="27">
        <f>IF(-10914.30264="","-",-10914.30264)</f>
        <v>-10914.30264</v>
      </c>
      <c r="D19" s="50">
        <f>IF(OR(-10651.53902="",-10914.30264="",-10651.53902=0),"-",-10914.30264/-10651.53902*100)</f>
        <v>102.46690754741282</v>
      </c>
    </row>
    <row r="20" spans="1:4" ht="15.75">
      <c r="A20" s="47" t="s">
        <v>135</v>
      </c>
      <c r="B20" s="27">
        <f>IF(-8732.64197="","-",-8732.64197)</f>
        <v>-8732.64197</v>
      </c>
      <c r="C20" s="27">
        <f>IF(-9664.21802="","-",-9664.21802)</f>
        <v>-9664.21802</v>
      </c>
      <c r="D20" s="50">
        <f>IF(OR(-8732.64197="",-9664.21802="",-8732.64197=0),"-",-9664.21802/-8732.64197*100)</f>
        <v>110.66774583454037</v>
      </c>
    </row>
    <row r="21" spans="1:4" ht="15.75">
      <c r="A21" s="47" t="s">
        <v>131</v>
      </c>
      <c r="B21" s="27">
        <f>IF(-6362.45613="","-",-6362.45613)</f>
        <v>-6362.45613</v>
      </c>
      <c r="C21" s="27">
        <f>IF(-8689.53458="","-",-8689.53458)</f>
        <v>-8689.53458</v>
      </c>
      <c r="D21" s="50">
        <f>IF(OR(-6362.45613="",-8689.53458="",-6362.45613=0),"-",-8689.53458/-6362.45613*100)</f>
        <v>136.57515906518321</v>
      </c>
    </row>
    <row r="22" spans="1:6" ht="15.75">
      <c r="A22" s="47" t="s">
        <v>127</v>
      </c>
      <c r="B22" s="27">
        <f>IF(-7564.00406="","-",-7564.00406)</f>
        <v>-7564.00406</v>
      </c>
      <c r="C22" s="27">
        <f>IF(-8610.64788="","-",-8610.64788)</f>
        <v>-8610.64788</v>
      </c>
      <c r="D22" s="50">
        <f>IF(OR(-7564.00406="",-8610.64788="",-7564.00406=0),"-",-8610.64788/-7564.00406*100)</f>
        <v>113.83716629046864</v>
      </c>
      <c r="F22" t="s">
        <v>227</v>
      </c>
    </row>
    <row r="23" spans="1:4" ht="15.75">
      <c r="A23" s="47" t="s">
        <v>132</v>
      </c>
      <c r="B23" s="27">
        <f>IF(-6893.30457="","-",-6893.30457)</f>
        <v>-6893.30457</v>
      </c>
      <c r="C23" s="27">
        <f>IF(-8410.02777="","-",-8410.02777)</f>
        <v>-8410.02777</v>
      </c>
      <c r="D23" s="50">
        <f>IF(OR(-6893.30457="",-8410.02777="",-6893.30457=0),"-",-8410.02777/-6893.30457*100)</f>
        <v>122.00284616177927</v>
      </c>
    </row>
    <row r="24" spans="1:4" ht="15.75">
      <c r="A24" s="47" t="s">
        <v>134</v>
      </c>
      <c r="B24" s="27">
        <f>IF(-8141.41087="","-",-8141.41087)</f>
        <v>-8141.41087</v>
      </c>
      <c r="C24" s="27">
        <f>IF(-7959.22685="","-",-7959.22685)</f>
        <v>-7959.22685</v>
      </c>
      <c r="D24" s="50">
        <f>IF(OR(-8141.41087="",-7959.22685="",-8141.41087=0),"-",-7959.22685/-8141.41087*100)</f>
        <v>97.76225493456762</v>
      </c>
    </row>
    <row r="25" spans="1:4" ht="15.75">
      <c r="A25" s="47" t="s">
        <v>136</v>
      </c>
      <c r="B25" s="27">
        <f>IF(-3254.73139="","-",-3254.73139)</f>
        <v>-3254.73139</v>
      </c>
      <c r="C25" s="27">
        <f>IF(-3923.11008="","-",-3923.11008)</f>
        <v>-3923.11008</v>
      </c>
      <c r="D25" s="50">
        <f>IF(OR(-3254.73139="",-3923.11008="",-3254.73139=0),"-",-3923.11008/-3254.73139*100)</f>
        <v>120.53560217145906</v>
      </c>
    </row>
    <row r="26" spans="1:4" ht="15.75">
      <c r="A26" s="47" t="s">
        <v>126</v>
      </c>
      <c r="B26" s="27">
        <f>IF(-3675.3933="","-",-3675.3933)</f>
        <v>-3675.3933</v>
      </c>
      <c r="C26" s="27">
        <f>IF(-2041.34974="","-",-2041.34974)</f>
        <v>-2041.34974</v>
      </c>
      <c r="D26" s="50">
        <f>IF(OR(-3675.3933="",-2041.34974="",-3675.3933=0),"-",-2041.34974/-3675.3933*100)</f>
        <v>55.5409876815088</v>
      </c>
    </row>
    <row r="27" spans="1:4" ht="15.75">
      <c r="A27" s="47" t="s">
        <v>128</v>
      </c>
      <c r="B27" s="27">
        <f>IF(-2147.65298="","-",-2147.65298)</f>
        <v>-2147.65298</v>
      </c>
      <c r="C27" s="27">
        <f>IF(-1842.55604="","-",-1842.55604)</f>
        <v>-1842.55604</v>
      </c>
      <c r="D27" s="50">
        <f>IF(OR(-2147.65298="",-1842.55604="",-2147.65298=0),"-",-1842.55604/-2147.65298*100)</f>
        <v>85.79393678395846</v>
      </c>
    </row>
    <row r="28" spans="1:4" ht="15.75">
      <c r="A28" s="47" t="s">
        <v>137</v>
      </c>
      <c r="B28" s="27">
        <f>IF(-1353.91076="","-",-1353.91076)</f>
        <v>-1353.91076</v>
      </c>
      <c r="C28" s="27">
        <f>IF(-1693.81527="","-",-1693.81527)</f>
        <v>-1693.81527</v>
      </c>
      <c r="D28" s="50">
        <f>IF(OR(-1353.91076="",-1693.81527="",-1353.91076=0),"-",-1693.81527/-1353.91076*100)</f>
        <v>125.10538508461222</v>
      </c>
    </row>
    <row r="29" spans="1:4" ht="15.75">
      <c r="A29" s="47" t="s">
        <v>201</v>
      </c>
      <c r="B29" s="27">
        <f>IF(-882.80323="","-",-882.80323)</f>
        <v>-882.80323</v>
      </c>
      <c r="C29" s="27">
        <f>IF(-1093.04926="","-",-1093.04926)</f>
        <v>-1093.04926</v>
      </c>
      <c r="D29" s="50">
        <f>IF(OR(-882.80323="",-1093.04926="",-882.80323=0),"-",-1093.04926/-882.80323*100)</f>
        <v>123.8157295822309</v>
      </c>
    </row>
    <row r="30" spans="1:4" ht="15.75">
      <c r="A30" s="47" t="s">
        <v>129</v>
      </c>
      <c r="B30" s="27">
        <f>IF(-160.74353="","-",-160.74353)</f>
        <v>-160.74353</v>
      </c>
      <c r="C30" s="27">
        <f>IF(-1057.14199="","-",-1057.14199)</f>
        <v>-1057.14199</v>
      </c>
      <c r="D30" s="50" t="s">
        <v>260</v>
      </c>
    </row>
    <row r="31" spans="1:4" ht="15.75">
      <c r="A31" s="47" t="s">
        <v>138</v>
      </c>
      <c r="B31" s="27">
        <f>IF(-213.28713="","-",-213.28713)</f>
        <v>-213.28713</v>
      </c>
      <c r="C31" s="27">
        <f>IF(-205.31731="","-",-205.31731)</f>
        <v>-205.31731</v>
      </c>
      <c r="D31" s="50">
        <f>IF(OR(-213.28713="",-205.31731="",-213.28713=0),"-",-205.31731/-213.28713*100)</f>
        <v>96.26333759566272</v>
      </c>
    </row>
    <row r="32" spans="1:4" ht="15.75">
      <c r="A32" s="47" t="s">
        <v>12</v>
      </c>
      <c r="B32" s="27">
        <f>IF(938.60348="","-",938.60348)</f>
        <v>938.60348</v>
      </c>
      <c r="C32" s="27">
        <f>IF(4806.35577="","-",4806.35577)</f>
        <v>4806.35577</v>
      </c>
      <c r="D32" s="50" t="s">
        <v>244</v>
      </c>
    </row>
    <row r="33" spans="1:4" ht="15.75">
      <c r="A33" s="47" t="s">
        <v>130</v>
      </c>
      <c r="B33" s="27">
        <f>IF(2112.97676="","-",2112.97676)</f>
        <v>2112.97676</v>
      </c>
      <c r="C33" s="27">
        <f>IF(5081.15269="","-",5081.15269)</f>
        <v>5081.15269</v>
      </c>
      <c r="D33" s="50" t="s">
        <v>122</v>
      </c>
    </row>
    <row r="34" spans="1:4" ht="15.75">
      <c r="A34" s="47" t="s">
        <v>9</v>
      </c>
      <c r="B34" s="27">
        <f>IF(2694.49648="","-",2694.49648)</f>
        <v>2694.49648</v>
      </c>
      <c r="C34" s="27">
        <f>IF(6239.53282="","-",6239.53282)</f>
        <v>6239.53282</v>
      </c>
      <c r="D34" s="50" t="s">
        <v>254</v>
      </c>
    </row>
    <row r="35" spans="1:4" ht="15.75">
      <c r="A35" s="47" t="s">
        <v>209</v>
      </c>
      <c r="B35" s="27">
        <f>IF(36567.05267="","-",36567.05267)</f>
        <v>36567.05267</v>
      </c>
      <c r="C35" s="27">
        <f>IF(48792.41713="","-",48792.41713)</f>
        <v>48792.41713</v>
      </c>
      <c r="D35" s="50">
        <f>IF(OR(36567.05267="",48792.41713="",36567.05267=0),"-",48792.41713/36567.05267*100)</f>
        <v>133.4327312904543</v>
      </c>
    </row>
    <row r="36" spans="1:4" ht="15.75">
      <c r="A36" s="42" t="s">
        <v>14</v>
      </c>
      <c r="B36" s="26">
        <f>IF(-368272.70667="","-",-368272.70667)</f>
        <v>-368272.70667</v>
      </c>
      <c r="C36" s="26">
        <f>IF(-444630.81222="","-",-444630.81222)</f>
        <v>-444630.81222</v>
      </c>
      <c r="D36" s="49">
        <f>IF(-368272.70667="","-",-444630.81222/-368272.70667*100)</f>
        <v>120.7341201688407</v>
      </c>
    </row>
    <row r="37" spans="1:4" ht="15.75">
      <c r="A37" s="47" t="s">
        <v>16</v>
      </c>
      <c r="B37" s="27">
        <f>IF(-208917.77016="","-",-208917.77016)</f>
        <v>-208917.77016</v>
      </c>
      <c r="C37" s="27">
        <f>IF(-278278.06066="","-",-278278.06066)</f>
        <v>-278278.06066</v>
      </c>
      <c r="D37" s="50">
        <f>IF(OR(-208917.77016="",-278278.06066="",-208917.77016=0),"-",-278278.06066/-208917.77016*100)</f>
        <v>133.19980413675694</v>
      </c>
    </row>
    <row r="38" spans="1:4" ht="15.75">
      <c r="A38" s="47" t="s">
        <v>210</v>
      </c>
      <c r="B38" s="27">
        <f>IF(-178425.61643="","-",-178425.61643)</f>
        <v>-178425.61643</v>
      </c>
      <c r="C38" s="27">
        <f>IF(-181007.69742="","-",-181007.69742)</f>
        <v>-181007.69742</v>
      </c>
      <c r="D38" s="50">
        <f>IF(OR(-178425.61643="",-181007.69742="",-178425.61643=0),"-",-181007.69742/-178425.61643*100)</f>
        <v>101.44714701939282</v>
      </c>
    </row>
    <row r="39" spans="1:4" ht="15.75">
      <c r="A39" s="47" t="s">
        <v>15</v>
      </c>
      <c r="B39" s="27">
        <f>IF(7532.91743="","-",7532.91743)</f>
        <v>7532.91743</v>
      </c>
      <c r="C39" s="27">
        <f>IF(90.56458="","-",90.56458)</f>
        <v>90.56458</v>
      </c>
      <c r="D39" s="50">
        <f>IF(OR(7532.91743="",90.56458="",7532.91743=0),"-",90.56458/7532.91743*100)</f>
        <v>1.2022510646316749</v>
      </c>
    </row>
    <row r="40" spans="1:4" ht="15.75">
      <c r="A40" s="47" t="s">
        <v>22</v>
      </c>
      <c r="B40" s="27">
        <f>IF(288.98727="","-",288.98727)</f>
        <v>288.98727</v>
      </c>
      <c r="C40" s="27">
        <f>IF(255.47928="","-",255.47928)</f>
        <v>255.47928</v>
      </c>
      <c r="D40" s="50">
        <f>IF(OR(288.98727="",255.47928="",288.98727=0),"-",255.47928/288.98727*100)</f>
        <v>88.40502905197172</v>
      </c>
    </row>
    <row r="41" spans="1:4" ht="15.75">
      <c r="A41" s="47" t="s">
        <v>23</v>
      </c>
      <c r="B41" s="27">
        <f>IF(273.50022="","-",273.50022)</f>
        <v>273.50022</v>
      </c>
      <c r="C41" s="27">
        <f>IF(294.17517="","-",294.17517)</f>
        <v>294.17517</v>
      </c>
      <c r="D41" s="50">
        <f>IF(OR(273.50022="",294.17517="",273.50022=0),"-",294.17517/273.50022*100)</f>
        <v>107.55939062864373</v>
      </c>
    </row>
    <row r="42" spans="1:4" ht="15.75">
      <c r="A42" s="47" t="s">
        <v>21</v>
      </c>
      <c r="B42" s="27">
        <f>IF(851.71873="","-",851.71873)</f>
        <v>851.71873</v>
      </c>
      <c r="C42" s="27">
        <f>IF(462.90708="","-",462.90708)</f>
        <v>462.90708</v>
      </c>
      <c r="D42" s="50">
        <f>IF(OR(851.71873="",462.90708="",851.71873=0),"-",462.90708/851.71873*100)</f>
        <v>54.34975933897802</v>
      </c>
    </row>
    <row r="43" spans="1:4" ht="15.75">
      <c r="A43" s="47" t="s">
        <v>20</v>
      </c>
      <c r="B43" s="27">
        <f>IF(1015.54763="","-",1015.54763)</f>
        <v>1015.54763</v>
      </c>
      <c r="C43" s="27">
        <f>IF(544.8609="","-",544.8609)</f>
        <v>544.8609</v>
      </c>
      <c r="D43" s="50">
        <f>IF(OR(1015.54763="",544.8609="",1015.54763=0),"-",544.8609/1015.54763*100)</f>
        <v>53.65192964903084</v>
      </c>
    </row>
    <row r="44" spans="1:4" ht="15.75">
      <c r="A44" s="47" t="s">
        <v>19</v>
      </c>
      <c r="B44" s="27">
        <f>IF(1225.73608="","-",1225.73608)</f>
        <v>1225.73608</v>
      </c>
      <c r="C44" s="27">
        <f>IF(1166.873="","-",1166.873)</f>
        <v>1166.873</v>
      </c>
      <c r="D44" s="50">
        <f>IF(OR(1225.73608="",1166.873="",1225.73608=0),"-",1166.873/1225.73608*100)</f>
        <v>95.19773620435487</v>
      </c>
    </row>
    <row r="45" spans="1:4" ht="15.75">
      <c r="A45" s="47" t="s">
        <v>18</v>
      </c>
      <c r="B45" s="27">
        <f>IF(1830.41409="","-",1830.41409)</f>
        <v>1830.41409</v>
      </c>
      <c r="C45" s="27">
        <f>IF(3069.66496="","-",3069.66496)</f>
        <v>3069.66496</v>
      </c>
      <c r="D45" s="50" t="s">
        <v>214</v>
      </c>
    </row>
    <row r="46" spans="1:4" ht="15.75">
      <c r="A46" s="47" t="s">
        <v>17</v>
      </c>
      <c r="B46" s="27">
        <f>IF(6051.85847="","-",6051.85847)</f>
        <v>6051.85847</v>
      </c>
      <c r="C46" s="27">
        <f>IF(8770.42089="","-",8770.42089)</f>
        <v>8770.42089</v>
      </c>
      <c r="D46" s="50">
        <f>IF(OR(6051.85847="",8770.42089="",6051.85847=0),"-",8770.42089/6051.85847*100)</f>
        <v>144.9211169341837</v>
      </c>
    </row>
    <row r="47" spans="1:4" ht="15.75">
      <c r="A47" s="9" t="s">
        <v>24</v>
      </c>
      <c r="B47" s="26">
        <f>IF(-448378.76629="","-",-448378.76629)</f>
        <v>-448378.76629</v>
      </c>
      <c r="C47" s="26">
        <f>IF(-552634.54206="","-",-552634.54206)</f>
        <v>-552634.54206</v>
      </c>
      <c r="D47" s="49">
        <f>IF(-448378.76629="","-",-552634.54206/-448378.76629*100)</f>
        <v>123.25172010990593</v>
      </c>
    </row>
    <row r="48" spans="1:4" ht="15.75">
      <c r="A48" s="47" t="s">
        <v>142</v>
      </c>
      <c r="B48" s="27">
        <f>IF(-231393.96518="","-",-231393.96518)</f>
        <v>-231393.96518</v>
      </c>
      <c r="C48" s="27">
        <f>IF(-296441.08612="","-",-296441.08612)</f>
        <v>-296441.08612</v>
      </c>
      <c r="D48" s="50">
        <f>IF(OR(-231393.96518="",-296441.08612="",-231393.96518=0),"-",-296441.08612/-231393.96518*100)</f>
        <v>128.11098417774215</v>
      </c>
    </row>
    <row r="49" spans="1:4" ht="15.75">
      <c r="A49" s="47" t="s">
        <v>139</v>
      </c>
      <c r="B49" s="27">
        <f>IF(-134181.80976="","-",-134181.80976)</f>
        <v>-134181.80976</v>
      </c>
      <c r="C49" s="27">
        <f>IF(-135052.29837="","-",-135052.29837)</f>
        <v>-135052.29837</v>
      </c>
      <c r="D49" s="50">
        <f>IF(OR(-134181.80976="",-135052.29837="",-134181.80976=0),"-",-135052.29837/-134181.80976*100)</f>
        <v>100.64873816470129</v>
      </c>
    </row>
    <row r="50" spans="1:4" ht="15.75">
      <c r="A50" s="47" t="s">
        <v>25</v>
      </c>
      <c r="B50" s="27">
        <f>IF(-25692.52132="","-",-25692.52132)</f>
        <v>-25692.52132</v>
      </c>
      <c r="C50" s="27">
        <f>IF(-38418.41778="","-",-38418.41778)</f>
        <v>-38418.41778</v>
      </c>
      <c r="D50" s="50">
        <f>IF(OR(-25692.52132="",-38418.41778="",-25692.52132=0),"-",-38418.41778/-25692.52132*100)</f>
        <v>149.53152048216342</v>
      </c>
    </row>
    <row r="51" spans="1:4" ht="15.75">
      <c r="A51" s="47" t="s">
        <v>161</v>
      </c>
      <c r="B51" s="27">
        <f>IF(-16856.97113="","-",-16856.97113)</f>
        <v>-16856.97113</v>
      </c>
      <c r="C51" s="27">
        <f>IF(-20100.39024="","-",-20100.39024)</f>
        <v>-20100.39024</v>
      </c>
      <c r="D51" s="50">
        <f>IF(OR(-16856.97113="",-20100.39024="",-16856.97113=0),"-",-20100.39024/-16856.97113*100)</f>
        <v>119.24081784910786</v>
      </c>
    </row>
    <row r="52" spans="1:4" ht="15.75">
      <c r="A52" s="47" t="s">
        <v>157</v>
      </c>
      <c r="B52" s="27">
        <f>IF(-11671.27544="","-",-11671.27544)</f>
        <v>-11671.27544</v>
      </c>
      <c r="C52" s="27">
        <f>IF(-19591.3564699999="","-",-19591.3564699999)</f>
        <v>-19591.3564699999</v>
      </c>
      <c r="D52" s="50" t="s">
        <v>214</v>
      </c>
    </row>
    <row r="53" spans="1:4" ht="15.75">
      <c r="A53" s="47" t="s">
        <v>154</v>
      </c>
      <c r="B53" s="27">
        <f>IF(-13695.33001="","-",-13695.33001)</f>
        <v>-13695.33001</v>
      </c>
      <c r="C53" s="27">
        <f>IF(-17523.8176="","-",-17523.8176)</f>
        <v>-17523.8176</v>
      </c>
      <c r="D53" s="50">
        <f>IF(OR(-13695.33001="",-17523.8176="",-13695.33001=0),"-",-17523.8176/-13695.33001*100)</f>
        <v>127.95469395191301</v>
      </c>
    </row>
    <row r="54" spans="1:4" ht="15.75">
      <c r="A54" s="47" t="s">
        <v>114</v>
      </c>
      <c r="B54" s="27">
        <f>IF(-14166.84911="","-",-14166.84911)</f>
        <v>-14166.84911</v>
      </c>
      <c r="C54" s="27">
        <f>IF(-16496.05032="","-",-16496.05032)</f>
        <v>-16496.05032</v>
      </c>
      <c r="D54" s="50">
        <f>IF(OR(-14166.84911="",-16496.05032="",-14166.84911=0),"-",-16496.05032/-14166.84911*100)</f>
        <v>116.4412085701956</v>
      </c>
    </row>
    <row r="55" spans="1:4" ht="15.75">
      <c r="A55" s="47" t="s">
        <v>155</v>
      </c>
      <c r="B55" s="27">
        <f>IF(-8157.9162="","-",-8157.9162)</f>
        <v>-8157.9162</v>
      </c>
      <c r="C55" s="27">
        <f>IF(-11076.7163="","-",-11076.7163)</f>
        <v>-11076.7163</v>
      </c>
      <c r="D55" s="50">
        <f>IF(OR(-8157.9162="",-11076.7163="",-8157.9162=0),"-",-11076.7163/-8157.9162*100)</f>
        <v>135.7787458027578</v>
      </c>
    </row>
    <row r="56" spans="1:4" ht="15.75">
      <c r="A56" s="47" t="s">
        <v>166</v>
      </c>
      <c r="B56" s="27">
        <f>IF(-6394.9384="","-",-6394.9384)</f>
        <v>-6394.9384</v>
      </c>
      <c r="C56" s="27">
        <f>IF(-8108.88464="","-",-8108.88464)</f>
        <v>-8108.88464</v>
      </c>
      <c r="D56" s="50">
        <f>IF(OR(-6394.9384="",-8108.88464="",-6394.9384=0),"-",-8108.88464/-6394.9384*100)</f>
        <v>126.80160672071526</v>
      </c>
    </row>
    <row r="57" spans="1:4" ht="15.75">
      <c r="A57" s="47" t="s">
        <v>156</v>
      </c>
      <c r="B57" s="27">
        <f>IF(-2774.77486="","-",-2774.77486)</f>
        <v>-2774.77486</v>
      </c>
      <c r="C57" s="27">
        <f>IF(-6011.50994="","-",-6011.50994)</f>
        <v>-6011.50994</v>
      </c>
      <c r="D57" s="50" t="s">
        <v>193</v>
      </c>
    </row>
    <row r="58" spans="1:4" ht="15.75">
      <c r="A58" s="47" t="s">
        <v>151</v>
      </c>
      <c r="B58" s="27">
        <f>IF(-9771.05335="","-",-9771.05335)</f>
        <v>-9771.05335</v>
      </c>
      <c r="C58" s="27">
        <f>IF(-5506.91739="","-",-5506.91739)</f>
        <v>-5506.91739</v>
      </c>
      <c r="D58" s="50">
        <f>IF(OR(-9771.05335="",-5506.91739="",-9771.05335=0),"-",-5506.91739/-9771.05335*100)</f>
        <v>56.359505907313455</v>
      </c>
    </row>
    <row r="59" spans="1:4" ht="15.75">
      <c r="A59" s="47" t="s">
        <v>147</v>
      </c>
      <c r="B59" s="27">
        <f>IF(73.72429="","-",73.72429)</f>
        <v>73.72429</v>
      </c>
      <c r="C59" s="27">
        <f>IF(-4861.06907="","-",-4861.06907)</f>
        <v>-4861.06907</v>
      </c>
      <c r="D59" s="50" t="s">
        <v>33</v>
      </c>
    </row>
    <row r="60" spans="1:4" ht="15.75">
      <c r="A60" s="47" t="s">
        <v>163</v>
      </c>
      <c r="B60" s="27">
        <f>IF(-3231.64294="","-",-3231.64294)</f>
        <v>-3231.64294</v>
      </c>
      <c r="C60" s="27">
        <f>IF(-4641.59226="","-",-4641.59226)</f>
        <v>-4641.59226</v>
      </c>
      <c r="D60" s="50">
        <f>IF(OR(-3231.64294="",-4641.59226="",-3231.64294=0),"-",-4641.59226/-3231.64294*100)</f>
        <v>143.62948958711385</v>
      </c>
    </row>
    <row r="61" spans="1:7" ht="15.75">
      <c r="A61" s="47" t="s">
        <v>167</v>
      </c>
      <c r="B61" s="27">
        <f>IF(-3027.91501="","-",-3027.91501)</f>
        <v>-3027.91501</v>
      </c>
      <c r="C61" s="27">
        <f>IF(-4012.16399="","-",-4012.16399)</f>
        <v>-4012.16399</v>
      </c>
      <c r="D61" s="50">
        <f>IF(OR(-3027.91501="",-4012.16399="",-3027.91501=0),"-",-4012.16399/-3027.91501*100)</f>
        <v>132.5058324539961</v>
      </c>
      <c r="E61" s="1"/>
      <c r="F61" s="1"/>
      <c r="G61" s="1"/>
    </row>
    <row r="62" spans="1:4" ht="15.75">
      <c r="A62" s="47" t="s">
        <v>145</v>
      </c>
      <c r="B62" s="27">
        <f>IF(-4128.16495="","-",-4128.16495)</f>
        <v>-4128.16495</v>
      </c>
      <c r="C62" s="27">
        <f>IF(-3905.67119="","-",-3905.67119)</f>
        <v>-3905.67119</v>
      </c>
      <c r="D62" s="50">
        <f>IF(OR(-4128.16495="",-3905.67119="",-4128.16495=0),"-",-3905.67119/-4128.16495*100)</f>
        <v>94.61034714710225</v>
      </c>
    </row>
    <row r="63" spans="1:4" ht="15.75">
      <c r="A63" s="47" t="s">
        <v>169</v>
      </c>
      <c r="B63" s="27">
        <f>IF(-3003.30334="","-",-3003.30334)</f>
        <v>-3003.30334</v>
      </c>
      <c r="C63" s="27">
        <f>IF(-3877.40436="","-",-3877.40436)</f>
        <v>-3877.40436</v>
      </c>
      <c r="D63" s="50">
        <f>IF(OR(-3003.30334="",-3877.40436="",-3003.30334=0),"-",-3877.40436/-3003.30334*100)</f>
        <v>129.10465314502665</v>
      </c>
    </row>
    <row r="64" spans="1:4" ht="15.75">
      <c r="A64" s="47" t="s">
        <v>168</v>
      </c>
      <c r="B64" s="27">
        <f>IF(-4117.3746="","-",-4117.3746)</f>
        <v>-4117.3746</v>
      </c>
      <c r="C64" s="27">
        <f>IF(-3525.86582="","-",-3525.86582)</f>
        <v>-3525.86582</v>
      </c>
      <c r="D64" s="50">
        <f>IF(OR(-4117.3746="",-3525.86582="",-4117.3746=0),"-",-3525.86582/-4117.3746*100)</f>
        <v>85.63383618289188</v>
      </c>
    </row>
    <row r="65" spans="1:4" ht="15.75">
      <c r="A65" s="47" t="s">
        <v>170</v>
      </c>
      <c r="B65" s="27">
        <f>IF(-2674.45293="","-",-2674.45293)</f>
        <v>-2674.45293</v>
      </c>
      <c r="C65" s="27">
        <f>IF(-3323.58683="","-",-3323.58683)</f>
        <v>-3323.58683</v>
      </c>
      <c r="D65" s="50">
        <f>IF(OR(-2674.45293="",-3323.58683="",-2674.45293=0),"-",-3323.58683/-2674.45293*100)</f>
        <v>124.27165169812879</v>
      </c>
    </row>
    <row r="66" spans="1:4" ht="15.75">
      <c r="A66" s="47" t="s">
        <v>149</v>
      </c>
      <c r="B66" s="27">
        <f>IF(-1461.24708="","-",-1461.24708)</f>
        <v>-1461.24708</v>
      </c>
      <c r="C66" s="27">
        <f>IF(-3206.33238="","-",-3206.33238)</f>
        <v>-3206.33238</v>
      </c>
      <c r="D66" s="50" t="s">
        <v>193</v>
      </c>
    </row>
    <row r="67" spans="1:4" ht="15.75">
      <c r="A67" s="47" t="s">
        <v>171</v>
      </c>
      <c r="B67" s="27">
        <f>IF(-2368.47953="","-",-2368.47953)</f>
        <v>-2368.47953</v>
      </c>
      <c r="C67" s="27">
        <f>IF(-2494.17413="","-",-2494.17413)</f>
        <v>-2494.17413</v>
      </c>
      <c r="D67" s="50">
        <f>IF(OR(-2368.47953="",-2494.17413="",-2368.47953=0),"-",-2494.17413/-2368.47953*100)</f>
        <v>105.30697430177915</v>
      </c>
    </row>
    <row r="68" spans="1:7" ht="15.75">
      <c r="A68" s="47" t="s">
        <v>174</v>
      </c>
      <c r="B68" s="27">
        <f>IF(-708.4399="","-",-708.4399)</f>
        <v>-708.4399</v>
      </c>
      <c r="C68" s="27">
        <f>IF(-2430.66609="","-",-2430.66609)</f>
        <v>-2430.66609</v>
      </c>
      <c r="D68" s="50" t="s">
        <v>232</v>
      </c>
      <c r="E68" s="1"/>
      <c r="F68" s="1"/>
      <c r="G68" s="1"/>
    </row>
    <row r="69" spans="1:4" ht="15.75">
      <c r="A69" s="47" t="s">
        <v>206</v>
      </c>
      <c r="B69" s="27">
        <f>IF(2138.64736="","-",2138.64736)</f>
        <v>2138.64736</v>
      </c>
      <c r="C69" s="27">
        <f>IF(-2315.13223="","-",-2315.13223)</f>
        <v>-2315.13223</v>
      </c>
      <c r="D69" s="50" t="s">
        <v>33</v>
      </c>
    </row>
    <row r="70" spans="1:4" ht="15.75">
      <c r="A70" s="47" t="s">
        <v>172</v>
      </c>
      <c r="B70" s="27">
        <f>IF(-1969.24084="","-",-1969.24084)</f>
        <v>-1969.24084</v>
      </c>
      <c r="C70" s="27">
        <f>IF(-1819.82156="","-",-1819.82156)</f>
        <v>-1819.82156</v>
      </c>
      <c r="D70" s="50">
        <f>IF(OR(-1969.24084="",-1819.82156="",-1969.24084=0),"-",-1819.82156/-1969.24084*100)</f>
        <v>92.41234099126241</v>
      </c>
    </row>
    <row r="71" spans="1:4" ht="15.75">
      <c r="A71" s="47" t="s">
        <v>159</v>
      </c>
      <c r="B71" s="27">
        <f>IF(-732.8845="","-",-732.8845)</f>
        <v>-732.8845</v>
      </c>
      <c r="C71" s="27">
        <f>IF(-1631.09603="","-",-1631.09603)</f>
        <v>-1631.09603</v>
      </c>
      <c r="D71" s="50" t="s">
        <v>193</v>
      </c>
    </row>
    <row r="72" spans="1:4" ht="15.75">
      <c r="A72" s="47" t="s">
        <v>121</v>
      </c>
      <c r="B72" s="27">
        <f>IF(-2054.1133="","-",-2054.1133)</f>
        <v>-2054.1133</v>
      </c>
      <c r="C72" s="27">
        <f>IF(-1599.14595="","-",-1599.14595)</f>
        <v>-1599.14595</v>
      </c>
      <c r="D72" s="50">
        <f>IF(OR(-2054.1133="",-1599.14595="",-2054.1133=0),"-",-1599.14595/-2054.1133*100)</f>
        <v>77.85091260545366</v>
      </c>
    </row>
    <row r="73" spans="1:4" ht="15.75">
      <c r="A73" s="47" t="s">
        <v>180</v>
      </c>
      <c r="B73" s="27">
        <f>IF(-579.90475="","-",-579.90475)</f>
        <v>-579.90475</v>
      </c>
      <c r="C73" s="27">
        <f>IF(-1247.72247="","-",-1247.72247)</f>
        <v>-1247.72247</v>
      </c>
      <c r="D73" s="50" t="s">
        <v>193</v>
      </c>
    </row>
    <row r="74" spans="1:4" ht="15.75">
      <c r="A74" s="47" t="s">
        <v>158</v>
      </c>
      <c r="B74" s="27">
        <f>IF(-104.19529="","-",-104.19529)</f>
        <v>-104.19529</v>
      </c>
      <c r="C74" s="27">
        <f>IF(-1172.00735="","-",-1172.00735)</f>
        <v>-1172.00735</v>
      </c>
      <c r="D74" s="50" t="s">
        <v>261</v>
      </c>
    </row>
    <row r="75" spans="1:4" ht="15.75">
      <c r="A75" s="47" t="s">
        <v>175</v>
      </c>
      <c r="B75" s="27">
        <f>IF(-1008.74231="","-",-1008.74231)</f>
        <v>-1008.74231</v>
      </c>
      <c r="C75" s="27">
        <f>IF(-1145.97189="","-",-1145.97189)</f>
        <v>-1145.97189</v>
      </c>
      <c r="D75" s="50">
        <f>IF(OR(-1008.74231="",-1145.97189="",-1008.74231=0),"-",-1145.97189/-1008.74231*100)</f>
        <v>113.60402737543546</v>
      </c>
    </row>
    <row r="76" spans="1:7" ht="15.75">
      <c r="A76" s="47" t="s">
        <v>173</v>
      </c>
      <c r="B76" s="27">
        <f>IF(-746.84517="","-",-746.84517)</f>
        <v>-746.84517</v>
      </c>
      <c r="C76" s="27">
        <f>IF(-900.11822="","-",-900.11822)</f>
        <v>-900.11822</v>
      </c>
      <c r="D76" s="50">
        <f>IF(OR(-746.84517="",-900.11822="",-746.84517=0),"-",-900.11822/-746.84517*100)</f>
        <v>120.52273431720792</v>
      </c>
      <c r="E76" s="24"/>
      <c r="F76" s="24"/>
      <c r="G76" s="24"/>
    </row>
    <row r="77" spans="1:4" ht="15.75">
      <c r="A77" s="47" t="s">
        <v>153</v>
      </c>
      <c r="B77" s="27">
        <f>IF(-311.91511="","-",-311.91511)</f>
        <v>-311.91511</v>
      </c>
      <c r="C77" s="27">
        <f>IF(-739.45284="","-",-739.45284)</f>
        <v>-739.45284</v>
      </c>
      <c r="D77" s="50" t="s">
        <v>122</v>
      </c>
    </row>
    <row r="78" spans="1:4" ht="15.75">
      <c r="A78" s="47" t="s">
        <v>181</v>
      </c>
      <c r="B78" s="27">
        <f>IF(-494.72301="","-",-494.72301)</f>
        <v>-494.72301</v>
      </c>
      <c r="C78" s="27">
        <f>IF(-722.46861="","-",-722.46861)</f>
        <v>-722.46861</v>
      </c>
      <c r="D78" s="50">
        <f>IF(OR(-494.72301="",-722.46861="",-494.72301=0),"-",-722.46861/-494.72301*100)</f>
        <v>146.0349721756423</v>
      </c>
    </row>
    <row r="79" spans="1:4" ht="15.75">
      <c r="A79" s="47" t="s">
        <v>176</v>
      </c>
      <c r="B79" s="27">
        <f>IF(-792.43231="","-",-792.43231)</f>
        <v>-792.43231</v>
      </c>
      <c r="C79" s="27">
        <f>IF(-687.99367="","-",-687.99367)</f>
        <v>-687.99367</v>
      </c>
      <c r="D79" s="50">
        <f>IF(OR(-792.43231="",-687.99367="",-792.43231=0),"-",-687.99367/-792.43231*100)</f>
        <v>86.82049700876027</v>
      </c>
    </row>
    <row r="80" spans="1:4" ht="15.75">
      <c r="A80" s="47" t="s">
        <v>177</v>
      </c>
      <c r="B80" s="27">
        <f>IF(-770.47359="","-",-770.47359)</f>
        <v>-770.47359</v>
      </c>
      <c r="C80" s="27">
        <f>IF(-579.63207="","-",-579.63207)</f>
        <v>-579.63207</v>
      </c>
      <c r="D80" s="50">
        <f>IF(OR(-770.47359="",-579.63207="",-770.47359=0),"-",-579.63207/-770.47359*100)</f>
        <v>75.23062146750547</v>
      </c>
    </row>
    <row r="81" spans="1:4" ht="15.75">
      <c r="A81" s="47" t="s">
        <v>150</v>
      </c>
      <c r="B81" s="27">
        <f>IF(233.86485="","-",233.86485)</f>
        <v>233.86485</v>
      </c>
      <c r="C81" s="27">
        <f>IF(-577.87843="","-",-577.87843)</f>
        <v>-577.87843</v>
      </c>
      <c r="D81" s="50" t="s">
        <v>33</v>
      </c>
    </row>
    <row r="82" spans="1:4" ht="15.75">
      <c r="A82" s="47" t="s">
        <v>178</v>
      </c>
      <c r="B82" s="27">
        <f>IF(-611.50179="","-",-611.50179)</f>
        <v>-611.50179</v>
      </c>
      <c r="C82" s="27">
        <f>IF(-465.67483="","-",-465.67483)</f>
        <v>-465.67483</v>
      </c>
      <c r="D82" s="50">
        <f>IF(OR(-611.50179="",-465.67483="",-611.50179=0),"-",-465.67483/-611.50179*100)</f>
        <v>76.15265198160745</v>
      </c>
    </row>
    <row r="83" spans="1:4" ht="15.75">
      <c r="A83" s="47" t="s">
        <v>165</v>
      </c>
      <c r="B83" s="27">
        <f>IF(-180.02513="","-",-180.02513)</f>
        <v>-180.02513</v>
      </c>
      <c r="C83" s="27">
        <f>IF(-465.53473="","-",-465.53473)</f>
        <v>-465.53473</v>
      </c>
      <c r="D83" s="50" t="s">
        <v>198</v>
      </c>
    </row>
    <row r="84" spans="1:4" ht="15.75">
      <c r="A84" s="47" t="s">
        <v>183</v>
      </c>
      <c r="B84" s="27">
        <f>IF(-349.21591="","-",-349.21591)</f>
        <v>-349.21591</v>
      </c>
      <c r="C84" s="27">
        <f>IF(-451.84782="","-",-451.84782)</f>
        <v>-451.84782</v>
      </c>
      <c r="D84" s="50">
        <f>IF(OR(-349.21591="",-451.84782="",-349.21591=0),"-",-451.84782/-349.21591*100)</f>
        <v>129.38924231716703</v>
      </c>
    </row>
    <row r="85" spans="1:4" ht="15.75">
      <c r="A85" s="47" t="s">
        <v>191</v>
      </c>
      <c r="B85" s="27">
        <f>IF(-306.39413="","-",-306.39413)</f>
        <v>-306.39413</v>
      </c>
      <c r="C85" s="27">
        <f>IF(-439.61138="","-",-439.61138)</f>
        <v>-439.61138</v>
      </c>
      <c r="D85" s="50">
        <f>IF(OR(-306.39413="",-439.61138="",-306.39413=0),"-",-439.61138/-306.39413*100)</f>
        <v>143.47904772196515</v>
      </c>
    </row>
    <row r="86" spans="1:4" ht="15.75">
      <c r="A86" s="47" t="s">
        <v>179</v>
      </c>
      <c r="B86" s="27">
        <f>IF(-555.94834="","-",-555.94834)</f>
        <v>-555.94834</v>
      </c>
      <c r="C86" s="27">
        <f>IF(-362.81582="","-",-362.81582)</f>
        <v>-362.81582</v>
      </c>
      <c r="D86" s="50">
        <f>IF(OR(-555.94834="",-362.81582="",-555.94834=0),"-",-362.81582/-555.94834*100)</f>
        <v>65.26070749667136</v>
      </c>
    </row>
    <row r="87" spans="1:4" ht="15.75">
      <c r="A87" s="47" t="s">
        <v>182</v>
      </c>
      <c r="B87" s="27">
        <f>IF(-184.76272="","-",-184.76272)</f>
        <v>-184.76272</v>
      </c>
      <c r="C87" s="27">
        <f>IF(-329.2779="","-",-329.2779)</f>
        <v>-329.2779</v>
      </c>
      <c r="D87" s="50" t="s">
        <v>213</v>
      </c>
    </row>
    <row r="88" spans="1:4" ht="15.75">
      <c r="A88" s="47" t="s">
        <v>144</v>
      </c>
      <c r="B88" s="27">
        <f>IF(2678.75816="","-",2678.75816)</f>
        <v>2678.75816</v>
      </c>
      <c r="C88" s="27">
        <f>IF(-269.66361="","-",-269.66361)</f>
        <v>-269.66361</v>
      </c>
      <c r="D88" s="50" t="s">
        <v>33</v>
      </c>
    </row>
    <row r="89" spans="1:4" ht="15.75">
      <c r="A89" s="47" t="s">
        <v>211</v>
      </c>
      <c r="B89" s="27">
        <f>IF(154.15667="","-",154.15667)</f>
        <v>154.15667</v>
      </c>
      <c r="C89" s="27">
        <f>IF(-224.47983="","-",-224.47983)</f>
        <v>-224.47983</v>
      </c>
      <c r="D89" s="50" t="s">
        <v>33</v>
      </c>
    </row>
    <row r="90" spans="1:4" ht="15.75">
      <c r="A90" s="47" t="s">
        <v>190</v>
      </c>
      <c r="B90" s="27">
        <f>IF(-121.76609="","-",-121.76609)</f>
        <v>-121.76609</v>
      </c>
      <c r="C90" s="27">
        <f>IF(-216.38946="","-",-216.38946)</f>
        <v>-216.38946</v>
      </c>
      <c r="D90" s="50" t="s">
        <v>213</v>
      </c>
    </row>
    <row r="91" spans="1:4" ht="15.75">
      <c r="A91" s="47" t="s">
        <v>192</v>
      </c>
      <c r="B91" s="27">
        <f>IF(-37.02="","-",-37.02)</f>
        <v>-37.02</v>
      </c>
      <c r="C91" s="27">
        <f>IF(-156.66925="","-",-156.66925)</f>
        <v>-156.66925</v>
      </c>
      <c r="D91" s="50" t="s">
        <v>262</v>
      </c>
    </row>
    <row r="92" spans="1:4" ht="15.75">
      <c r="A92" s="47" t="s">
        <v>230</v>
      </c>
      <c r="B92" s="27">
        <f>IF(-154.68446="","-",-154.68446)</f>
        <v>-154.68446</v>
      </c>
      <c r="C92" s="27">
        <f>IF(-115.49561="","-",-115.49561)</f>
        <v>-115.49561</v>
      </c>
      <c r="D92" s="50">
        <f>IF(OR(-154.68446="",-115.49561="",-154.68446=0),"-",-115.49561/-154.68446*100)</f>
        <v>74.66529604848476</v>
      </c>
    </row>
    <row r="93" spans="1:4" ht="15.75">
      <c r="A93" s="47" t="s">
        <v>224</v>
      </c>
      <c r="B93" s="27">
        <f>IF(-37.57779="","-",-37.57779)</f>
        <v>-37.57779</v>
      </c>
      <c r="C93" s="27">
        <f>IF(-76.51369="","-",-76.51369)</f>
        <v>-76.51369</v>
      </c>
      <c r="D93" s="50" t="s">
        <v>26</v>
      </c>
    </row>
    <row r="94" spans="1:4" ht="15.75">
      <c r="A94" s="47" t="s">
        <v>231</v>
      </c>
      <c r="B94" s="27">
        <f>IF(-62.61605="","-",-62.61605)</f>
        <v>-62.61605</v>
      </c>
      <c r="C94" s="27">
        <f>IF(-76.2305="","-",-76.2305)</f>
        <v>-76.2305</v>
      </c>
      <c r="D94" s="50">
        <f>IF(OR(-62.61605="",-76.2305="",-62.61605=0),"-",-76.2305/-62.61605*100)</f>
        <v>121.74274806539218</v>
      </c>
    </row>
    <row r="95" spans="1:4" ht="15.75">
      <c r="A95" s="47" t="s">
        <v>205</v>
      </c>
      <c r="B95" s="27">
        <f>IF(276.26644="","-",276.26644)</f>
        <v>276.26644</v>
      </c>
      <c r="C95" s="27">
        <f>IF(-63.5645="","-",-63.5645)</f>
        <v>-63.5645</v>
      </c>
      <c r="D95" s="50" t="s">
        <v>33</v>
      </c>
    </row>
    <row r="96" spans="1:7" ht="15.75">
      <c r="A96" s="47" t="s">
        <v>258</v>
      </c>
      <c r="B96" s="27">
        <f>IF(-44.07383="","-",-44.07383)</f>
        <v>-44.07383</v>
      </c>
      <c r="C96" s="27">
        <f>IF(-58.34258="","-",-58.34258)</f>
        <v>-58.34258</v>
      </c>
      <c r="D96" s="50">
        <f>IF(OR(-44.07383="",-58.34258="",-44.07383=0),"-",-58.34258/-44.07383*100)</f>
        <v>132.37465407476498</v>
      </c>
      <c r="E96" s="24"/>
      <c r="F96" s="24"/>
      <c r="G96" s="24"/>
    </row>
    <row r="97" spans="1:7" ht="15.75">
      <c r="A97" s="47" t="s">
        <v>259</v>
      </c>
      <c r="B97" s="27">
        <f>IF(-69.57702="","-",-69.57702)</f>
        <v>-69.57702</v>
      </c>
      <c r="C97" s="27">
        <f>IF(-57.08404="","-",-57.08404)</f>
        <v>-57.08404</v>
      </c>
      <c r="D97" s="50">
        <f>IF(OR(-69.57702="",-57.08404="",-69.57702=0),"-",-57.08404/-69.57702*100)</f>
        <v>82.04438764408133</v>
      </c>
      <c r="E97" s="24"/>
      <c r="F97" s="24"/>
      <c r="G97" s="24"/>
    </row>
    <row r="98" spans="1:4" ht="15.75">
      <c r="A98" s="47" t="s">
        <v>226</v>
      </c>
      <c r="B98" s="27">
        <f>IF(17.99841="","-",17.99841)</f>
        <v>17.99841</v>
      </c>
      <c r="C98" s="27">
        <f>IF(-53.8458="","-",-53.8458)</f>
        <v>-53.8458</v>
      </c>
      <c r="D98" s="50" t="s">
        <v>33</v>
      </c>
    </row>
    <row r="99" spans="1:4" ht="15.75">
      <c r="A99" s="47" t="s">
        <v>243</v>
      </c>
      <c r="B99" s="27">
        <f>IF(-35.62585="","-",-35.62585)</f>
        <v>-35.62585</v>
      </c>
      <c r="C99" s="27">
        <f>IF(-52.2511="","-",-52.2511)</f>
        <v>-52.2511</v>
      </c>
      <c r="D99" s="50">
        <f>IF(OR(-35.62585="",-52.2511="",-35.62585=0),"-",-52.2511/-35.62585*100)</f>
        <v>146.66625498058292</v>
      </c>
    </row>
    <row r="100" spans="1:7" ht="15.75">
      <c r="A100" s="47" t="s">
        <v>164</v>
      </c>
      <c r="B100" s="27">
        <f>IF(-477.78578="","-",-477.78578)</f>
        <v>-477.78578</v>
      </c>
      <c r="C100" s="27">
        <f>IF(-18.79154="","-",-18.79154)</f>
        <v>-18.79154</v>
      </c>
      <c r="D100" s="50">
        <f>IF(OR(-477.78578="",-18.79154="",-477.78578=0),"-",-18.79154/-477.78578*100)</f>
        <v>3.9330471492893744</v>
      </c>
      <c r="E100" s="23"/>
      <c r="F100" s="23"/>
      <c r="G100" s="23"/>
    </row>
    <row r="101" spans="1:4" ht="15.75">
      <c r="A101" s="47" t="s">
        <v>253</v>
      </c>
      <c r="B101" s="27">
        <f>IF(50.13236="","-",50.13236)</f>
        <v>50.13236</v>
      </c>
      <c r="C101" s="27">
        <f>IF(45.28454="","-",45.28454)</f>
        <v>45.28454</v>
      </c>
      <c r="D101" s="50">
        <f>IF(OR(50.13236="",45.28454="",50.13236=0),"-",45.28454/50.13236*100)</f>
        <v>90.3299585337694</v>
      </c>
    </row>
    <row r="102" spans="1:7" ht="15.75">
      <c r="A102" s="47" t="s">
        <v>223</v>
      </c>
      <c r="B102" s="27">
        <f>IF(14.606="","-",14.606)</f>
        <v>14.606</v>
      </c>
      <c r="C102" s="27">
        <f>IF(45.4372="","-",45.4372)</f>
        <v>45.4372</v>
      </c>
      <c r="D102" s="50" t="s">
        <v>208</v>
      </c>
      <c r="E102" s="23"/>
      <c r="F102" s="23"/>
      <c r="G102" s="23"/>
    </row>
    <row r="103" spans="1:7" ht="15.75">
      <c r="A103" s="47" t="s">
        <v>207</v>
      </c>
      <c r="B103" s="27">
        <f>IF(-15.14354="","-",-15.14354)</f>
        <v>-15.14354</v>
      </c>
      <c r="C103" s="27">
        <f>IF(46.92506="","-",46.92506)</f>
        <v>46.92506</v>
      </c>
      <c r="D103" s="50" t="s">
        <v>33</v>
      </c>
      <c r="E103" s="1"/>
      <c r="F103" s="1"/>
      <c r="G103" s="1"/>
    </row>
    <row r="104" spans="1:4" ht="15.75">
      <c r="A104" s="47" t="s">
        <v>252</v>
      </c>
      <c r="B104" s="27">
        <f>IF(0="","-",0)</f>
        <v>0</v>
      </c>
      <c r="C104" s="27">
        <f>IF(55.12314="","-",55.12314)</f>
        <v>55.12314</v>
      </c>
      <c r="D104" s="50" t="str">
        <f>IF(OR(0="",55.12314="",0=0),"-",55.12314/0*100)</f>
        <v>-</v>
      </c>
    </row>
    <row r="105" spans="1:4" ht="15.75">
      <c r="A105" s="47" t="s">
        <v>120</v>
      </c>
      <c r="B105" s="27">
        <f>IF(-2012.9436="","-",-2012.9436)</f>
        <v>-2012.9436</v>
      </c>
      <c r="C105" s="27">
        <f>IF(95.69878="","-",95.69878)</f>
        <v>95.69878</v>
      </c>
      <c r="D105" s="50" t="s">
        <v>33</v>
      </c>
    </row>
    <row r="106" spans="1:4" ht="15.75">
      <c r="A106" s="47" t="s">
        <v>204</v>
      </c>
      <c r="B106" s="27">
        <f>IF(0.2121="","-",0.2121)</f>
        <v>0.2121</v>
      </c>
      <c r="C106" s="27">
        <f>IF(116.25016="","-",116.25016)</f>
        <v>116.25016</v>
      </c>
      <c r="D106" s="50" t="s">
        <v>236</v>
      </c>
    </row>
    <row r="107" spans="1:7" ht="15.75">
      <c r="A107" s="47" t="s">
        <v>225</v>
      </c>
      <c r="B107" s="27">
        <f>IF(-124.00394="","-",-124.00394)</f>
        <v>-124.00394</v>
      </c>
      <c r="C107" s="27">
        <f>IF(124.10029="","-",124.10029)</f>
        <v>124.10029</v>
      </c>
      <c r="D107" s="50" t="s">
        <v>33</v>
      </c>
      <c r="E107" s="24"/>
      <c r="F107" s="24"/>
      <c r="G107" s="24"/>
    </row>
    <row r="108" spans="1:7" ht="15.75">
      <c r="A108" s="47" t="s">
        <v>238</v>
      </c>
      <c r="B108" s="27">
        <f>IF(109.42697="","-",109.42697)</f>
        <v>109.42697</v>
      </c>
      <c r="C108" s="27">
        <f>IF(141.9554="","-",141.9554)</f>
        <v>141.9554</v>
      </c>
      <c r="D108" s="50">
        <f>IF(OR(109.42697="",141.9554="",109.42697=0),"-",141.9554/109.42697*100)</f>
        <v>129.72615434750682</v>
      </c>
      <c r="E108" s="17"/>
      <c r="F108" s="17"/>
      <c r="G108" s="17"/>
    </row>
    <row r="109" spans="1:4" ht="15.75">
      <c r="A109" s="47" t="s">
        <v>239</v>
      </c>
      <c r="B109" s="27">
        <f>IF(91.89347="","-",91.89347)</f>
        <v>91.89347</v>
      </c>
      <c r="C109" s="27">
        <f>IF(151.76182="","-",151.76182)</f>
        <v>151.76182</v>
      </c>
      <c r="D109" s="50" t="s">
        <v>214</v>
      </c>
    </row>
    <row r="110" spans="1:7" ht="15.75">
      <c r="A110" s="47" t="s">
        <v>235</v>
      </c>
      <c r="B110" s="27">
        <f>IF(-0.0213="","-",-0.0213)</f>
        <v>-0.0213</v>
      </c>
      <c r="C110" s="27">
        <f>IF(177.82416="","-",177.82416)</f>
        <v>177.82416</v>
      </c>
      <c r="D110" s="50" t="s">
        <v>33</v>
      </c>
      <c r="E110" s="24"/>
      <c r="F110" s="24"/>
      <c r="G110" s="24"/>
    </row>
    <row r="111" spans="1:4" ht="15.75">
      <c r="A111" s="47" t="s">
        <v>188</v>
      </c>
      <c r="B111" s="27">
        <f>IF(115.27146="","-",115.27146)</f>
        <v>115.27146</v>
      </c>
      <c r="C111" s="27">
        <f>IF(179.59211="","-",179.59211)</f>
        <v>179.59211</v>
      </c>
      <c r="D111" s="50" t="s">
        <v>215</v>
      </c>
    </row>
    <row r="112" spans="1:4" ht="15.75">
      <c r="A112" s="47" t="s">
        <v>187</v>
      </c>
      <c r="B112" s="27">
        <f>IF(-0.6022="","-",-0.6022)</f>
        <v>-0.6022</v>
      </c>
      <c r="C112" s="27">
        <f>IF(186.33116="","-",186.33116)</f>
        <v>186.33116</v>
      </c>
      <c r="D112" s="50" t="s">
        <v>33</v>
      </c>
    </row>
    <row r="113" spans="1:4" ht="15.75">
      <c r="A113" s="47" t="s">
        <v>234</v>
      </c>
      <c r="B113" s="27">
        <f>IF(98.3034="","-",98.3034)</f>
        <v>98.3034</v>
      </c>
      <c r="C113" s="27">
        <f>IF(345.50369="","-",345.50369)</f>
        <v>345.50369</v>
      </c>
      <c r="D113" s="50" t="s">
        <v>245</v>
      </c>
    </row>
    <row r="114" spans="1:4" ht="15.75">
      <c r="A114" s="47" t="s">
        <v>152</v>
      </c>
      <c r="B114" s="27">
        <f>IF(1053.67421="","-",1053.67421)</f>
        <v>1053.67421</v>
      </c>
      <c r="C114" s="27">
        <f>IF(361.40501="","-",361.40501)</f>
        <v>361.40501</v>
      </c>
      <c r="D114" s="50">
        <f>IF(OR(1053.67421="",361.40501="",1053.67421=0),"-",361.40501/1053.67421*100)</f>
        <v>34.29950231011159</v>
      </c>
    </row>
    <row r="115" spans="1:4" ht="15.75">
      <c r="A115" s="47" t="s">
        <v>222</v>
      </c>
      <c r="B115" s="27">
        <f>IF(204.26007="","-",204.26007)</f>
        <v>204.26007</v>
      </c>
      <c r="C115" s="27">
        <f>IF(374.52052="","-",374.52052)</f>
        <v>374.52052</v>
      </c>
      <c r="D115" s="50" t="s">
        <v>213</v>
      </c>
    </row>
    <row r="116" spans="1:4" ht="15.75">
      <c r="A116" s="47" t="s">
        <v>162</v>
      </c>
      <c r="B116" s="27">
        <f>IF(478.31036="","-",478.31036)</f>
        <v>478.31036</v>
      </c>
      <c r="C116" s="27">
        <f>IF(491.93756="","-",491.93756)</f>
        <v>491.93756</v>
      </c>
      <c r="D116" s="50">
        <f>IF(OR(478.31036="",491.93756="",478.31036=0),"-",491.93756/478.31036*100)</f>
        <v>102.84902881886147</v>
      </c>
    </row>
    <row r="117" spans="1:4" ht="15.75">
      <c r="A117" s="47" t="s">
        <v>203</v>
      </c>
      <c r="B117" s="27">
        <f>IF(156.41044="","-",156.41044)</f>
        <v>156.41044</v>
      </c>
      <c r="C117" s="27">
        <f>IF(584.21124="","-",584.21124)</f>
        <v>584.21124</v>
      </c>
      <c r="D117" s="50" t="s">
        <v>229</v>
      </c>
    </row>
    <row r="118" spans="1:4" ht="15.75">
      <c r="A118" s="47" t="s">
        <v>160</v>
      </c>
      <c r="B118" s="27">
        <f>IF(-26.45538="","-",-26.45538)</f>
        <v>-26.45538</v>
      </c>
      <c r="C118" s="27">
        <f>IF(880.35085="","-",880.35085)</f>
        <v>880.35085</v>
      </c>
      <c r="D118" s="50" t="s">
        <v>33</v>
      </c>
    </row>
    <row r="119" spans="1:7" s="1" customFormat="1" ht="15.75">
      <c r="A119" s="47" t="s">
        <v>228</v>
      </c>
      <c r="B119" s="27">
        <f>IF(419.56893="","-",419.56893)</f>
        <v>419.56893</v>
      </c>
      <c r="C119" s="27">
        <f>IF(1034.79823="","-",1034.79823)</f>
        <v>1034.79823</v>
      </c>
      <c r="D119" s="50" t="s">
        <v>189</v>
      </c>
      <c r="E119" s="24"/>
      <c r="F119" s="24"/>
      <c r="G119" s="24"/>
    </row>
    <row r="120" spans="1:7" ht="15.75">
      <c r="A120" s="47" t="s">
        <v>221</v>
      </c>
      <c r="B120" s="27">
        <f>IF(87.0774="","-",87.0774)</f>
        <v>87.0774</v>
      </c>
      <c r="C120" s="27">
        <f>IF(1042.75007="","-",1042.75007)</f>
        <v>1042.75007</v>
      </c>
      <c r="D120" s="50" t="s">
        <v>263</v>
      </c>
      <c r="E120" s="1"/>
      <c r="F120" s="1"/>
      <c r="G120" s="1"/>
    </row>
    <row r="121" spans="1:7" ht="15.75">
      <c r="A121" s="47" t="s">
        <v>148</v>
      </c>
      <c r="B121" s="27">
        <f>IF(2246.21485="","-",2246.21485)</f>
        <v>2246.21485</v>
      </c>
      <c r="C121" s="27">
        <f>IF(1684.09957="","-",1684.09957)</f>
        <v>1684.09957</v>
      </c>
      <c r="D121" s="50">
        <f>IF(OR(2246.21485="",1684.09957="",2246.21485=0),"-",1684.09957/2246.21485*100)</f>
        <v>74.97499938618962</v>
      </c>
      <c r="E121" s="24"/>
      <c r="F121" s="24"/>
      <c r="G121" s="24"/>
    </row>
    <row r="122" spans="1:7" ht="15.75">
      <c r="A122" s="47" t="s">
        <v>119</v>
      </c>
      <c r="B122" s="27">
        <f>IF(864.8974="","-",864.8974)</f>
        <v>864.8974</v>
      </c>
      <c r="C122" s="27">
        <f>IF(2303.20986="","-",2303.20986)</f>
        <v>2303.20986</v>
      </c>
      <c r="D122" s="50" t="s">
        <v>237</v>
      </c>
      <c r="E122" s="1"/>
      <c r="F122" s="1"/>
      <c r="G122" s="1"/>
    </row>
    <row r="123" spans="1:4" ht="15.75">
      <c r="A123" s="47" t="s">
        <v>146</v>
      </c>
      <c r="B123" s="27">
        <f>IF(3224.20106="","-",3224.20106)</f>
        <v>3224.20106</v>
      </c>
      <c r="C123" s="27">
        <f>IF(3576.02664="","-",3576.02664)</f>
        <v>3576.02664</v>
      </c>
      <c r="D123" s="50">
        <f>IF(OR(3224.20106="",3576.02664="",3224.20106=0),"-",3576.02664/3224.20106*100)</f>
        <v>110.91202358205292</v>
      </c>
    </row>
    <row r="124" spans="1:9" ht="15.75">
      <c r="A124" s="47" t="s">
        <v>143</v>
      </c>
      <c r="B124" s="27">
        <f>IF(6541.04639="","-",6541.04639)</f>
        <v>6541.04639</v>
      </c>
      <c r="C124" s="27">
        <f>IF(6048.13359="","-",6048.13359)</f>
        <v>6048.13359</v>
      </c>
      <c r="D124" s="50">
        <f>IF(OR(6541.04639="",6048.13359="",6541.04639=0),"-",6048.13359/6541.04639*100)</f>
        <v>92.46431273207956</v>
      </c>
      <c r="E124" s="24"/>
      <c r="F124" s="24"/>
      <c r="G124" s="24"/>
      <c r="H124" s="1"/>
      <c r="I124" s="1"/>
    </row>
    <row r="125" spans="1:4" ht="15.75">
      <c r="A125" s="47" t="s">
        <v>141</v>
      </c>
      <c r="B125" s="27">
        <f>IF(8876.48146="","-",8876.48146)</f>
        <v>8876.48146</v>
      </c>
      <c r="C125" s="27">
        <f>IF(10153.40773="","-",10153.40773)</f>
        <v>10153.40773</v>
      </c>
      <c r="D125" s="50">
        <f>IF(OR(8876.48146="",10153.40773="",8876.48146=0),"-",10153.40773/8876.48146*100)</f>
        <v>114.38550033314665</v>
      </c>
    </row>
    <row r="126" spans="1:4" ht="15.75">
      <c r="A126" s="47" t="s">
        <v>202</v>
      </c>
      <c r="B126" s="27">
        <f>IF(-552.18107="","-",-552.18107)</f>
        <v>-552.18107</v>
      </c>
      <c r="C126" s="27">
        <f>IF(10636.661="","-",10636.661)</f>
        <v>10636.661</v>
      </c>
      <c r="D126" s="50" t="s">
        <v>33</v>
      </c>
    </row>
    <row r="127" spans="1:4" ht="15.75">
      <c r="A127" s="47" t="s">
        <v>140</v>
      </c>
      <c r="B127" s="27">
        <f>IF(24354.04946="","-",24354.04946)</f>
        <v>24354.04946</v>
      </c>
      <c r="C127" s="27">
        <f>IF(11524.97186="","-",11524.97186)</f>
        <v>11524.97186</v>
      </c>
      <c r="D127" s="50">
        <f>IF(OR(24354.04946="",11524.97186="",24354.04946=0),"-",11524.97186/24354.04946*100)</f>
        <v>47.32261006092249</v>
      </c>
    </row>
    <row r="128" spans="1:4" ht="15.75">
      <c r="A128" s="81" t="s">
        <v>27</v>
      </c>
      <c r="B128" s="81"/>
      <c r="C128" s="81"/>
      <c r="D128" s="81"/>
    </row>
  </sheetData>
  <sheetProtection/>
  <mergeCells count="5">
    <mergeCell ref="A128:D128"/>
    <mergeCell ref="A1:D1"/>
    <mergeCell ref="A3:A4"/>
    <mergeCell ref="B3:C3"/>
    <mergeCell ref="D3:D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7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00390625" defaultRowHeight="15.75"/>
  <cols>
    <col min="1" max="1" width="27.75390625" style="0" customWidth="1"/>
    <col min="2" max="2" width="11.125" style="0" customWidth="1"/>
    <col min="3" max="3" width="10.125" style="0" customWidth="1"/>
    <col min="4" max="4" width="8.625" style="0" customWidth="1"/>
    <col min="5" max="5" width="8.75390625" style="0" customWidth="1"/>
    <col min="6" max="6" width="9.625" style="0" customWidth="1"/>
    <col min="7" max="7" width="9.875" style="0" customWidth="1"/>
  </cols>
  <sheetData>
    <row r="1" spans="1:7" ht="15.75">
      <c r="A1" s="68" t="s">
        <v>115</v>
      </c>
      <c r="B1" s="68"/>
      <c r="C1" s="68"/>
      <c r="D1" s="68"/>
      <c r="E1" s="68"/>
      <c r="F1" s="68"/>
      <c r="G1" s="68"/>
    </row>
    <row r="2" spans="1:7" ht="15.75">
      <c r="A2" s="68" t="s">
        <v>35</v>
      </c>
      <c r="B2" s="68"/>
      <c r="C2" s="68"/>
      <c r="D2" s="68"/>
      <c r="E2" s="68"/>
      <c r="F2" s="68"/>
      <c r="G2" s="68"/>
    </row>
    <row r="3" ht="15.75">
      <c r="A3" s="6"/>
    </row>
    <row r="4" spans="1:7" ht="54.75" customHeight="1">
      <c r="A4" s="69"/>
      <c r="B4" s="72" t="s">
        <v>246</v>
      </c>
      <c r="C4" s="73"/>
      <c r="D4" s="72" t="s">
        <v>0</v>
      </c>
      <c r="E4" s="73"/>
      <c r="F4" s="74" t="s">
        <v>218</v>
      </c>
      <c r="G4" s="75"/>
    </row>
    <row r="5" spans="1:7" ht="21.75" customHeight="1">
      <c r="A5" s="70"/>
      <c r="B5" s="76" t="s">
        <v>195</v>
      </c>
      <c r="C5" s="78" t="s">
        <v>247</v>
      </c>
      <c r="D5" s="80" t="s">
        <v>248</v>
      </c>
      <c r="E5" s="80"/>
      <c r="F5" s="80" t="s">
        <v>248</v>
      </c>
      <c r="G5" s="72"/>
    </row>
    <row r="6" spans="1:7" ht="21.75" customHeight="1">
      <c r="A6" s="71"/>
      <c r="B6" s="77"/>
      <c r="C6" s="79"/>
      <c r="D6" s="18">
        <v>2016</v>
      </c>
      <c r="E6" s="18">
        <v>2017</v>
      </c>
      <c r="F6" s="18" t="s">
        <v>2</v>
      </c>
      <c r="G6" s="19" t="s">
        <v>186</v>
      </c>
    </row>
    <row r="7" spans="1:7" ht="16.5" customHeight="1">
      <c r="A7" s="7" t="s">
        <v>196</v>
      </c>
      <c r="B7" s="34">
        <f>IF(1427899.35432="","-",1427899.35432)</f>
        <v>1427899.35432</v>
      </c>
      <c r="C7" s="34">
        <f>IF(1239054.72912="","-",1427899.35432/1239054.72912*100)</f>
        <v>115.24102372250505</v>
      </c>
      <c r="D7" s="34">
        <v>100</v>
      </c>
      <c r="E7" s="34">
        <v>100</v>
      </c>
      <c r="F7" s="34">
        <f>IF(1284225.24461="","-",(1239054.72912-1284225.24461)/1284225.24461*100)</f>
        <v>-3.5173358941185984</v>
      </c>
      <c r="G7" s="34">
        <f>IF(1239054.72912="","-",(1427899.35432-1239054.72912)/1239054.72912*100)</f>
        <v>15.241023722505052</v>
      </c>
    </row>
    <row r="8" spans="1:7" ht="13.5" customHeight="1">
      <c r="A8" s="8" t="s">
        <v>108</v>
      </c>
      <c r="B8" s="28"/>
      <c r="C8" s="28"/>
      <c r="D8" s="28"/>
      <c r="E8" s="28"/>
      <c r="F8" s="28"/>
      <c r="G8" s="28"/>
    </row>
    <row r="9" spans="1:10" ht="13.5" customHeight="1">
      <c r="A9" s="9" t="s">
        <v>36</v>
      </c>
      <c r="B9" s="26">
        <f>IF(305925.04236="","-",305925.04236)</f>
        <v>305925.04236</v>
      </c>
      <c r="C9" s="26">
        <f>IF(280650.74917="","-",305925.04236/280650.74917*100)</f>
        <v>109.00560332183203</v>
      </c>
      <c r="D9" s="26">
        <f>IF(280650.74917="","-",280650.74917/1239054.72912*100)</f>
        <v>22.65039167150619</v>
      </c>
      <c r="E9" s="26">
        <f>IF(305925.04236="","-",305925.04236/1427899.35432*100)</f>
        <v>21.424832319900368</v>
      </c>
      <c r="F9" s="26">
        <f>IF(1284225.24461="","-",(280650.74917-325808.41441)/1284225.24461*100)</f>
        <v>-3.5163352713653993</v>
      </c>
      <c r="G9" s="26">
        <f>IF(1239054.72912="","-",(305925.04236-280650.74917)/1239054.72912*100)</f>
        <v>2.039804424777126</v>
      </c>
      <c r="J9" s="32"/>
    </row>
    <row r="10" spans="1:10" s="16" customFormat="1" ht="13.5" customHeight="1">
      <c r="A10" s="14" t="s">
        <v>37</v>
      </c>
      <c r="B10" s="27">
        <f>IF(5475.4377="","-",5475.4377)</f>
        <v>5475.4377</v>
      </c>
      <c r="C10" s="27">
        <f>IF(OR(6182.06905="",5475.4377=""),"-",5475.4377/6182.06905*100)</f>
        <v>88.56966261158148</v>
      </c>
      <c r="D10" s="27">
        <f>IF(6182.06905="","-",6182.06905/1239054.72912*100)</f>
        <v>0.4989343008593835</v>
      </c>
      <c r="E10" s="27">
        <f>IF(5475.4377="","-",5475.4377/1427899.35432*100)</f>
        <v>0.38346103900351824</v>
      </c>
      <c r="F10" s="27">
        <f>IF(OR(1284225.24461="",2539.2451="",6182.06905=""),"-",(6182.06905-2539.2451)/1284225.24461*100)</f>
        <v>0.28365926968724803</v>
      </c>
      <c r="G10" s="27">
        <f>IF(OR(1239054.72912="",5475.4377="",6182.06905=""),"-",(5475.4377-6182.06905)/1239054.72912*100)</f>
        <v>-0.057029873934774655</v>
      </c>
      <c r="J10" s="32"/>
    </row>
    <row r="11" spans="1:10" s="16" customFormat="1" ht="14.25" customHeight="1">
      <c r="A11" s="14" t="s">
        <v>38</v>
      </c>
      <c r="B11" s="27">
        <f>IF(6056.37273="","-",6056.37273)</f>
        <v>6056.37273</v>
      </c>
      <c r="C11" s="27" t="s">
        <v>215</v>
      </c>
      <c r="D11" s="27">
        <f>IF(3858.94054="","-",3858.94054/1239054.72912*100)</f>
        <v>0.3114422994649068</v>
      </c>
      <c r="E11" s="27">
        <f>IF(6056.37273="","-",6056.37273/1427899.35432*100)</f>
        <v>0.4241456312503335</v>
      </c>
      <c r="F11" s="27">
        <f>IF(OR(1284225.24461="",4124.14759="",3858.94054=""),"-",(3858.94054-4124.14759)/1284225.24461*100)</f>
        <v>-0.020651131965603038</v>
      </c>
      <c r="G11" s="27">
        <f>IF(OR(1239054.72912="",6056.37273="",3858.94054=""),"-",(6056.37273-3858.94054)/1239054.72912*100)</f>
        <v>0.17734746806225887</v>
      </c>
      <c r="J11" s="32"/>
    </row>
    <row r="12" spans="1:10" s="16" customFormat="1" ht="15.75">
      <c r="A12" s="14" t="s">
        <v>39</v>
      </c>
      <c r="B12" s="27">
        <f>IF(16006.54479="","-",16006.54479)</f>
        <v>16006.54479</v>
      </c>
      <c r="C12" s="27">
        <f>IF(OR(12520.2491="",16006.54479=""),"-",16006.54479/12520.2491*100)</f>
        <v>127.84525820656394</v>
      </c>
      <c r="D12" s="27">
        <f>IF(12520.2491="","-",12520.2491/1239054.72912*100)</f>
        <v>1.0104678030559728</v>
      </c>
      <c r="E12" s="27">
        <f>IF(16006.54479="","-",16006.54479/1427899.35432*100)</f>
        <v>1.1209855051459634</v>
      </c>
      <c r="F12" s="27">
        <f>IF(OR(1284225.24461="",9378.67071="",12520.2491=""),"-",(12520.2491-9378.67071)/1284225.24461*100)</f>
        <v>0.24462830046251358</v>
      </c>
      <c r="G12" s="27">
        <f>IF(OR(1239054.72912="",16006.54479="",12520.2491=""),"-",(16006.54479-12520.2491)/1239054.72912*100)</f>
        <v>0.2813673688551297</v>
      </c>
      <c r="J12" s="32"/>
    </row>
    <row r="13" spans="1:10" s="16" customFormat="1" ht="15.75">
      <c r="A13" s="14" t="s">
        <v>41</v>
      </c>
      <c r="B13" s="27">
        <f>IF(112819.25955="","-",112819.25955)</f>
        <v>112819.25955</v>
      </c>
      <c r="C13" s="27">
        <f>IF(OR(102745.16113="",112819.25955=""),"-",112819.25955/102745.16113*100)</f>
        <v>109.8049370979657</v>
      </c>
      <c r="D13" s="27">
        <f>IF(102745.16113="","-",102745.16113/1239054.72912*100)</f>
        <v>8.292221377741042</v>
      </c>
      <c r="E13" s="27">
        <f>IF(112819.25955="","-",112819.25955/1427899.35432*100)</f>
        <v>7.901065240254783</v>
      </c>
      <c r="F13" s="27">
        <f>IF(OR(1284225.24461="",94335.7193="",102745.16113=""),"-",(102745.16113-94335.7193)/1284225.24461*100)</f>
        <v>0.6548260801829836</v>
      </c>
      <c r="G13" s="27">
        <f>IF(OR(1239054.72912="",112819.25955="",102745.16113=""),"-",(112819.25955-102745.16113)/1239054.72912*100)</f>
        <v>0.8130470901115744</v>
      </c>
      <c r="J13" s="32"/>
    </row>
    <row r="14" spans="1:10" s="16" customFormat="1" ht="15" customHeight="1">
      <c r="A14" s="14" t="s">
        <v>42</v>
      </c>
      <c r="B14" s="27">
        <f>IF(122086.76275="","-",122086.76275)</f>
        <v>122086.76275</v>
      </c>
      <c r="C14" s="27">
        <f>IF(OR(107480.7817="",122086.76275=""),"-",122086.76275/107480.7817*100)</f>
        <v>113.58938855763829</v>
      </c>
      <c r="D14" s="27">
        <f>IF(107480.7817="","-",107480.7817/1239054.72912*100)</f>
        <v>8.67441761643046</v>
      </c>
      <c r="E14" s="27">
        <f>IF(122086.76275="","-",122086.76275/1427899.35432*100)</f>
        <v>8.550095801965025</v>
      </c>
      <c r="F14" s="27">
        <f>IF(OR(1284225.24461="",158308.21537="",107480.7817=""),"-",(107480.7817-158308.21537)/1284225.24461*100)</f>
        <v>-3.9578285727777858</v>
      </c>
      <c r="G14" s="27">
        <f>IF(OR(1239054.72912="",122086.76275="",107480.7817=""),"-",(122086.76275-107480.7817)/1239054.72912*100)</f>
        <v>1.178800315008961</v>
      </c>
      <c r="J14" s="32"/>
    </row>
    <row r="15" spans="1:10" s="16" customFormat="1" ht="15.75" customHeight="1">
      <c r="A15" s="14" t="s">
        <v>43</v>
      </c>
      <c r="B15" s="27">
        <f>IF(28579.8458="","-",28579.8458)</f>
        <v>28579.8458</v>
      </c>
      <c r="C15" s="27">
        <f>IF(OR(30893.95957="",28579.8458=""),"-",28579.8458/30893.95957*100)</f>
        <v>92.50949440534923</v>
      </c>
      <c r="D15" s="27">
        <f>IF(30893.95957="","-",30893.95957/1239054.72912*100)</f>
        <v>2.493349070378955</v>
      </c>
      <c r="E15" s="27">
        <f>IF(28579.8458="","-",28579.8458/1427899.35432*100)</f>
        <v>2.0015308301340613</v>
      </c>
      <c r="F15" s="27">
        <f>IF(OR(1284225.24461="",41203.88914="",30893.95957=""),"-",(30893.95957-41203.88914)/1284225.24461*100)</f>
        <v>-0.8028131835339347</v>
      </c>
      <c r="G15" s="27">
        <f>IF(OR(1239054.72912="",28579.8458="",30893.95957=""),"-",(28579.8458-30893.95957)/1239054.72912*100)</f>
        <v>-0.18676445161090882</v>
      </c>
      <c r="J15" s="32"/>
    </row>
    <row r="16" spans="1:10" s="16" customFormat="1" ht="25.5">
      <c r="A16" s="14" t="s">
        <v>44</v>
      </c>
      <c r="B16" s="27">
        <f>IF(5830.98543="","-",5830.98543)</f>
        <v>5830.98543</v>
      </c>
      <c r="C16" s="27">
        <f>IF(OR(4653.8325="",5830.98543=""),"-",5830.98543/4653.8325*100)</f>
        <v>125.29426940054245</v>
      </c>
      <c r="D16" s="27">
        <f>IF(4653.8325="","-",4653.8325/1239054.72912*100)</f>
        <v>0.375595394668744</v>
      </c>
      <c r="E16" s="27">
        <f>IF(5830.98543="","-",5830.98543/1427899.35432*100)</f>
        <v>0.4083610943837744</v>
      </c>
      <c r="F16" s="27">
        <f>IF(OR(1284225.24461="",4197.82044="",4653.8325=""),"-",(4653.8325-4197.82044)/1284225.24461*100)</f>
        <v>0.03550872885530949</v>
      </c>
      <c r="G16" s="27">
        <f>IF(OR(1239054.72912="",5830.98543="",4653.8325=""),"-",(5830.98543-4653.8325)/1239054.72912*100)</f>
        <v>0.09500411098354271</v>
      </c>
      <c r="J16" s="32"/>
    </row>
    <row r="17" spans="1:10" s="16" customFormat="1" ht="25.5">
      <c r="A17" s="14" t="s">
        <v>45</v>
      </c>
      <c r="B17" s="27">
        <f>IF(7130.41209="","-",7130.41209)</f>
        <v>7130.41209</v>
      </c>
      <c r="C17" s="27">
        <f>IF(OR(7370.16159="",7130.41209=""),"-",7130.41209/7370.16159*100)</f>
        <v>96.747025189715</v>
      </c>
      <c r="D17" s="27">
        <f>IF(7370.16159="","-",7370.16159/1239054.72912*100)</f>
        <v>0.5948213115036837</v>
      </c>
      <c r="E17" s="27">
        <f>IF(7130.41209="","-",7130.41209/1427899.35432*100)</f>
        <v>0.4993637729737383</v>
      </c>
      <c r="F17" s="27">
        <f>IF(OR(1284225.24461="",10291.76802="",7370.16159=""),"-",(7370.16159-10291.76802)/1284225.24461*100)</f>
        <v>-0.22749953267639186</v>
      </c>
      <c r="G17" s="27">
        <f>IF(OR(1239054.72912="",7130.41209="",7370.16159=""),"-",(7130.41209-7370.16159)/1239054.72912*100)</f>
        <v>-0.01934938742942166</v>
      </c>
      <c r="J17" s="32"/>
    </row>
    <row r="18" spans="1:10" s="16" customFormat="1" ht="15.75">
      <c r="A18" s="14" t="s">
        <v>46</v>
      </c>
      <c r="B18" s="27">
        <f>IF(1926.48511="","-",1926.48511)</f>
        <v>1926.48511</v>
      </c>
      <c r="C18" s="27">
        <f>IF(OR(4930.11362="",1926.48511=""),"-",1926.48511/4930.11362*100)</f>
        <v>39.07587651093526</v>
      </c>
      <c r="D18" s="27">
        <f>IF(4930.11362="","-",4930.11362/1239054.72912*100)</f>
        <v>0.3978931280542756</v>
      </c>
      <c r="E18" s="27">
        <f>IF(1926.48511="","-",1926.48511/1427899.35432*100)</f>
        <v>0.1349174298714799</v>
      </c>
      <c r="F18" s="27">
        <f>IF(OR(1284225.24461="",1419.81969="",4930.11362=""),"-",(4930.11362-1419.81969)/1284225.24461*100)</f>
        <v>0.2733394273888475</v>
      </c>
      <c r="G18" s="27">
        <f>IF(OR(1239054.72912="",1926.48511="",4930.11362=""),"-",(1926.48511-4930.11362)/1239054.72912*100)</f>
        <v>-0.24241290069028942</v>
      </c>
      <c r="J18" s="32"/>
    </row>
    <row r="19" spans="1:7" s="16" customFormat="1" ht="15.75">
      <c r="A19" s="15" t="s">
        <v>47</v>
      </c>
      <c r="B19" s="26">
        <f>IF(120136.33086="","-",120136.33086)</f>
        <v>120136.33086</v>
      </c>
      <c r="C19" s="26">
        <f>IF(108047.11771="","-",120136.33086/108047.11771*100)</f>
        <v>111.1888344698353</v>
      </c>
      <c r="D19" s="26">
        <f>IF(108047.11771="","-",108047.11771/1239054.72912*100)</f>
        <v>8.72012471852128</v>
      </c>
      <c r="E19" s="26">
        <f>IF(120136.33086="","-",120136.33086/1427899.35432*100)</f>
        <v>8.413501308515672</v>
      </c>
      <c r="F19" s="26">
        <f>IF(1284225.24461="","-",(108047.11771-100740.89379)/1284225.24461*100)</f>
        <v>0.5689207520771635</v>
      </c>
      <c r="G19" s="26">
        <f>IF(1239054.72912="","-",(120136.33086-108047.11771)/1239054.72912*100)</f>
        <v>0.9756803203185369</v>
      </c>
    </row>
    <row r="20" spans="1:7" s="16" customFormat="1" ht="15.75">
      <c r="A20" s="14" t="s">
        <v>48</v>
      </c>
      <c r="B20" s="27">
        <f>IF(108368.85541="","-",108368.85541)</f>
        <v>108368.85541</v>
      </c>
      <c r="C20" s="27">
        <f>IF(OR(100222.69048="",108368.85541=""),"-",108368.85541/100222.69048*100)</f>
        <v>108.12806450414101</v>
      </c>
      <c r="D20" s="27">
        <f>IF(100222.69048="","-",100222.69048/1239054.72912*100)</f>
        <v>8.088641133001449</v>
      </c>
      <c r="E20" s="27">
        <f>IF(108368.85541="","-",108368.85541/1427899.35432*100)</f>
        <v>7.589390322373797</v>
      </c>
      <c r="F20" s="27">
        <f>IF(OR(1284225.24461="",92958.41128="",100222.69048=""),"-",(100222.69048-92958.41128)/1284225.24461*100)</f>
        <v>0.5656546022972829</v>
      </c>
      <c r="G20" s="27">
        <f>IF(OR(1239054.72912="",108368.85541="",100222.69048=""),"-",(108368.85541-100222.69048)/1239054.72912*100)</f>
        <v>0.6574499687988405</v>
      </c>
    </row>
    <row r="21" spans="1:7" s="16" customFormat="1" ht="15.75">
      <c r="A21" s="14" t="s">
        <v>49</v>
      </c>
      <c r="B21" s="27">
        <f>IF(11767.47545="","-",11767.47545)</f>
        <v>11767.47545</v>
      </c>
      <c r="C21" s="27">
        <f>IF(OR(7824.42723="",11767.47545=""),"-",11767.47545/7824.42723*100)</f>
        <v>150.39408130580824</v>
      </c>
      <c r="D21" s="27">
        <f>IF(7824.42723="","-",7824.42723/1239054.72912*100)</f>
        <v>0.6314835855198306</v>
      </c>
      <c r="E21" s="27">
        <f>IF(11767.47545="","-",11767.47545/1427899.35432*100)</f>
        <v>0.8241109861418738</v>
      </c>
      <c r="F21" s="27">
        <f>IF(OR(1284225.24461="",7782.48251="",7824.42723=""),"-",(7824.42723-7782.48251)/1284225.24461*100)</f>
        <v>0.003266149779880585</v>
      </c>
      <c r="G21" s="27">
        <f>IF(OR(1239054.72912="",11767.47545="",7824.42723=""),"-",(11767.47545-7824.42723)/1239054.72912*100)</f>
        <v>0.31823035151969653</v>
      </c>
    </row>
    <row r="22" spans="1:7" s="16" customFormat="1" ht="25.5">
      <c r="A22" s="15" t="s">
        <v>50</v>
      </c>
      <c r="B22" s="26">
        <f>IF(162289.90089="","-",162289.90089)</f>
        <v>162289.90089</v>
      </c>
      <c r="C22" s="26">
        <f>IF(116741.42844="","-",162289.90089/116741.42844*100)</f>
        <v>139.01654541892975</v>
      </c>
      <c r="D22" s="26">
        <f>IF(116741.42844="","-",116741.42844/1239054.72912*100)</f>
        <v>9.421813717858287</v>
      </c>
      <c r="E22" s="26">
        <f>IF(162289.90089="","-",162289.90089/1427899.35432*100)</f>
        <v>11.365640050120083</v>
      </c>
      <c r="F22" s="26">
        <f>IF(1284225.24461="","-",(116741.42844-142258.30057)/1284225.24461*100)</f>
        <v>-1.9869467787754853</v>
      </c>
      <c r="G22" s="26">
        <f>IF(1239054.72912="","-",(162289.90089-116741.42844)/1239054.72912*100)</f>
        <v>3.676066228515133</v>
      </c>
    </row>
    <row r="23" spans="1:8" s="16" customFormat="1" ht="15.75">
      <c r="A23" s="14" t="s">
        <v>51</v>
      </c>
      <c r="B23" s="27">
        <f>IF(2568.93325="","-",2568.93325)</f>
        <v>2568.93325</v>
      </c>
      <c r="C23" s="27">
        <f>IF(OR(2372.17118="",2568.93325=""),"-",2568.93325/2372.17118*100)</f>
        <v>108.29459828442904</v>
      </c>
      <c r="D23" s="27">
        <f>IF(2372.17118="","-",2372.17118/1239054.72912*100)</f>
        <v>0.19145007272477466</v>
      </c>
      <c r="E23" s="27">
        <f>IF(2568.93325="","-",2568.93325/1427899.35432*100)</f>
        <v>0.17990996649924168</v>
      </c>
      <c r="F23" s="27">
        <f>IF(OR(1284225.24461="",2576.51586="",2372.17118=""),"-",(2372.17118-2576.51586)/1284225.24461*100)</f>
        <v>-0.01591190337190861</v>
      </c>
      <c r="G23" s="27">
        <f>IF(OR(1239054.72912="",2568.93325="",2372.17118=""),"-",(2568.93325-2372.17118)/1239054.72912*100)</f>
        <v>0.015880014447767318</v>
      </c>
      <c r="H23" s="12"/>
    </row>
    <row r="24" spans="1:8" s="16" customFormat="1" ht="15.75">
      <c r="A24" s="14" t="s">
        <v>52</v>
      </c>
      <c r="B24" s="27">
        <f>IF(138749.69308="","-",138749.69308)</f>
        <v>138749.69308</v>
      </c>
      <c r="C24" s="27">
        <f>IF(OR(97969.92317="",138749.69308=""),"-",138749.69308/97969.92317*100)</f>
        <v>141.62478502635742</v>
      </c>
      <c r="D24" s="27">
        <f>IF(97969.92317="","-",97969.92317/1239054.72912*100)</f>
        <v>7.906827750827445</v>
      </c>
      <c r="E24" s="27">
        <f>IF(138749.69308="","-",138749.69308/1427899.35432*100)</f>
        <v>9.717049920936196</v>
      </c>
      <c r="F24" s="27">
        <f>IF(OR(1284225.24461="",111204.85805="",97969.92317=""),"-",(97969.92317-111204.85805)/1284225.24461*100)</f>
        <v>-1.0305773800622688</v>
      </c>
      <c r="G24" s="27">
        <f>IF(OR(1239054.72912="",138749.69308="",97969.92317=""),"-",(138749.69308-97969.92317)/1239054.72912*100)</f>
        <v>3.291200053686294</v>
      </c>
      <c r="H24" s="13"/>
    </row>
    <row r="25" spans="1:8" s="16" customFormat="1" ht="15.75">
      <c r="A25" s="14" t="s">
        <v>54</v>
      </c>
      <c r="B25" s="27">
        <f>IF(390.15177="","-",390.15177)</f>
        <v>390.15177</v>
      </c>
      <c r="C25" s="27">
        <f>IF(OR(1407.73678="",390.15177=""),"-",390.15177/1407.73678*100)</f>
        <v>27.71482393178645</v>
      </c>
      <c r="D25" s="27">
        <f>IF(1407.73678="","-",1407.73678/1239054.72912*100)</f>
        <v>0.11361376918352921</v>
      </c>
      <c r="E25" s="27">
        <f>IF(390.15177="","-",390.15177/1427899.35432*100)</f>
        <v>0.027323478284350066</v>
      </c>
      <c r="F25" s="27">
        <f>IF(OR(1284225.24461="",1636.22762="",1407.73678=""),"-",(1407.73678-1636.22762)/1284225.24461*100)</f>
        <v>-0.01779211559335054</v>
      </c>
      <c r="G25" s="27">
        <f>IF(OR(1239054.72912="",390.15177="",1407.73678=""),"-",(390.15177-1407.73678)/1239054.72912*100)</f>
        <v>-0.08212591309204784</v>
      </c>
      <c r="H25" s="13"/>
    </row>
    <row r="26" spans="1:8" s="16" customFormat="1" ht="15.75">
      <c r="A26" s="14" t="s">
        <v>55</v>
      </c>
      <c r="B26" s="27">
        <f>IF(1887.14454="","-",1887.14454)</f>
        <v>1887.14454</v>
      </c>
      <c r="C26" s="27">
        <f>IF(OR(1680.11224="",1887.14454=""),"-",1887.14454/1680.11224*100)</f>
        <v>112.32252792825317</v>
      </c>
      <c r="D26" s="27">
        <f>IF(1680.11224="","-",1680.11224/1239054.72912*100)</f>
        <v>0.13559628969684392</v>
      </c>
      <c r="E26" s="27">
        <f>IF(1887.14454="","-",1887.14454/1427899.35432*100)</f>
        <v>0.1321622938122767</v>
      </c>
      <c r="F26" s="27">
        <f>IF(OR(1284225.24461="",1223.0541="",1680.11224=""),"-",(1680.11224-1223.0541)/1284225.24461*100)</f>
        <v>0.03559018497092398</v>
      </c>
      <c r="G26" s="27">
        <f>IF(OR(1239054.72912="",1887.14454="",1680.11224=""),"-",(1887.14454-1680.11224)/1239054.72912*100)</f>
        <v>0.01670889066756868</v>
      </c>
      <c r="H26" s="13"/>
    </row>
    <row r="27" spans="1:8" s="16" customFormat="1" ht="38.25">
      <c r="A27" s="14" t="s">
        <v>56</v>
      </c>
      <c r="B27" s="27">
        <f>IF(297.98782="","-",297.98782)</f>
        <v>297.98782</v>
      </c>
      <c r="C27" s="27">
        <f>IF(OR(725.23716="",297.98782=""),"-",297.98782/725.23716*100)</f>
        <v>41.088327575492684</v>
      </c>
      <c r="D27" s="27">
        <f>IF(725.23716="","-",725.23716/1239054.72912*100)</f>
        <v>0.058531487185806315</v>
      </c>
      <c r="E27" s="27">
        <f>IF(297.98782="","-",297.98782/1427899.35432*100)</f>
        <v>0.020868965245937027</v>
      </c>
      <c r="F27" s="27">
        <f>IF(OR(1284225.24461="",3695.0635="",725.23716=""),"-",(725.23716-3695.0635)/1284225.24461*100)</f>
        <v>-0.23125431870029095</v>
      </c>
      <c r="G27" s="27">
        <f>IF(OR(1239054.72912="",297.98782="",725.23716=""),"-",(297.98782-725.23716)/1239054.72912*100)</f>
        <v>-0.034481877996094694</v>
      </c>
      <c r="H27" s="13"/>
    </row>
    <row r="28" spans="1:8" s="16" customFormat="1" ht="38.25">
      <c r="A28" s="14" t="s">
        <v>57</v>
      </c>
      <c r="B28" s="27">
        <f>IF(7082.48624="","-",7082.48624)</f>
        <v>7082.48624</v>
      </c>
      <c r="C28" s="27" t="s">
        <v>215</v>
      </c>
      <c r="D28" s="27">
        <f>IF(4543.7778="","-",4543.7778/1239054.72912*100)</f>
        <v>0.3667132446382797</v>
      </c>
      <c r="E28" s="27">
        <f>IF(7082.48624="","-",7082.48624/1427899.35432*100)</f>
        <v>0.49600738445412706</v>
      </c>
      <c r="F28" s="27">
        <f>IF(OR(1284225.24461="",5015.57743="",4543.7778=""),"-",(4543.7778-5015.57743)/1284225.24461*100)</f>
        <v>-0.03673807472483372</v>
      </c>
      <c r="G28" s="27">
        <f>IF(OR(1239054.72912="",7082.48624="",4543.7778=""),"-",(7082.48624-4543.7778)/1239054.72912*100)</f>
        <v>0.20489074294587767</v>
      </c>
      <c r="H28" s="13"/>
    </row>
    <row r="29" spans="1:8" s="16" customFormat="1" ht="14.25" customHeight="1">
      <c r="A29" s="14" t="s">
        <v>58</v>
      </c>
      <c r="B29" s="27">
        <f>IF(10079.5505="","-",10079.5505)</f>
        <v>10079.5505</v>
      </c>
      <c r="C29" s="27">
        <f>IF(OR(6997.44228="",10079.5505=""),"-",10079.5505/6997.44228*100)</f>
        <v>144.04621141083567</v>
      </c>
      <c r="D29" s="27">
        <f>IF(6997.44228="","-",6997.44228/1239054.72912*100)</f>
        <v>0.5647403714741249</v>
      </c>
      <c r="E29" s="27">
        <f>IF(10079.5505="","-",10079.5505/1427899.35432*100)</f>
        <v>0.7059006273449941</v>
      </c>
      <c r="F29" s="27">
        <f>IF(OR(1284225.24461="",12899.76484="",6997.44228=""),"-",(6997.44228-12899.76484)/1284225.24461*100)</f>
        <v>-0.45960181710899534</v>
      </c>
      <c r="G29" s="27">
        <f>IF(OR(1239054.72912="",10079.5505="",6997.44228=""),"-",(10079.5505-6997.44228)/1239054.72912*100)</f>
        <v>0.24874673794183172</v>
      </c>
      <c r="H29" s="13"/>
    </row>
    <row r="30" spans="1:8" s="16" customFormat="1" ht="25.5">
      <c r="A30" s="14" t="s">
        <v>59</v>
      </c>
      <c r="B30" s="27">
        <f>IF(1233.50421="","-",1233.50421)</f>
        <v>1233.50421</v>
      </c>
      <c r="C30" s="27">
        <f>IF(OR(976.77802="",1233.50421=""),"-",1233.50421/976.77802*100)</f>
        <v>126.28296140406601</v>
      </c>
      <c r="D30" s="27">
        <f>IF(976.77802="","-",976.77802/1239054.72912*100)</f>
        <v>0.07883251619512611</v>
      </c>
      <c r="E30" s="27">
        <f>IF(1233.50421="","-",1233.50421/1427899.35432*100)</f>
        <v>0.08638593513388235</v>
      </c>
      <c r="F30" s="27">
        <f>IF(OR(1284225.24461="",2419.06633="",976.77802=""),"-",(976.77802-2419.06633)/1284225.24461*100)</f>
        <v>-0.11230804845593903</v>
      </c>
      <c r="G30" s="27">
        <f>IF(OR(1239054.72912="",1233.50421="",976.77802=""),"-",(1233.50421-976.77802)/1239054.72912*100)</f>
        <v>0.020719519805419074</v>
      </c>
      <c r="H30" s="13"/>
    </row>
    <row r="31" spans="1:8" s="16" customFormat="1" ht="25.5">
      <c r="A31" s="15" t="s">
        <v>60</v>
      </c>
      <c r="B31" s="26">
        <f>IF(10104.8204499999="","-",10104.8204499999)</f>
        <v>10104.8204499999</v>
      </c>
      <c r="C31" s="26" t="s">
        <v>185</v>
      </c>
      <c r="D31" s="26">
        <f>IF(3624.19659="","-",3624.19659/1239054.72912*100)</f>
        <v>0.29249689338371454</v>
      </c>
      <c r="E31" s="26">
        <f>IF(10104.8204499999="","-",10104.8204499999/1427899.35432*100)</f>
        <v>0.7076703564175262</v>
      </c>
      <c r="F31" s="26">
        <f>IF(1284225.24461="","-",(3624.19659-7408.65658)/1284225.24461*100)</f>
        <v>-0.29468817918692164</v>
      </c>
      <c r="G31" s="26">
        <f>IF(1239054.72912="","-",(10104.8204499999-3624.19659)/1239054.72912*100)</f>
        <v>0.5230296699325429</v>
      </c>
      <c r="H31" s="13"/>
    </row>
    <row r="32" spans="1:8" s="16" customFormat="1" ht="25.5">
      <c r="A32" s="14" t="s">
        <v>62</v>
      </c>
      <c r="B32" s="27">
        <f>IF(10096.9851699999="","-",10096.9851699999)</f>
        <v>10096.9851699999</v>
      </c>
      <c r="C32" s="27" t="s">
        <v>185</v>
      </c>
      <c r="D32" s="27">
        <f>IF(3619.7038="","-",3619.7038/1239054.72912*100)</f>
        <v>0.2921342951954012</v>
      </c>
      <c r="E32" s="27">
        <f>IF(10096.9851699999="","-",10096.9851699999/1427899.35432*100)</f>
        <v>0.707121628667472</v>
      </c>
      <c r="F32" s="27">
        <f>IF(OR(1284225.24461="",7341.3275="",3619.7038=""),"-",(3619.7038-7341.3275)/1284225.24461*100)</f>
        <v>-0.2897952454695907</v>
      </c>
      <c r="G32" s="27">
        <f>IF(OR(1239054.72912="",10096.9851699999="",3619.7038=""),"-",(10096.9851699999-3619.7038)/1239054.72912*100)</f>
        <v>0.5227599086442443</v>
      </c>
      <c r="H32" s="13"/>
    </row>
    <row r="33" spans="1:7" s="16" customFormat="1" ht="25.5">
      <c r="A33" s="15" t="s">
        <v>65</v>
      </c>
      <c r="B33" s="26">
        <f>IF(25464.91668="","-",25464.91668)</f>
        <v>25464.91668</v>
      </c>
      <c r="C33" s="26">
        <f>IF(25488.02032="","-",25464.91668/25488.02032*100)</f>
        <v>99.9093549059129</v>
      </c>
      <c r="D33" s="26">
        <f>IF(25488.02032="","-",25488.02032/1239054.72912*100)</f>
        <v>2.057053632982142</v>
      </c>
      <c r="E33" s="26">
        <f>IF(25464.91668="","-",25464.91668/1427899.35432*100)</f>
        <v>1.7833831637333435</v>
      </c>
      <c r="F33" s="26">
        <f>IF(1284225.24461="","-",(25488.02032-49231.94465)/1284225.24461*100)</f>
        <v>-1.8488909503730147</v>
      </c>
      <c r="G33" s="26">
        <f>IF(1239054.72912="","-",(25464.91668-25488.02032)/1239054.72912*100)</f>
        <v>-0.001864618201038611</v>
      </c>
    </row>
    <row r="34" spans="1:7" s="16" customFormat="1" ht="25.5">
      <c r="A34" s="14" t="s">
        <v>67</v>
      </c>
      <c r="B34" s="27">
        <f>IF(25367.75134="","-",25367.75134)</f>
        <v>25367.75134</v>
      </c>
      <c r="C34" s="27">
        <f>IF(OR(25391.30297="",25367.75134=""),"-",25367.75134/25391.30297*100)</f>
        <v>99.907245287775</v>
      </c>
      <c r="D34" s="27">
        <f>IF(25391.30297="","-",25391.30297/1239054.72912*100)</f>
        <v>2.0492478962598675</v>
      </c>
      <c r="E34" s="27">
        <f>IF(25367.75134="","-",25367.75134/1427899.35432*100)</f>
        <v>1.7765783886134419</v>
      </c>
      <c r="F34" s="27">
        <f>IF(OR(1284225.24461="",49212.0435="",25391.30297=""),"-",(25391.30297-49212.0435)/1284225.24461*100)</f>
        <v>-1.8548724711632658</v>
      </c>
      <c r="G34" s="27">
        <f>IF(OR(1239054.72912="",25367.75134="",25391.30297=""),"-",(25367.75134-25391.30297)/1239054.72912*100)</f>
        <v>-0.001900773988952737</v>
      </c>
    </row>
    <row r="35" spans="1:7" s="16" customFormat="1" ht="25.5">
      <c r="A35" s="15" t="s">
        <v>69</v>
      </c>
      <c r="B35" s="26">
        <f>IF(86716.04486="","-",86716.04486)</f>
        <v>86716.04486</v>
      </c>
      <c r="C35" s="26">
        <f>IF(69928.60767="","-",86716.04486/69928.60767*100)</f>
        <v>124.00653716605024</v>
      </c>
      <c r="D35" s="26">
        <f>IF(69928.60767="","-",69928.60767/1239054.72912*100)</f>
        <v>5.643706127465783</v>
      </c>
      <c r="E35" s="26">
        <f>IF(86716.04486="","-",86716.04486/1427899.35432*100)</f>
        <v>6.072980185728585</v>
      </c>
      <c r="F35" s="26">
        <f>IF(1284225.24461="","-",(69928.60767-80535.9994)/1284225.24461*100)</f>
        <v>-0.825975955115359</v>
      </c>
      <c r="G35" s="26">
        <f>IF(1239054.72912="","-",(86716.04486-69928.60767)/1239054.72912*100)</f>
        <v>1.354858409032727</v>
      </c>
    </row>
    <row r="36" spans="1:7" s="16" customFormat="1" ht="15.75">
      <c r="A36" s="14" t="s">
        <v>70</v>
      </c>
      <c r="B36" s="27">
        <f>IF(15827.79576="","-",15827.79576)</f>
        <v>15827.79576</v>
      </c>
      <c r="C36" s="27">
        <f>IF(OR(10297.45193="",15827.79576=""),"-",15827.79576/10297.45193*100)</f>
        <v>153.70594461226102</v>
      </c>
      <c r="D36" s="27">
        <f>IF(10297.45193="","-",10297.45193/1239054.72912*100)</f>
        <v>0.831073211537108</v>
      </c>
      <c r="E36" s="27">
        <f>IF(15827.79576="","-",15827.79576/1427899.35432*100)</f>
        <v>1.108467183776939</v>
      </c>
      <c r="F36" s="27">
        <f>IF(OR(1284225.24461="",2517.62189="",10297.45193=""),"-",(10297.45193-2517.62189)/1284225.24461*100)</f>
        <v>0.6057994944930877</v>
      </c>
      <c r="G36" s="27">
        <f>IF(OR(1239054.72912="",15827.79576="",10297.45193=""),"-",(15827.79576-10297.45193)/1239054.72912*100)</f>
        <v>0.446335718675458</v>
      </c>
    </row>
    <row r="37" spans="1:7" s="16" customFormat="1" ht="15.75">
      <c r="A37" s="14" t="s">
        <v>71</v>
      </c>
      <c r="B37" s="27">
        <f>IF(748.19051="","-",748.19051)</f>
        <v>748.19051</v>
      </c>
      <c r="C37" s="27">
        <f>IF(OR(583.56909="",748.19051=""),"-",748.19051/583.56909*100)</f>
        <v>128.20941390161704</v>
      </c>
      <c r="D37" s="27">
        <f>IF(583.56909="","-",583.56909/1239054.72912*100)</f>
        <v>0.04709792685384137</v>
      </c>
      <c r="E37" s="27">
        <f>IF(748.19051="","-",748.19051/1427899.35432*100)</f>
        <v>0.052397986436257364</v>
      </c>
      <c r="F37" s="27">
        <f>IF(OR(1284225.24461="",118.55663="",583.56909=""),"-",(583.56909-118.55663)/1284225.24461*100)</f>
        <v>0.0362095716426457</v>
      </c>
      <c r="G37" s="27">
        <f>IF(OR(1239054.72912="",748.19051="",583.56909=""),"-",(748.19051-583.56909)/1239054.72912*100)</f>
        <v>0.013286049125280953</v>
      </c>
    </row>
    <row r="38" spans="1:7" s="16" customFormat="1" ht="15.75">
      <c r="A38" s="14" t="s">
        <v>72</v>
      </c>
      <c r="B38" s="27">
        <f>IF(691.06733="","-",691.06733)</f>
        <v>691.06733</v>
      </c>
      <c r="C38" s="27">
        <f>IF(OR(1071.58983="",691.06733=""),"-",691.06733/1071.58983*100)</f>
        <v>64.4899112191089</v>
      </c>
      <c r="D38" s="27">
        <f>IF(1071.58983="","-",1071.58983/1239054.72912*100)</f>
        <v>0.0864844631004365</v>
      </c>
      <c r="E38" s="27">
        <f>IF(691.06733="","-",691.06733/1427899.35432*100)</f>
        <v>0.04839748179094197</v>
      </c>
      <c r="F38" s="27">
        <f>IF(OR(1284225.24461="",870.15031="",1071.58983=""),"-",(1071.58983-870.15031)/1284225.24461*100)</f>
        <v>0.015685684489185857</v>
      </c>
      <c r="G38" s="27">
        <f>IF(OR(1239054.72912="",691.06733="",1071.58983=""),"-",(691.06733-1071.58983)/1239054.72912*100)</f>
        <v>-0.030710709628642002</v>
      </c>
    </row>
    <row r="39" spans="1:7" s="16" customFormat="1" ht="15.75">
      <c r="A39" s="14" t="s">
        <v>73</v>
      </c>
      <c r="B39" s="27">
        <f>IF(41438.81329="","-",41438.81329)</f>
        <v>41438.81329</v>
      </c>
      <c r="C39" s="27" t="s">
        <v>215</v>
      </c>
      <c r="D39" s="27">
        <f>IF(25791.76472="","-",25791.76472/1239054.72912*100)</f>
        <v>2.081567836661888</v>
      </c>
      <c r="E39" s="27">
        <f>IF(41438.81329="","-",41438.81329/1427899.35432*100)</f>
        <v>2.9020822206152026</v>
      </c>
      <c r="F39" s="27">
        <f>IF(OR(1284225.24461="",43816.02723="",25791.76472=""),"-",(25791.76472-43816.02723)/1284225.24461*100)</f>
        <v>-1.4035125524629988</v>
      </c>
      <c r="G39" s="27">
        <f>IF(OR(1239054.72912="",41438.81329="",25791.76472=""),"-",(41438.81329-25791.76472)/1239054.72912*100)</f>
        <v>1.2628214236438795</v>
      </c>
    </row>
    <row r="40" spans="1:7" s="16" customFormat="1" ht="38.25">
      <c r="A40" s="14" t="s">
        <v>74</v>
      </c>
      <c r="B40" s="27">
        <f>IF(19854.30555="","-",19854.30555)</f>
        <v>19854.30555</v>
      </c>
      <c r="C40" s="27">
        <f>IF(OR(25526.98654="",19854.30555=""),"-",19854.30555/25526.98654*100)</f>
        <v>77.77770994977772</v>
      </c>
      <c r="D40" s="27">
        <f>IF(25526.98654="","-",25526.98654/1239054.72912*100)</f>
        <v>2.060198467434102</v>
      </c>
      <c r="E40" s="27">
        <f>IF(19854.30555="","-",19854.30555/1427899.35432*100)</f>
        <v>1.3904555310521238</v>
      </c>
      <c r="F40" s="27">
        <f>IF(OR(1284225.24461="",27212.32925="",25526.98654=""),"-",(25526.98654-27212.32925)/1284225.24461*100)</f>
        <v>-0.13123419875707323</v>
      </c>
      <c r="G40" s="27">
        <f>IF(OR(1239054.72912="",19854.30555="",25526.98654=""),"-",(19854.30555-25526.98654)/1239054.72912*100)</f>
        <v>-0.4578232790434403</v>
      </c>
    </row>
    <row r="41" spans="1:7" s="16" customFormat="1" ht="15.75">
      <c r="A41" s="14" t="s">
        <v>76</v>
      </c>
      <c r="B41" s="27">
        <f>IF(2562.30153="","-",2562.30153)</f>
        <v>2562.30153</v>
      </c>
      <c r="C41" s="27">
        <f>IF(OR(2429.08092="",2562.30153=""),"-",2562.30153/2429.08092*100)</f>
        <v>105.48440395308035</v>
      </c>
      <c r="D41" s="27">
        <f>IF(2429.08092="","-",2429.08092/1239054.72912*100)</f>
        <v>0.196043069197208</v>
      </c>
      <c r="E41" s="27">
        <f>IF(2562.30153="","-",2562.30153/1427899.35432*100)</f>
        <v>0.17944552760304522</v>
      </c>
      <c r="F41" s="27">
        <f>IF(OR(1284225.24461="",3530.41019="",2429.08092=""),"-",(2429.08092-3530.41019)/1284225.24461*100)</f>
        <v>-0.08575826356181446</v>
      </c>
      <c r="G41" s="27">
        <f>IF(OR(1239054.72912="",2562.30153="",2429.08092=""),"-",(2562.30153-2429.08092)/1239054.72912*100)</f>
        <v>0.010751793836791704</v>
      </c>
    </row>
    <row r="42" spans="1:7" s="16" customFormat="1" ht="15.75">
      <c r="A42" s="14" t="s">
        <v>77</v>
      </c>
      <c r="B42" s="27">
        <f>IF(2071.74923="","-",2071.74923)</f>
        <v>2071.74923</v>
      </c>
      <c r="C42" s="27">
        <f>IF(OR(1989.28725="",2071.74923=""),"-",2071.74923/1989.28725*100)</f>
        <v>104.14530279626533</v>
      </c>
      <c r="D42" s="27">
        <f>IF(1989.28725="","-",1989.28725/1239054.72912*100)</f>
        <v>0.1605487799084411</v>
      </c>
      <c r="E42" s="27">
        <f>IF(2071.74923="","-",2071.74923/1427899.35432*100)</f>
        <v>0.1450907043085412</v>
      </c>
      <c r="F42" s="27">
        <f>IF(OR(1284225.24461="",1189.59824="",1989.28725=""),"-",(1989.28725-1189.59824)/1284225.24461*100)</f>
        <v>0.06227015185664363</v>
      </c>
      <c r="G42" s="27">
        <f>IF(OR(1239054.72912="",2071.74923="",1989.28725=""),"-",(2071.74923-1989.28725)/1239054.72912*100)</f>
        <v>0.00665523306291449</v>
      </c>
    </row>
    <row r="43" spans="1:7" s="16" customFormat="1" ht="15.75">
      <c r="A43" s="14" t="s">
        <v>78</v>
      </c>
      <c r="B43" s="27">
        <f>IF(3471.42166="","-",3471.42166)</f>
        <v>3471.42166</v>
      </c>
      <c r="C43" s="27" t="s">
        <v>215</v>
      </c>
      <c r="D43" s="27">
        <f>IF(2217.43106="","-",2217.43106/1239054.72912*100)</f>
        <v>0.1789615105682104</v>
      </c>
      <c r="E43" s="27">
        <f>IF(3471.42166="","-",3471.42166/1427899.35432*100)</f>
        <v>0.24311388960975996</v>
      </c>
      <c r="F43" s="27">
        <f>IF(OR(1284225.24461="",1245.20078="",2217.43106=""),"-",(2217.43106-1245.20078)/1284225.24461*100)</f>
        <v>0.07570558857027078</v>
      </c>
      <c r="G43" s="27">
        <f>IF(OR(1239054.72912="",3471.42166="",2217.43106=""),"-",(3471.42166-2217.43106)/1239054.72912*100)</f>
        <v>0.1012054246296778</v>
      </c>
    </row>
    <row r="44" spans="1:7" s="16" customFormat="1" ht="25.5">
      <c r="A44" s="15" t="s">
        <v>79</v>
      </c>
      <c r="B44" s="26">
        <f>IF(111031.18992="","-",111031.18992)</f>
        <v>111031.18992</v>
      </c>
      <c r="C44" s="26">
        <f>IF(118473.10784="","-",111031.18992/118473.10784*100)</f>
        <v>93.71847497235369</v>
      </c>
      <c r="D44" s="26">
        <f>IF(118473.10784="","-",118473.10784/1239054.72912*100)</f>
        <v>9.561571822105213</v>
      </c>
      <c r="E44" s="26">
        <f>IF(111031.18992="","-",111031.18992/1427899.35432*100)</f>
        <v>7.775841454377275</v>
      </c>
      <c r="F44" s="26">
        <f>IF(1284225.24461="","-",(118473.10784-86004.29063)/1284225.24461*100)</f>
        <v>2.528280560304691</v>
      </c>
      <c r="G44" s="26">
        <f>IF(1239054.72912="","-",(111031.18992-118473.10784)/1239054.72912*100)</f>
        <v>-0.6006125270419155</v>
      </c>
    </row>
    <row r="45" spans="1:7" s="16" customFormat="1" ht="15.75">
      <c r="A45" s="14" t="s">
        <v>80</v>
      </c>
      <c r="B45" s="27">
        <f>IF(1619.891="","-",1619.891)</f>
        <v>1619.891</v>
      </c>
      <c r="C45" s="27">
        <f>IF(OR(1195.93531="",1619.891=""),"-",1619.891/1195.93531*100)</f>
        <v>135.44971759383876</v>
      </c>
      <c r="D45" s="27">
        <f>IF(1195.93531="","-",1195.93531/1239054.72912*100)</f>
        <v>0.09651997461398464</v>
      </c>
      <c r="E45" s="27">
        <f>IF(1619.891="","-",1619.891/1427899.35432*100)</f>
        <v>0.11344574077291542</v>
      </c>
      <c r="F45" s="27">
        <f>IF(OR(1284225.24461="",852.65347="",1195.93531=""),"-",(1195.93531-852.65347)/1284225.24461*100)</f>
        <v>0.026730656591651854</v>
      </c>
      <c r="G45" s="27">
        <f>IF(OR(1239054.72912="",1619.891="",1195.93531=""),"-",(1619.891-1195.93531)/1239054.72912*100)</f>
        <v>0.03421605842230241</v>
      </c>
    </row>
    <row r="46" spans="1:7" s="16" customFormat="1" ht="15.75">
      <c r="A46" s="14" t="s">
        <v>81</v>
      </c>
      <c r="B46" s="27">
        <f>IF(1472.99762="","-",1472.99762)</f>
        <v>1472.99762</v>
      </c>
      <c r="C46" s="27">
        <f>IF(OR(9260.15125="",1472.99762=""),"-",1472.99762/9260.15125*100)</f>
        <v>15.90684191038456</v>
      </c>
      <c r="D46" s="27">
        <f>IF(9260.15125="","-",9260.15125/1239054.72912*100)</f>
        <v>0.7473561120723645</v>
      </c>
      <c r="E46" s="27">
        <f>IF(1472.99762="","-",1472.99762/1427899.35432*100)</f>
        <v>0.10315836445639946</v>
      </c>
      <c r="F46" s="27">
        <f>IF(OR(1284225.24461="",6881.93919="",9260.15125=""),"-",(9260.15125-6881.93919)/1284225.24461*100)</f>
        <v>0.18518652159981705</v>
      </c>
      <c r="G46" s="27">
        <f>IF(OR(1239054.72912="",1472.99762="",9260.15125=""),"-",(1472.99762-9260.15125)/1239054.72912*100)</f>
        <v>-0.6284753568174171</v>
      </c>
    </row>
    <row r="47" spans="1:7" s="16" customFormat="1" ht="15.75">
      <c r="A47" s="14" t="s">
        <v>82</v>
      </c>
      <c r="B47" s="27">
        <f>IF(6177.88419="","-",6177.88419)</f>
        <v>6177.88419</v>
      </c>
      <c r="C47" s="27">
        <f>IF(OR(5401.00161="",6177.88419=""),"-",6177.88419/5401.00161*100)</f>
        <v>114.38404644356326</v>
      </c>
      <c r="D47" s="27">
        <f>IF(5401.00161="","-",5401.00161/1239054.72912*100)</f>
        <v>0.43589693683957714</v>
      </c>
      <c r="E47" s="27">
        <f>IF(6177.88419="","-",6177.88419/1427899.35432*100)</f>
        <v>0.43265543690521924</v>
      </c>
      <c r="F47" s="27">
        <f>IF(OR(1284225.24461="",4124.11253="",5401.00161=""),"-",(5401.00161-4124.11253)/1284225.24461*100)</f>
        <v>0.09942874782747103</v>
      </c>
      <c r="G47" s="27">
        <f>IF(OR(1239054.72912="",6177.88419="",5401.00161=""),"-",(6177.88419-5401.00161)/1239054.72912*100)</f>
        <v>0.06269961784107439</v>
      </c>
    </row>
    <row r="48" spans="1:7" s="16" customFormat="1" ht="25.5">
      <c r="A48" s="14" t="s">
        <v>83</v>
      </c>
      <c r="B48" s="27">
        <f>IF(4918.01231="","-",4918.01231)</f>
        <v>4918.01231</v>
      </c>
      <c r="C48" s="27">
        <f>IF(OR(4473.43881="",4918.01231=""),"-",4918.01231/4473.43881*100)</f>
        <v>109.93807043937191</v>
      </c>
      <c r="D48" s="27">
        <f>IF(4473.43881="","-",4473.43881/1239054.72912*100)</f>
        <v>0.36103641791328456</v>
      </c>
      <c r="E48" s="27">
        <f>IF(4918.01231="","-",4918.01231/1427899.35432*100)</f>
        <v>0.344422896132065</v>
      </c>
      <c r="F48" s="27">
        <f>IF(OR(1284225.24461="",4479.85817="",4473.43881=""),"-",(4473.43881-4479.85817)/1284225.24461*100)</f>
        <v>-0.0004998624678142224</v>
      </c>
      <c r="G48" s="27">
        <f>IF(OR(1239054.72912="",4918.01231="",4473.43881=""),"-",(4918.01231-4473.43881)/1239054.72912*100)</f>
        <v>0.03588005352400736</v>
      </c>
    </row>
    <row r="49" spans="1:7" s="16" customFormat="1" ht="25.5">
      <c r="A49" s="14" t="s">
        <v>84</v>
      </c>
      <c r="B49" s="27">
        <f>IF(55371.74686="","-",55371.74686)</f>
        <v>55371.74686</v>
      </c>
      <c r="C49" s="27">
        <f>IF(OR(51024.81495="",55371.74686=""),"-",55371.74686/51024.81495*100)</f>
        <v>108.51925071018802</v>
      </c>
      <c r="D49" s="27">
        <f>IF(51024.81495="","-",51024.81495/1239054.72912*100)</f>
        <v>4.118043678848535</v>
      </c>
      <c r="E49" s="27">
        <f>IF(55371.74686="","-",55371.74686/1427899.35432*100)</f>
        <v>3.877846620805383</v>
      </c>
      <c r="F49" s="27">
        <f>IF(OR(1284225.24461="",31919.1821="",51024.81495=""),"-",(51024.81495-31919.1821)/1284225.24461*100)</f>
        <v>1.4877166548615928</v>
      </c>
      <c r="G49" s="27">
        <f>IF(OR(1239054.72912="",55371.74686="",51024.81495=""),"-",(55371.74686-51024.81495)/1239054.72912*100)</f>
        <v>0.3508264653561568</v>
      </c>
    </row>
    <row r="50" spans="1:7" s="16" customFormat="1" ht="15.75">
      <c r="A50" s="14" t="s">
        <v>85</v>
      </c>
      <c r="B50" s="27">
        <f>IF(19910.22757="","-",19910.22757)</f>
        <v>19910.22757</v>
      </c>
      <c r="C50" s="27">
        <f>IF(OR(22998.78532="",19910.22757=""),"-",19910.22757/22998.78532*100)</f>
        <v>86.57077881711363</v>
      </c>
      <c r="D50" s="27">
        <f>IF(22998.78532="","-",22998.78532/1239054.72912*100)</f>
        <v>1.8561557273853568</v>
      </c>
      <c r="E50" s="27">
        <f>IF(19910.22757="","-",19910.22757/1427899.35432*100)</f>
        <v>1.3943719149226543</v>
      </c>
      <c r="F50" s="27">
        <f>IF(OR(1284225.24461="",21956.631="",22998.78532=""),"-",(22998.78532-21956.631)/1284225.24461*100)</f>
        <v>0.08115043092121153</v>
      </c>
      <c r="G50" s="27">
        <f>IF(OR(1239054.72912="",19910.22757="",22998.78532=""),"-",(19910.22757-22998.78532)/1239054.72912*100)</f>
        <v>-0.24926725812939285</v>
      </c>
    </row>
    <row r="51" spans="1:7" s="16" customFormat="1" ht="15.75">
      <c r="A51" s="14" t="s">
        <v>86</v>
      </c>
      <c r="B51" s="27">
        <f>IF(1709.38537="","-",1709.38537)</f>
        <v>1709.38537</v>
      </c>
      <c r="C51" s="27">
        <f>IF(OR(2651.43715="",1709.38537=""),"-",1709.38537/2651.43715*100)</f>
        <v>64.4701448042998</v>
      </c>
      <c r="D51" s="27">
        <f>IF(2651.43715="","-",2651.43715/1239054.72912*100)</f>
        <v>0.21398870345970114</v>
      </c>
      <c r="E51" s="27">
        <f>IF(1709.38537="","-",1709.38537/1427899.35432*100)</f>
        <v>0.11971329525630679</v>
      </c>
      <c r="F51" s="27">
        <f>IF(OR(1284225.24461="",1655.23955="",2651.43715=""),"-",(2651.43715-1655.23955)/1284225.24461*100)</f>
        <v>0.07757187488574331</v>
      </c>
      <c r="G51" s="27">
        <f>IF(OR(1239054.72912="",1709.38537="",2651.43715=""),"-",(1709.38537-2651.43715)/1239054.72912*100)</f>
        <v>-0.07602987647438811</v>
      </c>
    </row>
    <row r="52" spans="1:7" s="16" customFormat="1" ht="15.75">
      <c r="A52" s="14" t="s">
        <v>87</v>
      </c>
      <c r="B52" s="27">
        <f>IF(2358.06863="","-",2358.06863)</f>
        <v>2358.06863</v>
      </c>
      <c r="C52" s="27">
        <f>IF(OR(1603.86658="",2358.06863=""),"-",2358.06863/1603.86658*100)</f>
        <v>147.02398936450186</v>
      </c>
      <c r="D52" s="27">
        <f>IF(1603.86658="","-",1603.86658/1239054.72912*100)</f>
        <v>0.12944275521542914</v>
      </c>
      <c r="E52" s="27">
        <f>IF(2358.06863="","-",2358.06863/1427899.35432*100)</f>
        <v>0.16514249571342998</v>
      </c>
      <c r="F52" s="27">
        <f>IF(OR(1284225.24461="",2382.58635="",1603.86658=""),"-",(1603.86658-2382.58635)/1284225.24461*100)</f>
        <v>-0.0606373199147386</v>
      </c>
      <c r="G52" s="27">
        <f>IF(OR(1239054.72912="",2358.06863="",1603.86658=""),"-",(2358.06863-1603.86658)/1239054.72912*100)</f>
        <v>0.060869147445621594</v>
      </c>
    </row>
    <row r="53" spans="1:7" s="16" customFormat="1" ht="15.75">
      <c r="A53" s="14" t="s">
        <v>88</v>
      </c>
      <c r="B53" s="27">
        <f>IF(17492.97637="","-",17492.97637)</f>
        <v>17492.97637</v>
      </c>
      <c r="C53" s="27">
        <f>IF(OR(19863.67686="",17492.97637=""),"-",17492.97637/19863.67686*100)</f>
        <v>88.06514772310891</v>
      </c>
      <c r="D53" s="27">
        <f>IF(19863.67686="","-",19863.67686/1239054.72912*100)</f>
        <v>1.60313151575698</v>
      </c>
      <c r="E53" s="27">
        <f>IF(17492.97637="","-",17492.97637/1427899.35432*100)</f>
        <v>1.2250846894129017</v>
      </c>
      <c r="F53" s="27">
        <f>IF(OR(1284225.24461="",11752.08827="",19863.67686=""),"-",(19863.67686-11752.08827)/1284225.24461*100)</f>
        <v>0.6316328559997564</v>
      </c>
      <c r="G53" s="27">
        <f>IF(OR(1239054.72912="",17492.97637="",19863.67686=""),"-",(17492.97637-19863.67686)/1239054.72912*100)</f>
        <v>-0.19133137820988064</v>
      </c>
    </row>
    <row r="54" spans="1:7" s="16" customFormat="1" ht="14.25" customHeight="1">
      <c r="A54" s="15" t="s">
        <v>89</v>
      </c>
      <c r="B54" s="26">
        <f>IF(264604.95165="","-",264604.95165)</f>
        <v>264604.95165</v>
      </c>
      <c r="C54" s="26">
        <f>IF(205558.28322="","-",264604.95165/205558.28322*100)</f>
        <v>128.72502509023437</v>
      </c>
      <c r="D54" s="26">
        <f>IF(205558.28322="","-",205558.28322/1239054.72912*100)</f>
        <v>16.589927659288414</v>
      </c>
      <c r="E54" s="26">
        <f>IF(264604.95165="","-",264604.95165/1427899.35432*100)</f>
        <v>18.531064591454435</v>
      </c>
      <c r="F54" s="26">
        <f>IF(1284225.24461="","-",(205558.28322-206125.52981)/1284225.24461*100)</f>
        <v>-0.04417033478984908</v>
      </c>
      <c r="G54" s="26">
        <f>IF(1239054.72912="","-",(264604.95165-205558.28322)/1239054.72912*100)</f>
        <v>4.7654608825823255</v>
      </c>
    </row>
    <row r="55" spans="1:7" s="16" customFormat="1" ht="25.5">
      <c r="A55" s="14" t="s">
        <v>90</v>
      </c>
      <c r="B55" s="27">
        <f>IF(1869.14949="","-",1869.14949)</f>
        <v>1869.14949</v>
      </c>
      <c r="C55" s="27">
        <f>IF(OR(1586.23033="",1869.14949=""),"-",1869.14949/1586.23033*100)</f>
        <v>117.83594441798373</v>
      </c>
      <c r="D55" s="27">
        <f>IF(1586.23033="","-",1586.23033/1239054.72912*100)</f>
        <v>0.12801939193812453</v>
      </c>
      <c r="E55" s="27">
        <f>IF(1869.14949="","-",1869.14949/1427899.35432*100)</f>
        <v>0.13090204742687442</v>
      </c>
      <c r="F55" s="27">
        <f>IF(OR(1284225.24461="",2480.20481="",1586.23033=""),"-",(1586.23033-2480.20481)/1284225.24461*100)</f>
        <v>-0.06961196906477936</v>
      </c>
      <c r="G55" s="27">
        <f>IF(OR(1239054.72912="",1869.14949="",1586.23033=""),"-",(1869.14949-1586.23033)/1239054.72912*100)</f>
        <v>0.022833467590324636</v>
      </c>
    </row>
    <row r="56" spans="1:7" s="16" customFormat="1" ht="25.5">
      <c r="A56" s="14" t="s">
        <v>91</v>
      </c>
      <c r="B56" s="27">
        <f>IF(5666.87367="","-",5666.87367)</f>
        <v>5666.87367</v>
      </c>
      <c r="C56" s="27">
        <f>IF(OR(5916.78307="",5666.87367=""),"-",5666.87367/5916.78307*100)</f>
        <v>95.77626225191318</v>
      </c>
      <c r="D56" s="27">
        <f>IF(5916.78307="","-",5916.78307/1239054.72912*100)</f>
        <v>0.47752394877683985</v>
      </c>
      <c r="E56" s="27">
        <f>IF(5666.87367="","-",5666.87367/1427899.35432*100)</f>
        <v>0.39686786417091013</v>
      </c>
      <c r="F56" s="27">
        <f>IF(OR(1284225.24461="",7198.72172="",5916.78307=""),"-",(5916.78307-7198.72172)/1284225.24461*100)</f>
        <v>-0.09982194754233358</v>
      </c>
      <c r="G56" s="27">
        <f>IF(OR(1239054.72912="",5666.87367="",5916.78307=""),"-",(5666.87367-5916.78307)/1239054.72912*100)</f>
        <v>-0.020169359280642174</v>
      </c>
    </row>
    <row r="57" spans="1:7" s="16" customFormat="1" ht="25.5">
      <c r="A57" s="14" t="s">
        <v>92</v>
      </c>
      <c r="B57" s="27">
        <f>IF(983.35257="","-",983.35257)</f>
        <v>983.35257</v>
      </c>
      <c r="C57" s="27">
        <f>IF(OR(1248.09527="",983.35257=""),"-",983.35257/1248.09527*100)</f>
        <v>78.78826189286015</v>
      </c>
      <c r="D57" s="27">
        <f>IF(1248.09527="","-",1248.09527/1239054.72912*100)</f>
        <v>0.10072963208706857</v>
      </c>
      <c r="E57" s="27">
        <f>IF(983.35257="","-",983.35257/1427899.35432*100)</f>
        <v>0.06886707855318669</v>
      </c>
      <c r="F57" s="27">
        <f>IF(OR(1284225.24461="",1548.45204="",1248.09527=""),"-",(1248.09527-1548.45204)/1284225.24461*100)</f>
        <v>-0.023388168957168703</v>
      </c>
      <c r="G57" s="27">
        <f>IF(OR(1239054.72912="",983.35257="",1248.09527=""),"-",(983.35257-1248.09527)/1239054.72912*100)</f>
        <v>-0.021366505754594492</v>
      </c>
    </row>
    <row r="58" spans="1:7" s="16" customFormat="1" ht="38.25">
      <c r="A58" s="14" t="s">
        <v>93</v>
      </c>
      <c r="B58" s="27">
        <f>IF(19955.72818="","-",19955.72818)</f>
        <v>19955.72818</v>
      </c>
      <c r="C58" s="27">
        <f>IF(OR(20511.08="",19955.72818=""),"-",19955.72818/20511.08*100)</f>
        <v>97.29243014019738</v>
      </c>
      <c r="D58" s="27">
        <f>IF(20511.08="","-",20511.08/1239054.72912*100)</f>
        <v>1.6553812771908272</v>
      </c>
      <c r="E58" s="27">
        <f>IF(19955.72818="","-",19955.72818/1427899.35432*100)</f>
        <v>1.3975584567375476</v>
      </c>
      <c r="F58" s="27">
        <f>IF(OR(1284225.24461="",21548.50704="",20511.08=""),"-",(20511.08-21548.50704)/1284225.24461*100)</f>
        <v>-0.08078232727118285</v>
      </c>
      <c r="G58" s="27">
        <f>IF(OR(1239054.72912="",19955.72818="",20511.08=""),"-",(19955.72818-20511.08)/1239054.72912*100)</f>
        <v>-0.04482060452603452</v>
      </c>
    </row>
    <row r="59" spans="1:7" s="16" customFormat="1" ht="25.5">
      <c r="A59" s="14" t="s">
        <v>94</v>
      </c>
      <c r="B59" s="27">
        <f>IF(549.18356="","-",549.18356)</f>
        <v>549.18356</v>
      </c>
      <c r="C59" s="27">
        <f>IF(OR(1980.01723="",549.18356=""),"-",549.18356/1980.01723*100)</f>
        <v>27.73630207248247</v>
      </c>
      <c r="D59" s="27">
        <f>IF(1980.01723="","-",1980.01723/1239054.72912*100)</f>
        <v>0.1598006273222689</v>
      </c>
      <c r="E59" s="27">
        <f>IF(549.18356="","-",549.18356/1427899.35432*100)</f>
        <v>0.03846094322673985</v>
      </c>
      <c r="F59" s="27">
        <f>IF(OR(1284225.24461="",550.75467="",1980.01723=""),"-",(1980.01723-550.75467)/1284225.24461*100)</f>
        <v>0.11129375987574872</v>
      </c>
      <c r="G59" s="27">
        <f>IF(OR(1239054.72912="",549.18356="",1980.01723=""),"-",(549.18356-1980.01723)/1239054.72912*100)</f>
        <v>-0.11547784261444247</v>
      </c>
    </row>
    <row r="60" spans="1:7" s="16" customFormat="1" ht="38.25">
      <c r="A60" s="14" t="s">
        <v>95</v>
      </c>
      <c r="B60" s="27">
        <f>IF(2927.41052="","-",2927.41052)</f>
        <v>2927.41052</v>
      </c>
      <c r="C60" s="27">
        <f>IF(OR(2166.29647="",2927.41052=""),"-",2927.41052/2166.29647*100)</f>
        <v>135.1343438232164</v>
      </c>
      <c r="D60" s="27">
        <f>IF(2166.29647="","-",2166.29647/1239054.72912*100)</f>
        <v>0.17483460730895597</v>
      </c>
      <c r="E60" s="27">
        <f>IF(2927.41052="","-",2927.41052/1427899.35432*100)</f>
        <v>0.20501518619945755</v>
      </c>
      <c r="F60" s="27">
        <f>IF(OR(1284225.24461="",2673.63431="",2166.29647=""),"-",(2166.29647-2673.63431)/1284225.24461*100)</f>
        <v>-0.03950536264018627</v>
      </c>
      <c r="G60" s="27">
        <f>IF(OR(1239054.72912="",2927.41052="",2166.29647=""),"-",(2927.41052-2166.29647)/1239054.72912*100)</f>
        <v>0.0614269920538988</v>
      </c>
    </row>
    <row r="61" spans="1:7" s="16" customFormat="1" ht="51">
      <c r="A61" s="14" t="s">
        <v>96</v>
      </c>
      <c r="B61" s="27">
        <f>IF(201485.21787="","-",201485.21787)</f>
        <v>201485.21787</v>
      </c>
      <c r="C61" s="27">
        <f>IF(OR(157035.73033="",201485.21787=""),"-",201485.21787/157035.73033*100)</f>
        <v>128.30533372665724</v>
      </c>
      <c r="D61" s="27">
        <f>IF(157035.73033="","-",157035.73033/1239054.72912*100)</f>
        <v>12.673833256867493</v>
      </c>
      <c r="E61" s="27">
        <f>IF(201485.21787="","-",201485.21787/1427899.35432*100)</f>
        <v>14.110603612251937</v>
      </c>
      <c r="F61" s="27">
        <f>IF(OR(1284225.24461="",158232.48835="",157035.73033=""),"-",(157035.73033-158232.48835)/1284225.24461*100)</f>
        <v>-0.09318910565127896</v>
      </c>
      <c r="G61" s="27">
        <f>IF(OR(1239054.72912="",201485.21787="",157035.73033=""),"-",(201485.21787-157035.73033)/1239054.72912*100)</f>
        <v>3.587370799316416</v>
      </c>
    </row>
    <row r="62" spans="1:7" s="16" customFormat="1" ht="25.5">
      <c r="A62" s="14" t="s">
        <v>97</v>
      </c>
      <c r="B62" s="27">
        <f>IF(18439.27718="","-",18439.27718)</f>
        <v>18439.27718</v>
      </c>
      <c r="C62" s="27">
        <f>IF(OR(14830.85877="",18439.27718=""),"-",18439.27718/14830.85877*100)</f>
        <v>124.33047516640872</v>
      </c>
      <c r="D62" s="27">
        <f>IF(14830.85877="","-",14830.85877/1239054.72912*100)</f>
        <v>1.196949450371184</v>
      </c>
      <c r="E62" s="27">
        <f>IF(18439.27718="","-",18439.27718/1427899.35432*100)</f>
        <v>1.2913569240166252</v>
      </c>
      <c r="F62" s="27">
        <f>IF(OR(1284225.24461="",7888.84269="",14830.85877=""),"-",(14830.85877-7888.84269)/1284225.24461*100)</f>
        <v>0.5405606305541975</v>
      </c>
      <c r="G62" s="27">
        <f>IF(OR(1239054.72912="",18439.27718="",14830.85877=""),"-",(18439.27718-14830.85877)/1239054.72912*100)</f>
        <v>0.2912234887770266</v>
      </c>
    </row>
    <row r="63" spans="1:7" s="16" customFormat="1" ht="15.75">
      <c r="A63" s="14" t="s">
        <v>98</v>
      </c>
      <c r="B63" s="27">
        <f>IF(12728.75861="","-",12728.75861)</f>
        <v>12728.75861</v>
      </c>
      <c r="C63" s="27" t="s">
        <v>264</v>
      </c>
      <c r="D63" s="27">
        <f>IF(283.19175="","-",283.19175/1239054.72912*100)</f>
        <v>0.022855467425650207</v>
      </c>
      <c r="E63" s="27">
        <f>IF(12728.75861="","-",12728.75861/1427899.35432*100)</f>
        <v>0.8914324788711556</v>
      </c>
      <c r="F63" s="27">
        <f>IF(OR(1284225.24461="",4003.92418="",283.19175=""),"-",(283.19175-4003.92418)/1284225.24461*100)</f>
        <v>-0.28972584409286634</v>
      </c>
      <c r="G63" s="27">
        <f>IF(OR(1239054.72912="",12728.75861="",283.19175=""),"-",(12728.75861-283.19175)/1239054.72912*100)</f>
        <v>1.004440447020373</v>
      </c>
    </row>
    <row r="64" spans="1:7" s="16" customFormat="1" ht="15.75">
      <c r="A64" s="15" t="s">
        <v>99</v>
      </c>
      <c r="B64" s="26">
        <f>IF(341308.21996="","-",341308.21996)</f>
        <v>341308.21996</v>
      </c>
      <c r="C64" s="26">
        <f>IF(310304.5394="","-",341308.21996/310304.5394*100)</f>
        <v>109.99137190192198</v>
      </c>
      <c r="D64" s="26">
        <f>IF(310304.5394="","-",310304.5394/1239054.72912*100)</f>
        <v>25.043650785335696</v>
      </c>
      <c r="E64" s="26">
        <f>IF(341308.21996="","-",341308.21996/1427899.35432*100)</f>
        <v>23.9028205263486</v>
      </c>
      <c r="F64" s="26">
        <f>IF(1284225.24461="","-",(310304.5394-285846.38526)/1284225.24461*100)</f>
        <v>1.904506568660981</v>
      </c>
      <c r="G64" s="26">
        <f>IF(1239054.72912="","-",(341308.21996-310304.5394)/1239054.72912*100)</f>
        <v>2.502204287781493</v>
      </c>
    </row>
    <row r="65" spans="1:7" s="16" customFormat="1" ht="38.25">
      <c r="A65" s="14" t="s">
        <v>100</v>
      </c>
      <c r="B65" s="27">
        <f>IF(6184.05493="","-",6184.05493)</f>
        <v>6184.05493</v>
      </c>
      <c r="C65" s="27" t="s">
        <v>184</v>
      </c>
      <c r="D65" s="27">
        <f>IF(2934.04392="","-",2934.04392/1239054.72912*100)</f>
        <v>0.23679695908862824</v>
      </c>
      <c r="E65" s="27">
        <f>IF(6184.05493="","-",6184.05493/1427899.35432*100)</f>
        <v>0.4330875920134439</v>
      </c>
      <c r="F65" s="27">
        <f>IF(OR(1284225.24461="",2061.68296="",2934.04392=""),"-",(2934.04392-2061.68296)/1284225.24461*100)</f>
        <v>0.06792896835359462</v>
      </c>
      <c r="G65" s="27">
        <f>IF(OR(1239054.72912="",6184.05493="",2934.04392=""),"-",(6184.05493-2934.04392)/1239054.72912*100)</f>
        <v>0.26229761556281045</v>
      </c>
    </row>
    <row r="66" spans="1:7" s="16" customFormat="1" ht="15.75">
      <c r="A66" s="14" t="s">
        <v>101</v>
      </c>
      <c r="B66" s="27">
        <f>IF(84324.98088="","-",84324.98088)</f>
        <v>84324.98088</v>
      </c>
      <c r="C66" s="27">
        <f>IF(OR(78697.60621="",84324.98088=""),"-",84324.98088/78697.60621*100)</f>
        <v>107.150630039475</v>
      </c>
      <c r="D66" s="27">
        <f>IF(78697.60621="","-",78697.60621/1239054.72912*100)</f>
        <v>6.351422932374627</v>
      </c>
      <c r="E66" s="27">
        <f>IF(84324.98088="","-",84324.98088/1427899.35432*100)</f>
        <v>5.905526928412794</v>
      </c>
      <c r="F66" s="27">
        <f>IF(OR(1284225.24461="",61362.0331="",78697.60621=""),"-",(78697.60621-61362.0331)/1284225.24461*100)</f>
        <v>1.3498857137997278</v>
      </c>
      <c r="G66" s="27">
        <f>IF(OR(1239054.72912="",84324.98088="",78697.60621=""),"-",(84324.98088-78697.60621)/1239054.72912*100)</f>
        <v>0.4541667561364841</v>
      </c>
    </row>
    <row r="67" spans="1:7" s="16" customFormat="1" ht="15.75">
      <c r="A67" s="14" t="s">
        <v>102</v>
      </c>
      <c r="B67" s="27">
        <f>IF(7987.90088="","-",7987.90088)</f>
        <v>7987.90088</v>
      </c>
      <c r="C67" s="27">
        <f>IF(OR(9857.24441="",7987.90088=""),"-",7987.90088/9857.24441*100)</f>
        <v>81.03584072538992</v>
      </c>
      <c r="D67" s="27">
        <f>IF(9857.24441="","-",9857.24441/1239054.72912*100)</f>
        <v>0.7955455217866607</v>
      </c>
      <c r="E67" s="27">
        <f>IF(7987.90088="","-",7987.90088/1427899.35432*100)</f>
        <v>0.55941624007555</v>
      </c>
      <c r="F67" s="27">
        <f>IF(OR(1284225.24461="",9739.58103="",9857.24441=""),"-",(9857.24441-9739.58103)/1284225.24461*100)</f>
        <v>0.009162207369294673</v>
      </c>
      <c r="G67" s="27">
        <f>IF(OR(1239054.72912="",7987.90088="",9857.24441=""),"-",(7987.90088-9857.24441)/1239054.72912*100)</f>
        <v>-0.1508685198536502</v>
      </c>
    </row>
    <row r="68" spans="1:7" s="16" customFormat="1" ht="15.75">
      <c r="A68" s="14" t="s">
        <v>103</v>
      </c>
      <c r="B68" s="27">
        <f>IF(175848.72309="","-",175848.72309)</f>
        <v>175848.72309</v>
      </c>
      <c r="C68" s="27">
        <f>IF(OR(164383.09589="",175848.72309=""),"-",175848.72309/164383.09589*100)</f>
        <v>106.97494297568922</v>
      </c>
      <c r="D68" s="27">
        <f>IF(164383.09589="","-",164383.09589/1239054.72912*100)</f>
        <v>13.26681477635358</v>
      </c>
      <c r="E68" s="27">
        <f>IF(175848.72309="","-",175848.72309/1427899.35432*100)</f>
        <v>12.315204328511193</v>
      </c>
      <c r="F68" s="27">
        <f>IF(OR(1284225.24461="",157030.56459="",164383.09589=""),"-",(164383.09589-157030.56459)/1284225.24461*100)</f>
        <v>0.5725266132914913</v>
      </c>
      <c r="G68" s="27">
        <f>IF(OR(1239054.72912="",175848.72309="",164383.09589=""),"-",(175848.72309-164383.09589)/1239054.72912*100)</f>
        <v>0.9253527653409724</v>
      </c>
    </row>
    <row r="69" spans="1:7" s="16" customFormat="1" ht="14.25" customHeight="1">
      <c r="A69" s="14" t="s">
        <v>104</v>
      </c>
      <c r="B69" s="27">
        <f>IF(22119.35197="","-",22119.35197)</f>
        <v>22119.35197</v>
      </c>
      <c r="C69" s="27">
        <f>IF(OR(20084.77365="",22119.35197=""),"-",22119.35197/20084.77365*100)</f>
        <v>110.12995394150235</v>
      </c>
      <c r="D69" s="27">
        <f>IF(20084.77365="","-",20084.77365/1239054.72912*100)</f>
        <v>1.6209755047918328</v>
      </c>
      <c r="E69" s="27">
        <f>IF(22119.35197="","-",22119.35197/1427899.35432*100)</f>
        <v>1.5490834072499298</v>
      </c>
      <c r="F69" s="27">
        <f>IF(OR(1284225.24461="",16455.80212="",20084.77365=""),"-",(20084.77365-16455.80212)/1284225.24461*100)</f>
        <v>0.28258061000055046</v>
      </c>
      <c r="G69" s="27">
        <f>IF(OR(1239054.72912="",22119.35197="",20084.77365=""),"-",(22119.35197-20084.77365)/1239054.72912*100)</f>
        <v>0.16420407203844792</v>
      </c>
    </row>
    <row r="70" spans="1:7" ht="25.5">
      <c r="A70" s="8" t="s">
        <v>109</v>
      </c>
      <c r="B70" s="27">
        <f>IF(15844.28554="","-",15844.28554)</f>
        <v>15844.28554</v>
      </c>
      <c r="C70" s="27">
        <f>IF(OR(15102.24231="",15844.28554=""),"-",15844.28554/15102.24231*100)</f>
        <v>104.91346393977969</v>
      </c>
      <c r="D70" s="27">
        <f>IF(15102.24231="","-",15102.24231/1239054.72912*100)</f>
        <v>1.2188519163092897</v>
      </c>
      <c r="E70" s="27">
        <f>IF(15844.28554="","-",15844.28554/1427899.35432*100)</f>
        <v>1.1096220116680025</v>
      </c>
      <c r="F70" s="27">
        <f>IF(OR(1284225.24461="",16645.28778="",15102.24231=""),"-",(15102.24231-16645.28778)/1284225.24461*100)</f>
        <v>-0.12015380296223652</v>
      </c>
      <c r="G70" s="27">
        <f>IF(OR(1239054.72912="",15844.28554="",15102.24231=""),"-",(15844.28554-15102.24231)/1239054.72912*100)</f>
        <v>0.05988784938717067</v>
      </c>
    </row>
    <row r="71" spans="1:7" ht="25.5">
      <c r="A71" s="10" t="s">
        <v>106</v>
      </c>
      <c r="B71" s="27">
        <f>IF(1684.84449="","-",1684.84449)</f>
        <v>1684.84449</v>
      </c>
      <c r="C71" s="27">
        <f>IF(OR(1201.55082="",1684.84449=""),"-",1684.84449/1201.55082*100)</f>
        <v>140.22249096380293</v>
      </c>
      <c r="D71" s="27">
        <f>IF(1201.55082="","-",1201.55082/1239054.72912*100)</f>
        <v>0.09697318381193411</v>
      </c>
      <c r="E71" s="27">
        <f>IF(1684.84449="","-",1684.84449/1427899.35432*100)</f>
        <v>0.11799462510453781</v>
      </c>
      <c r="F71" s="27">
        <f>IF(OR(1284225.24461="",1037.95091="",1201.55082=""),"-",(1201.55082-1037.95091)/1284225.24461*100)</f>
        <v>0.01273919125065033</v>
      </c>
      <c r="G71" s="27">
        <f>IF(OR(1239054.72912="",1684.84449="",1201.55082=""),"-",(1684.84449-1201.55082)/1239054.72912*100)</f>
        <v>0.03900503009606721</v>
      </c>
    </row>
    <row r="72" spans="1:7" ht="15.75">
      <c r="A72" s="11" t="s">
        <v>107</v>
      </c>
      <c r="B72" s="27">
        <f>IF(27314.07818="","-",27314.07818)</f>
        <v>27314.07818</v>
      </c>
      <c r="C72" s="27">
        <f>IF(OR(18043.98219="",27314.07818=""),"-",27314.07818/18043.98219*100)</f>
        <v>151.37500077525848</v>
      </c>
      <c r="D72" s="27">
        <f>IF(18043.98219="","-",18043.98219/1239054.72912*100)</f>
        <v>1.4562699908191443</v>
      </c>
      <c r="E72" s="27">
        <f>IF(27314.07818="","-",27314.07818/1427899.35432*100)</f>
        <v>1.9128853933131458</v>
      </c>
      <c r="F72" s="27">
        <f>IF(OR(1284225.24461="",21513.48277="",18043.98219=""),"-",(18043.98219-21513.48277)/1284225.24461*100)</f>
        <v>-0.2701629324420916</v>
      </c>
      <c r="G72" s="27">
        <f>IF(OR(1239054.72912="",27314.07818="",18043.98219=""),"-",(27314.07818-18043.98219)/1239054.72912*100)</f>
        <v>0.748158719073192</v>
      </c>
    </row>
    <row r="73" spans="1:7" ht="15.75">
      <c r="A73" s="84" t="s">
        <v>27</v>
      </c>
      <c r="B73" s="84"/>
      <c r="C73" s="84"/>
      <c r="D73" s="84"/>
      <c r="E73" s="84"/>
      <c r="F73" s="84"/>
      <c r="G73" s="84"/>
    </row>
    <row r="74" spans="2:7" ht="15.75">
      <c r="B74" s="21"/>
      <c r="C74" s="22"/>
      <c r="D74" s="22"/>
      <c r="E74" s="22"/>
      <c r="F74" s="22"/>
      <c r="G74" s="22"/>
    </row>
  </sheetData>
  <sheetProtection/>
  <mergeCells count="11">
    <mergeCell ref="A73:G73"/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8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00390625" defaultRowHeight="15.75"/>
  <cols>
    <col min="1" max="1" width="28.125" style="0" customWidth="1"/>
    <col min="2" max="2" width="12.50390625" style="0" customWidth="1"/>
    <col min="3" max="3" width="10.00390625" style="0" customWidth="1"/>
    <col min="4" max="5" width="8.125" style="0" customWidth="1"/>
    <col min="6" max="6" width="10.125" style="0" customWidth="1"/>
    <col min="7" max="7" width="9.50390625" style="0" customWidth="1"/>
  </cols>
  <sheetData>
    <row r="1" spans="1:7" ht="15.75">
      <c r="A1" s="68" t="s">
        <v>116</v>
      </c>
      <c r="B1" s="68"/>
      <c r="C1" s="68"/>
      <c r="D1" s="68"/>
      <c r="E1" s="68"/>
      <c r="F1" s="68"/>
      <c r="G1" s="68"/>
    </row>
    <row r="2" spans="1:7" ht="15.75">
      <c r="A2" s="68" t="s">
        <v>35</v>
      </c>
      <c r="B2" s="68"/>
      <c r="C2" s="68"/>
      <c r="D2" s="68"/>
      <c r="E2" s="68"/>
      <c r="F2" s="68"/>
      <c r="G2" s="68"/>
    </row>
    <row r="3" ht="15.75">
      <c r="A3" s="5"/>
    </row>
    <row r="4" spans="1:7" ht="55.5" customHeight="1">
      <c r="A4" s="69"/>
      <c r="B4" s="72" t="s">
        <v>246</v>
      </c>
      <c r="C4" s="73"/>
      <c r="D4" s="72" t="s">
        <v>0</v>
      </c>
      <c r="E4" s="73"/>
      <c r="F4" s="74" t="s">
        <v>219</v>
      </c>
      <c r="G4" s="75"/>
    </row>
    <row r="5" spans="1:7" ht="18.75" customHeight="1">
      <c r="A5" s="70"/>
      <c r="B5" s="76" t="s">
        <v>195</v>
      </c>
      <c r="C5" s="78" t="s">
        <v>247</v>
      </c>
      <c r="D5" s="80" t="s">
        <v>248</v>
      </c>
      <c r="E5" s="80"/>
      <c r="F5" s="80" t="s">
        <v>248</v>
      </c>
      <c r="G5" s="72"/>
    </row>
    <row r="6" spans="1:7" ht="24" customHeight="1">
      <c r="A6" s="71"/>
      <c r="B6" s="77"/>
      <c r="C6" s="79"/>
      <c r="D6" s="18">
        <v>2016</v>
      </c>
      <c r="E6" s="18">
        <v>2017</v>
      </c>
      <c r="F6" s="18" t="s">
        <v>2</v>
      </c>
      <c r="G6" s="19" t="s">
        <v>186</v>
      </c>
    </row>
    <row r="7" spans="1:7" ht="15.75">
      <c r="A7" s="7" t="s">
        <v>197</v>
      </c>
      <c r="B7" s="34">
        <f>IF(3007987.9188="","-",3007987.9188)</f>
        <v>3007987.9188</v>
      </c>
      <c r="C7" s="34">
        <f>IF(2533522.81179="","-",3007987.9188/2533522.81179*100)</f>
        <v>118.72748509711575</v>
      </c>
      <c r="D7" s="34">
        <v>100</v>
      </c>
      <c r="E7" s="34">
        <v>100</v>
      </c>
      <c r="F7" s="34">
        <f>IF(2624773.92828="","-",(2533522.81179-2624773.92828)/2624773.92828*100)</f>
        <v>-3.4765324170145306</v>
      </c>
      <c r="G7" s="34">
        <f>IF(2533522.81179="","-",(3007987.9188-2533522.81179)/2533522.81179*100)</f>
        <v>18.72748509711574</v>
      </c>
    </row>
    <row r="8" spans="1:7" ht="12" customHeight="1">
      <c r="A8" s="8" t="s">
        <v>110</v>
      </c>
      <c r="B8" s="28"/>
      <c r="C8" s="28"/>
      <c r="D8" s="28"/>
      <c r="E8" s="28"/>
      <c r="F8" s="28"/>
      <c r="G8" s="28"/>
    </row>
    <row r="9" spans="1:7" ht="12.75" customHeight="1">
      <c r="A9" s="9" t="s">
        <v>36</v>
      </c>
      <c r="B9" s="26">
        <f>IF(314129.41523="","-",314129.41523)</f>
        <v>314129.41523</v>
      </c>
      <c r="C9" s="26">
        <f>IF(272793.40598="","-",314129.41523/272793.40598*100)</f>
        <v>115.15286232872894</v>
      </c>
      <c r="D9" s="26">
        <f>IF(272793.40598="","-",272793.40598/2533522.81179*100)</f>
        <v>10.767355427412326</v>
      </c>
      <c r="E9" s="26">
        <f>IF(314129.41523="","-",314129.41523/3007987.9188*100)</f>
        <v>10.443174098761608</v>
      </c>
      <c r="F9" s="26">
        <f>IF(2624773.92828="","-",(272793.40598-270203.53166)/2624773.92828*100)</f>
        <v>0.09867037660257214</v>
      </c>
      <c r="G9" s="26">
        <f>IF(2533522.81179="","-",(314129.41523-272793.40598)/2533522.81179*100)</f>
        <v>1.6315625443607131</v>
      </c>
    </row>
    <row r="10" spans="1:7" ht="14.25" customHeight="1">
      <c r="A10" s="8" t="s">
        <v>37</v>
      </c>
      <c r="B10" s="27">
        <f>IF(4521.06965="","-",4521.06965)</f>
        <v>4521.06965</v>
      </c>
      <c r="C10" s="27">
        <f>IF(OR(4554.36614="",4521.06965=""),"-",4521.06965/4554.36614*100)</f>
        <v>99.26891055799041</v>
      </c>
      <c r="D10" s="27">
        <f>IF(4554.36614="","-",4554.36614/2533522.81179*100)</f>
        <v>0.17976416548553675</v>
      </c>
      <c r="E10" s="27">
        <f>IF(4521.06965="","-",4521.06965/3007987.9188*100)</f>
        <v>0.15030212128656506</v>
      </c>
      <c r="F10" s="27">
        <f>IF(OR(2624773.92828="",5654.71819="",4554.36614=""),"-",(4554.36614-5654.71819)/2624773.92828*100)</f>
        <v>-0.04192178374466917</v>
      </c>
      <c r="G10" s="27">
        <f>IF(OR(2533522.81179="",4521.06965="",4554.36614=""),"-",(4521.06965-4554.36614)/2533522.81179*100)</f>
        <v>-0.0013142368343814074</v>
      </c>
    </row>
    <row r="11" spans="1:7" s="16" customFormat="1" ht="13.5" customHeight="1">
      <c r="A11" s="14" t="s">
        <v>38</v>
      </c>
      <c r="B11" s="27">
        <f>IF(23060.58318="","-",23060.58318)</f>
        <v>23060.58318</v>
      </c>
      <c r="C11" s="27">
        <f>IF(OR(16300.07439="",23060.58318=""),"-",23060.58318/16300.07439*100)</f>
        <v>141.47532476383995</v>
      </c>
      <c r="D11" s="27">
        <f>IF(16300.07439="","-",16300.07439/2533522.81179*100)</f>
        <v>0.6433758683421354</v>
      </c>
      <c r="E11" s="27">
        <f>IF(23060.58318="","-",23060.58318/3007987.9188*100)</f>
        <v>0.7666448071772755</v>
      </c>
      <c r="F11" s="27">
        <f>IF(OR(2624773.92828="",15988.64927="",16300.07439=""),"-",(16300.07439-15988.64927)/2624773.92828*100)</f>
        <v>0.011864835925281956</v>
      </c>
      <c r="G11" s="27">
        <f>IF(OR(2533522.81179="",23060.58318="",16300.07439=""),"-",(23060.58318-16300.07439)/2533522.81179*100)</f>
        <v>0.2668422308470759</v>
      </c>
    </row>
    <row r="12" spans="1:7" s="16" customFormat="1" ht="13.5" customHeight="1">
      <c r="A12" s="14" t="s">
        <v>39</v>
      </c>
      <c r="B12" s="27">
        <f>IF(34036.72035="","-",34036.72035)</f>
        <v>34036.72035</v>
      </c>
      <c r="C12" s="27">
        <f>IF(OR(25127.72377="",34036.72035=""),"-",34036.72035/25127.72377*100)</f>
        <v>135.45484923961342</v>
      </c>
      <c r="D12" s="27">
        <f>IF(25127.72377="","-",25127.72377/2533522.81179*100)</f>
        <v>0.991809651488656</v>
      </c>
      <c r="E12" s="27">
        <f>IF(34036.72035="","-",34036.72035/3007987.9188*100)</f>
        <v>1.131544449938434</v>
      </c>
      <c r="F12" s="27">
        <f>IF(OR(2624773.92828="",21695.91456="",25127.72377=""),"-",(25127.72377-21695.91456)/2624773.92828*100)</f>
        <v>0.13074684920574647</v>
      </c>
      <c r="G12" s="27">
        <f>IF(OR(2533522.81179="",34036.72035="",25127.72377=""),"-",(34036.72035-25127.72377)/2533522.81179*100)</f>
        <v>0.35164461667923813</v>
      </c>
    </row>
    <row r="13" spans="1:7" s="16" customFormat="1" ht="14.25" customHeight="1">
      <c r="A13" s="14" t="s">
        <v>40</v>
      </c>
      <c r="B13" s="27">
        <f>IF(26751.50315="","-",26751.50315)</f>
        <v>26751.50315</v>
      </c>
      <c r="C13" s="27">
        <f>IF(OR(25006.3437="",26751.50315=""),"-",26751.50315/25006.3437*100)</f>
        <v>106.97886692647513</v>
      </c>
      <c r="D13" s="27">
        <f>IF(25006.3437="","-",25006.3437/2533522.81179*100)</f>
        <v>0.9870186912717145</v>
      </c>
      <c r="E13" s="27">
        <f>IF(26751.50315="","-",26751.50315/3007987.9188*100)</f>
        <v>0.8893487564495335</v>
      </c>
      <c r="F13" s="27">
        <f>IF(OR(2624773.92828="",21297.3767="",25006.3437=""),"-",(25006.3437-21297.3767)/2624773.92828*100)</f>
        <v>0.14130615059981438</v>
      </c>
      <c r="G13" s="27">
        <f>IF(OR(2533522.81179="",26751.50315="",25006.3437=""),"-",(26751.50315-25006.3437)/2533522.81179*100)</f>
        <v>0.06888272100328942</v>
      </c>
    </row>
    <row r="14" spans="1:7" s="16" customFormat="1" ht="15" customHeight="1">
      <c r="A14" s="14" t="s">
        <v>41</v>
      </c>
      <c r="B14" s="27">
        <f>IF(42770.9866="","-",42770.9866)</f>
        <v>42770.9866</v>
      </c>
      <c r="C14" s="27">
        <f>IF(OR(38698.10721="",42770.9866=""),"-",42770.9866/38698.10721*100)</f>
        <v>110.52475090809486</v>
      </c>
      <c r="D14" s="27">
        <f>IF(38698.10721="","-",38698.10721/2533522.81179*100)</f>
        <v>1.5274426198143751</v>
      </c>
      <c r="E14" s="27">
        <f>IF(42770.9866="","-",42770.9866/3007987.9188*100)</f>
        <v>1.4219135101135298</v>
      </c>
      <c r="F14" s="27">
        <f>IF(OR(2624773.92828="",37997.51582="",38698.10721=""),"-",(38698.10721-37997.51582)/2624773.92828*100)</f>
        <v>0.02669149454936468</v>
      </c>
      <c r="G14" s="27">
        <f>IF(OR(2533522.81179="",42770.9866="",38698.10721=""),"-",(42770.9866-38698.10721)/2533522.81179*100)</f>
        <v>0.16075953099954127</v>
      </c>
    </row>
    <row r="15" spans="1:7" s="16" customFormat="1" ht="14.25" customHeight="1">
      <c r="A15" s="14" t="s">
        <v>42</v>
      </c>
      <c r="B15" s="27">
        <f>IF(66400.34814="","-",66400.34814)</f>
        <v>66400.34814</v>
      </c>
      <c r="C15" s="27">
        <f>IF(OR(62260.2732="",66400.34814=""),"-",66400.34814/62260.2732*100)</f>
        <v>106.64962539868841</v>
      </c>
      <c r="D15" s="27">
        <f>IF(62260.2732="","-",62260.2732/2533522.81179*100)</f>
        <v>2.457458559688732</v>
      </c>
      <c r="E15" s="27">
        <f>IF(66400.34814="","-",66400.34814/3007987.9188*100)</f>
        <v>2.2074672482890025</v>
      </c>
      <c r="F15" s="27">
        <f>IF(OR(2624773.92828="",82294.02919="",62260.2732=""),"-",(62260.2732-82294.02919)/2624773.92828*100)</f>
        <v>-0.7632564379793275</v>
      </c>
      <c r="G15" s="27">
        <f>IF(OR(2533522.81179="",66400.34814="",62260.2732=""),"-",(66400.34814-62260.2732)/2533522.81179*100)</f>
        <v>0.1634117885473045</v>
      </c>
    </row>
    <row r="16" spans="1:7" s="16" customFormat="1" ht="14.25" customHeight="1">
      <c r="A16" s="14" t="s">
        <v>43</v>
      </c>
      <c r="B16" s="27">
        <f>IF(24759.48769="","-",24759.48769)</f>
        <v>24759.48769</v>
      </c>
      <c r="C16" s="27" t="s">
        <v>214</v>
      </c>
      <c r="D16" s="27">
        <f>IF(14665.86577="","-",14665.86577/2533522.81179*100)</f>
        <v>0.5788724578184549</v>
      </c>
      <c r="E16" s="27">
        <f>IF(24759.48769="","-",24759.48769/3007987.9188*100)</f>
        <v>0.8231245722515234</v>
      </c>
      <c r="F16" s="27">
        <f>IF(OR(2624773.92828="",6269.89516="",14665.86577=""),"-",(14665.86577-6269.89516)/2624773.92828*100)</f>
        <v>0.3198740478004456</v>
      </c>
      <c r="G16" s="27">
        <f>IF(OR(2533522.81179="",24759.48769="",14665.86577=""),"-",(24759.48769-14665.86577)/2533522.81179*100)</f>
        <v>0.39840264603217024</v>
      </c>
    </row>
    <row r="17" spans="1:7" s="16" customFormat="1" ht="25.5">
      <c r="A17" s="14" t="s">
        <v>44</v>
      </c>
      <c r="B17" s="27">
        <f>IF(28144.78686="","-",28144.78686)</f>
        <v>28144.78686</v>
      </c>
      <c r="C17" s="27">
        <f>IF(OR(26818.95155="",28144.78686=""),"-",28144.78686/26818.95155*100)</f>
        <v>104.9436507893613</v>
      </c>
      <c r="D17" s="27">
        <f>IF(26818.95155="","-",26818.95155/2533522.81179*100)</f>
        <v>1.0585636499973612</v>
      </c>
      <c r="E17" s="27">
        <f>IF(28144.78686="","-",28144.78686/3007987.9188*100)</f>
        <v>0.9356682147589215</v>
      </c>
      <c r="F17" s="27">
        <f>IF(OR(2624773.92828="",25040.90498="",26818.95155=""),"-",(26818.95155-25040.90498)/2624773.92828*100)</f>
        <v>0.06774094145186615</v>
      </c>
      <c r="G17" s="27">
        <f>IF(OR(2533522.81179="",28144.78686="",26818.95155=""),"-",(28144.78686-26818.95155)/2533522.81179*100)</f>
        <v>0.052331690238986296</v>
      </c>
    </row>
    <row r="18" spans="1:7" s="16" customFormat="1" ht="25.5">
      <c r="A18" s="14" t="s">
        <v>45</v>
      </c>
      <c r="B18" s="27">
        <f>IF(20409.29178="","-",20409.29178)</f>
        <v>20409.29178</v>
      </c>
      <c r="C18" s="27">
        <f>IF(OR(17266.56344="",20409.29178=""),"-",20409.29178/17266.56344*100)</f>
        <v>118.20123819612827</v>
      </c>
      <c r="D18" s="27">
        <f>IF(17266.56344="","-",17266.56344/2533522.81179*100)</f>
        <v>0.6815238986461197</v>
      </c>
      <c r="E18" s="27">
        <f>IF(20409.29178="","-",20409.29178/3007987.9188*100)</f>
        <v>0.6785031167326642</v>
      </c>
      <c r="F18" s="27">
        <f>IF(OR(2624773.92828="",15278.2718="",17266.56344=""),"-",(17266.56344-15278.2718)/2624773.92828*100)</f>
        <v>0.07575096729579747</v>
      </c>
      <c r="G18" s="27">
        <f>IF(OR(2533522.81179="",20409.29178="",17266.56344=""),"-",(20409.29178-17266.56344)/2533522.81179*100)</f>
        <v>0.12404578815611998</v>
      </c>
    </row>
    <row r="19" spans="1:7" s="16" customFormat="1" ht="13.5" customHeight="1">
      <c r="A19" s="14" t="s">
        <v>46</v>
      </c>
      <c r="B19" s="27">
        <f>IF(43274.63783="","-",43274.63783)</f>
        <v>43274.63783</v>
      </c>
      <c r="C19" s="27">
        <f>IF(OR(42095.13681="",43274.63783=""),"-",43274.63783/42095.13681*100)</f>
        <v>102.80198880294363</v>
      </c>
      <c r="D19" s="27">
        <f>IF(42095.13681="","-",42095.13681/2533522.81179*100)</f>
        <v>1.6615258648592428</v>
      </c>
      <c r="E19" s="27">
        <f>IF(43274.63783="","-",43274.63783/3007987.9188*100)</f>
        <v>1.4386573017641602</v>
      </c>
      <c r="F19" s="27">
        <f>IF(OR(2624773.92828="",38686.25599="",42095.13681=""),"-",(42095.13681-38686.25599)/2624773.92828*100)</f>
        <v>0.1298733114982526</v>
      </c>
      <c r="G19" s="27">
        <f>IF(OR(2533522.81179="",43274.63783="",42095.13681=""),"-",(43274.63783-42095.13681)/2533522.81179*100)</f>
        <v>0.04655576869136804</v>
      </c>
    </row>
    <row r="20" spans="1:7" s="16" customFormat="1" ht="13.5" customHeight="1">
      <c r="A20" s="15" t="s">
        <v>47</v>
      </c>
      <c r="B20" s="26">
        <f>IF(72422.54175="","-",72422.54175)</f>
        <v>72422.54175</v>
      </c>
      <c r="C20" s="26">
        <f>IF(70239.4805="","-",72422.54175/70239.4805*100)</f>
        <v>103.108025905744</v>
      </c>
      <c r="D20" s="26">
        <f>IF(70239.4805="","-",70239.4805/2533522.81179*100)</f>
        <v>2.772403712851276</v>
      </c>
      <c r="E20" s="26">
        <f>IF(72422.54175="","-",72422.54175/3007987.9188*100)</f>
        <v>2.407673956978261</v>
      </c>
      <c r="F20" s="26">
        <f>IF(2624773.92828="","-",(70239.4805-65601.96733)/2624773.92828*100)</f>
        <v>0.1766823847202316</v>
      </c>
      <c r="G20" s="26">
        <f>IF(2533522.81179="","-",(72422.54175-70239.4805)/2533522.81179*100)</f>
        <v>0.08616702560722589</v>
      </c>
    </row>
    <row r="21" spans="1:7" s="16" customFormat="1" ht="15" customHeight="1">
      <c r="A21" s="14" t="s">
        <v>48</v>
      </c>
      <c r="B21" s="27">
        <f>IF(35611.64472="","-",35611.64472)</f>
        <v>35611.64472</v>
      </c>
      <c r="C21" s="27">
        <f>IF(OR(33222.67496="",35611.64472=""),"-",35611.64472/33222.67496*100)</f>
        <v>107.19078088346683</v>
      </c>
      <c r="D21" s="27">
        <f>IF(33222.67496="","-",33222.67496/2533522.81179*100)</f>
        <v>1.3113233007176797</v>
      </c>
      <c r="E21" s="27">
        <f>IF(35611.64472="","-",35611.64472/3007987.9188*100)</f>
        <v>1.1839025182723082</v>
      </c>
      <c r="F21" s="27">
        <f>IF(OR(2624773.92828="",25375.33034="",33222.67496=""),"-",(33222.67496-25375.33034)/2624773.92828*100)</f>
        <v>0.2989722099663767</v>
      </c>
      <c r="G21" s="27">
        <f>IF(OR(2533522.81179="",35611.64472="",33222.67496=""),"-",(35611.64472-33222.67496)/2533522.81179*100)</f>
        <v>0.09429438522845311</v>
      </c>
    </row>
    <row r="22" spans="1:7" s="16" customFormat="1" ht="14.25" customHeight="1">
      <c r="A22" s="14" t="s">
        <v>49</v>
      </c>
      <c r="B22" s="27">
        <f>IF(36810.89703="","-",36810.89703)</f>
        <v>36810.89703</v>
      </c>
      <c r="C22" s="27">
        <f>IF(OR(37016.80554="",36810.89703=""),"-",36810.89703/37016.80554*100)</f>
        <v>99.4437431674716</v>
      </c>
      <c r="D22" s="27">
        <f>IF(37016.80554="","-",37016.80554/2533522.81179*100)</f>
        <v>1.4610804121335959</v>
      </c>
      <c r="E22" s="27">
        <f>IF(36810.89703="","-",36810.89703/3007987.9188*100)</f>
        <v>1.2237714387059526</v>
      </c>
      <c r="F22" s="27">
        <f>IF(OR(2624773.92828="",40226.63699="",37016.80554=""),"-",(37016.80554-40226.63699)/2624773.92828*100)</f>
        <v>-0.12228982524614539</v>
      </c>
      <c r="G22" s="27">
        <f>IF(OR(2533522.81179="",36810.89703="",37016.80554=""),"-",(36810.89703-37016.80554)/2533522.81179*100)</f>
        <v>-0.008127359621227225</v>
      </c>
    </row>
    <row r="23" spans="1:7" s="16" customFormat="1" ht="25.5">
      <c r="A23" s="15" t="s">
        <v>50</v>
      </c>
      <c r="B23" s="26">
        <f>IF(77427.75006="","-",77427.75006)</f>
        <v>77427.75006</v>
      </c>
      <c r="C23" s="26">
        <f>IF(67559.67897="","-",77427.75006/67559.67897*100)</f>
        <v>114.60645053447034</v>
      </c>
      <c r="D23" s="26">
        <f>IF(67559.67897="","-",67559.67897/2533522.81179*100)</f>
        <v>2.666629984762889</v>
      </c>
      <c r="E23" s="26">
        <f>IF(77427.75006="","-",77427.75006/3007987.9188*100)</f>
        <v>2.574071178147845</v>
      </c>
      <c r="F23" s="26">
        <f>IF(2624773.92828="","-",(67559.67897-72701.55258)/2624773.92828*100)</f>
        <v>-0.1958977706460781</v>
      </c>
      <c r="G23" s="26">
        <f>IF(2533522.81179="","-",(77427.75006-67559.67897)/2533522.81179*100)</f>
        <v>0.3894999896617454</v>
      </c>
    </row>
    <row r="24" spans="1:7" s="16" customFormat="1" ht="14.25" customHeight="1">
      <c r="A24" s="14" t="s">
        <v>52</v>
      </c>
      <c r="B24" s="27">
        <f>IF(24583.38402="","-",24583.38402)</f>
        <v>24583.38402</v>
      </c>
      <c r="C24" s="27">
        <f>IF(OR(22104.56922="",24583.38402=""),"-",24583.38402/22104.56922*100)</f>
        <v>111.21403803588802</v>
      </c>
      <c r="D24" s="27">
        <f>IF(22104.56922="","-",22104.56922/2533522.81179*100)</f>
        <v>0.8724835283556238</v>
      </c>
      <c r="E24" s="27">
        <f>IF(24583.38402="","-",24583.38402/3007987.9188*100)</f>
        <v>0.817270038431778</v>
      </c>
      <c r="F24" s="27">
        <f>IF(OR(2624773.92828="",18573.47581="",22104.56922=""),"-",(22104.56922-18573.47581)/2624773.92828*100)</f>
        <v>0.1345294302094012</v>
      </c>
      <c r="G24" s="27">
        <f>IF(OR(2533522.81179="",24583.38402="",22104.56922=""),"-",(24583.38402-22104.56922)/2533522.81179*100)</f>
        <v>0.09784063472665765</v>
      </c>
    </row>
    <row r="25" spans="1:7" s="16" customFormat="1" ht="25.5">
      <c r="A25" s="14" t="s">
        <v>53</v>
      </c>
      <c r="B25" s="27">
        <f>IF(406.89175="","-",406.89175)</f>
        <v>406.89175</v>
      </c>
      <c r="C25" s="27">
        <f>IF(OR(428.08467="",406.89175=""),"-",406.89175/428.08467*100)</f>
        <v>95.04936254783428</v>
      </c>
      <c r="D25" s="27">
        <f>IF(428.08467="","-",428.08467/2533522.81179*100)</f>
        <v>0.016896815296387525</v>
      </c>
      <c r="E25" s="27">
        <f>IF(406.89175="","-",406.89175/3007987.9188*100)</f>
        <v>0.013527040699097105</v>
      </c>
      <c r="F25" s="27">
        <f>IF(OR(2624773.92828="",2132.41845="",428.08467=""),"-",(428.08467-2132.41845)/2624773.92828*100)</f>
        <v>-0.06493259330401993</v>
      </c>
      <c r="G25" s="27">
        <f>IF(OR(2533522.81179="",406.89175="",428.08467=""),"-",(406.89175-428.08467)/2533522.81179*100)</f>
        <v>-0.0008365000662862262</v>
      </c>
    </row>
    <row r="26" spans="1:7" s="16" customFormat="1" ht="13.5" customHeight="1">
      <c r="A26" s="14" t="s">
        <v>54</v>
      </c>
      <c r="B26" s="27">
        <f>IF(20677.21258="","-",20677.21258)</f>
        <v>20677.21258</v>
      </c>
      <c r="C26" s="27">
        <f>IF(OR(16680.7813="",20677.21258=""),"-",20677.21258/16680.7813*100)</f>
        <v>123.95829792457025</v>
      </c>
      <c r="D26" s="27">
        <f>IF(16680.7813="","-",16680.7813/2533522.81179*100)</f>
        <v>0.6584026487693075</v>
      </c>
      <c r="E26" s="27">
        <f>IF(20677.21258="","-",20677.21258/3007987.9188*100)</f>
        <v>0.6874100939956208</v>
      </c>
      <c r="F26" s="27">
        <f>IF(OR(2624773.92828="",17686.31279="",16680.7813=""),"-",(16680.7813-17686.31279)/2624773.92828*100)</f>
        <v>-0.0383092608154227</v>
      </c>
      <c r="G26" s="27">
        <f>IF(OR(2533522.81179="",20677.21258="",16680.7813=""),"-",(20677.21258-16680.7813)/2533522.81179*100)</f>
        <v>0.1577420681354125</v>
      </c>
    </row>
    <row r="27" spans="1:7" s="16" customFormat="1" ht="15" customHeight="1">
      <c r="A27" s="14" t="s">
        <v>55</v>
      </c>
      <c r="B27" s="27">
        <f>IF(345.13337="","-",345.13337)</f>
        <v>345.13337</v>
      </c>
      <c r="C27" s="27">
        <f>IF(OR(341.68832="",345.13337=""),"-",345.13337/341.68832*100)</f>
        <v>101.00824341903171</v>
      </c>
      <c r="D27" s="27">
        <f>IF(341.68832="","-",341.68832/2533522.81179*100)</f>
        <v>0.01348668811703291</v>
      </c>
      <c r="E27" s="27">
        <f>IF(345.13337="","-",345.13337/3007987.9188*100)</f>
        <v>0.011473894819952824</v>
      </c>
      <c r="F27" s="27">
        <f>IF(OR(2624773.92828="",200.78678="",341.68832=""),"-",(341.68832-200.78678)/2624773.92828*100)</f>
        <v>0.005368140032247729</v>
      </c>
      <c r="G27" s="27">
        <f>IF(OR(2533522.81179="",345.13337="",341.68832=""),"-",(345.13337-341.68832)/2533522.81179*100)</f>
        <v>0.00013597864538531703</v>
      </c>
    </row>
    <row r="28" spans="1:7" s="16" customFormat="1" ht="38.25">
      <c r="A28" s="14" t="s">
        <v>56</v>
      </c>
      <c r="B28" s="27">
        <f>IF(5429.28235="","-",5429.28235)</f>
        <v>5429.28235</v>
      </c>
      <c r="C28" s="27">
        <f>IF(OR(4931.37219="",5429.28235=""),"-",5429.28235/4931.37219*100)</f>
        <v>110.09678727980985</v>
      </c>
      <c r="D28" s="27">
        <f>IF(4931.37219="","-",4931.37219/2533522.81179*100)</f>
        <v>0.19464487025936256</v>
      </c>
      <c r="E28" s="27">
        <f>IF(5429.28235="","-",5429.28235/3007987.9188*100)</f>
        <v>0.18049548391025275</v>
      </c>
      <c r="F28" s="27">
        <f>IF(OR(2624773.92828="",8291.73542="",4931.37219=""),"-",(4931.37219-8291.73542)/2624773.92828*100)</f>
        <v>-0.12802486316229256</v>
      </c>
      <c r="G28" s="27">
        <f>IF(OR(2533522.81179="",5429.28235="",4931.37219=""),"-",(5429.28235-4931.37219)/2533522.81179*100)</f>
        <v>0.0196528785011497</v>
      </c>
    </row>
    <row r="29" spans="1:7" s="16" customFormat="1" ht="38.25">
      <c r="A29" s="14" t="s">
        <v>57</v>
      </c>
      <c r="B29" s="27">
        <f>IF(6595.9751="","-",6595.9751)</f>
        <v>6595.9751</v>
      </c>
      <c r="C29" s="27">
        <f>IF(OR(6709.71384="",6595.9751=""),"-",6595.9751/6709.71384*100)</f>
        <v>98.30486451863348</v>
      </c>
      <c r="D29" s="27">
        <f>IF(6709.71384="","-",6709.71384/2533522.81179*100)</f>
        <v>0.2648373169870695</v>
      </c>
      <c r="E29" s="27">
        <f>IF(6595.9751="","-",6595.9751/3007987.9188*100)</f>
        <v>0.21928196781559492</v>
      </c>
      <c r="F29" s="27">
        <f>IF(OR(2624773.92828="",7103.89587="",6709.71384=""),"-",(6709.71384-7103.89587)/2624773.92828*100)</f>
        <v>-0.015017751652932076</v>
      </c>
      <c r="G29" s="27">
        <f>IF(OR(2533522.81179="",6595.9751="",6709.71384=""),"-",(6595.9751-6709.71384)/2533522.81179*100)</f>
        <v>-0.004489351328146964</v>
      </c>
    </row>
    <row r="30" spans="1:7" s="16" customFormat="1" ht="14.25" customHeight="1">
      <c r="A30" s="14" t="s">
        <v>58</v>
      </c>
      <c r="B30" s="27">
        <f>IF(730.25144="","-",730.25144)</f>
        <v>730.25144</v>
      </c>
      <c r="C30" s="27">
        <f>IF(OR(557.80396="",730.25144=""),"-",730.25144/557.80396*100)</f>
        <v>130.91542770689546</v>
      </c>
      <c r="D30" s="27">
        <f>IF(557.80396="","-",557.80396/2533522.81179*100)</f>
        <v>0.022016930631301355</v>
      </c>
      <c r="E30" s="27">
        <f>IF(730.25144="","-",730.25144/3007987.9188*100)</f>
        <v>0.024277073569209176</v>
      </c>
      <c r="F30" s="27">
        <f>IF(OR(2624773.92828="",514.52095="",557.80396=""),"-",(557.80396-514.52095)/2624773.92828*100)</f>
        <v>0.0016490185891309544</v>
      </c>
      <c r="G30" s="27">
        <f>IF(OR(2533522.81179="",730.25144="",557.80396=""),"-",(730.25144-557.80396)/2533522.81179*100)</f>
        <v>0.006806628272597291</v>
      </c>
    </row>
    <row r="31" spans="1:7" s="16" customFormat="1" ht="25.5">
      <c r="A31" s="14" t="s">
        <v>59</v>
      </c>
      <c r="B31" s="27">
        <f>IF(18632.64852="","-",18632.64852)</f>
        <v>18632.64852</v>
      </c>
      <c r="C31" s="27">
        <f>IF(OR(15765.16675="",18632.64852=""),"-",18632.64852/15765.16675*100)</f>
        <v>118.18871830201225</v>
      </c>
      <c r="D31" s="27">
        <f>IF(15765.16675="","-",15765.16675/2533522.81179*100)</f>
        <v>0.6222626722220629</v>
      </c>
      <c r="E31" s="27">
        <f>IF(18632.64852="","-",18632.64852/3007987.9188*100)</f>
        <v>0.6194389413449927</v>
      </c>
      <c r="F31" s="27">
        <f>IF(OR(2624773.92828="",18190.74508="",15765.16675=""),"-",(15765.16675-18190.74508)/2624773.92828*100)</f>
        <v>-0.0924109426669545</v>
      </c>
      <c r="G31" s="27">
        <f>IF(OR(2533522.81179="",18632.64852="",15765.16675=""),"-",(18632.64852-15765.16675)/2533522.81179*100)</f>
        <v>0.11318160454904479</v>
      </c>
    </row>
    <row r="32" spans="1:7" s="16" customFormat="1" ht="25.5">
      <c r="A32" s="15" t="s">
        <v>60</v>
      </c>
      <c r="B32" s="26">
        <f>IF(464867.75277="","-",464867.75277)</f>
        <v>464867.75277</v>
      </c>
      <c r="C32" s="26">
        <f>IF(368178.60923="","-",464867.75277/368178.60923*100)</f>
        <v>126.26147774913197</v>
      </c>
      <c r="D32" s="26">
        <f>IF(368178.60923="","-",368178.60923/2533522.81179*100)</f>
        <v>14.532279224668681</v>
      </c>
      <c r="E32" s="26">
        <f>IF(464867.75277="","-",464867.75277/3007987.9188*100)</f>
        <v>15.454442149337266</v>
      </c>
      <c r="F32" s="26">
        <f>IF(2624773.92828="","-",(368178.60923-497051.09675)/2624773.92828*100)</f>
        <v>-4.909850944932597</v>
      </c>
      <c r="G32" s="26">
        <f>IF(2533522.81179="","-",(464867.75277-368178.60923)/2533522.81179*100)</f>
        <v>3.8163912750280944</v>
      </c>
    </row>
    <row r="33" spans="1:7" s="16" customFormat="1" ht="14.25" customHeight="1">
      <c r="A33" s="14" t="s">
        <v>61</v>
      </c>
      <c r="B33" s="27">
        <f>IF(13775.36019="","-",13775.36019)</f>
        <v>13775.36019</v>
      </c>
      <c r="C33" s="27" t="s">
        <v>189</v>
      </c>
      <c r="D33" s="27">
        <f>IF(5463.03563="","-",5463.03563/2533522.81179*100)</f>
        <v>0.2156300154305784</v>
      </c>
      <c r="E33" s="27">
        <f>IF(13775.36019="","-",13775.36019/3007987.9188*100)</f>
        <v>0.4579592924527274</v>
      </c>
      <c r="F33" s="27">
        <f>IF(OR(2624773.92828="",11102.85485="",5463.03563=""),"-",(5463.03563-11102.85485)/2624773.92828*100)</f>
        <v>-0.21486876104776542</v>
      </c>
      <c r="G33" s="27">
        <f>IF(OR(2533522.81179="",13775.36019="",5463.03563=""),"-",(13775.36019-5463.03563)/2533522.81179*100)</f>
        <v>0.32809353526709023</v>
      </c>
    </row>
    <row r="34" spans="1:7" s="16" customFormat="1" ht="25.5">
      <c r="A34" s="14" t="s">
        <v>62</v>
      </c>
      <c r="B34" s="27">
        <f>IF(287524.81841="","-",287524.81841)</f>
        <v>287524.81841</v>
      </c>
      <c r="C34" s="27">
        <f>IF(OR(220151.56718="",287524.81841=""),"-",287524.81841/220151.56718*100)</f>
        <v>130.6031213372714</v>
      </c>
      <c r="D34" s="27">
        <f>IF(220151.56718="","-",220151.56718/2533522.81179*100)</f>
        <v>8.689543514489106</v>
      </c>
      <c r="E34" s="27">
        <f>IF(287524.81841="","-",287524.81841/3007987.9188*100)</f>
        <v>9.558709215983304</v>
      </c>
      <c r="F34" s="27">
        <f>IF(OR(2624773.92828="",276687.17248="",220151.56718=""),"-",(220151.56718-276687.17248)/2624773.92828*100)</f>
        <v>-2.153922846111454</v>
      </c>
      <c r="G34" s="27">
        <f>IF(OR(2533522.81179="",287524.81841="",220151.56718=""),"-",(287524.81841-220151.56718)/2533522.81179*100)</f>
        <v>2.6592715453941</v>
      </c>
    </row>
    <row r="35" spans="1:7" s="16" customFormat="1" ht="25.5">
      <c r="A35" s="14" t="s">
        <v>63</v>
      </c>
      <c r="B35" s="27">
        <f>IF(119219.12286="","-",119219.12286)</f>
        <v>119219.12286</v>
      </c>
      <c r="C35" s="27">
        <f>IF(OR(142311.47703="",119219.12286=""),"-",119219.12286/142311.47703*100)</f>
        <v>83.77337186576173</v>
      </c>
      <c r="D35" s="27">
        <f>IF(142311.47703="","-",142311.47703/2533522.81179*100)</f>
        <v>5.617138174866215</v>
      </c>
      <c r="E35" s="27">
        <f>IF(119219.12286="","-",119219.12286/3007987.9188*100)</f>
        <v>3.963417609322082</v>
      </c>
      <c r="F35" s="27">
        <f>IF(OR(2624773.92828="",208438.39599="",142311.47703=""),"-",(142311.47703-208438.39599)/2624773.92828*100)</f>
        <v>-2.5193376940974335</v>
      </c>
      <c r="G35" s="27">
        <f>IF(OR(2533522.81179="",119219.12286="",142311.47703=""),"-",(119219.12286-142311.47703)/2533522.81179*100)</f>
        <v>-0.9114721234218788</v>
      </c>
    </row>
    <row r="36" spans="1:7" s="16" customFormat="1" ht="13.5" customHeight="1">
      <c r="A36" s="14" t="s">
        <v>64</v>
      </c>
      <c r="B36" s="27">
        <f>IF(44348.45131="","-",44348.45131)</f>
        <v>44348.45131</v>
      </c>
      <c r="C36" s="27" t="s">
        <v>265</v>
      </c>
      <c r="D36" s="27">
        <f>IF(252.52939="","-",252.52939/2533522.81179*100)</f>
        <v>0.009967519882782558</v>
      </c>
      <c r="E36" s="27">
        <f>IF(44348.45131="","-",44348.45131/3007987.9188*100)</f>
        <v>1.4743560315791517</v>
      </c>
      <c r="F36" s="27">
        <f>IF(OR(2624773.92828="",822.67343="",252.52939=""),"-",(252.52939-822.67343)/2624773.92828*100)</f>
        <v>-0.021721643675941732</v>
      </c>
      <c r="G36" s="27">
        <f>IF(OR(2533522.81179="",44348.45131="",252.52939=""),"-",(44348.45131-252.52939)/2533522.81179*100)</f>
        <v>1.7404983177887818</v>
      </c>
    </row>
    <row r="37" spans="1:7" s="16" customFormat="1" ht="25.5">
      <c r="A37" s="15" t="s">
        <v>65</v>
      </c>
      <c r="B37" s="26">
        <f>IF(10528.89335="","-",10528.89335)</f>
        <v>10528.89335</v>
      </c>
      <c r="C37" s="26" t="s">
        <v>215</v>
      </c>
      <c r="D37" s="26">
        <f>IF(6381.37316="","-",6381.37316/2533522.81179*100)</f>
        <v>0.25187746999173033</v>
      </c>
      <c r="E37" s="26">
        <f>IF(10528.89335="","-",10528.89335/3007987.9188*100)</f>
        <v>0.35003110498530104</v>
      </c>
      <c r="F37" s="26">
        <f>IF(2624773.92828="","-",(6381.37316-5629.56119)/2624773.92828*100)</f>
        <v>0.028642922801837566</v>
      </c>
      <c r="G37" s="26">
        <f>IF(2533522.81179="","-",(10528.89335-6381.37316)/2533522.81179*100)</f>
        <v>0.1637056580149625</v>
      </c>
    </row>
    <row r="38" spans="1:7" s="16" customFormat="1" ht="15" customHeight="1">
      <c r="A38" s="14" t="s">
        <v>66</v>
      </c>
      <c r="B38" s="27">
        <f>IF(738.23888="","-",738.23888)</f>
        <v>738.23888</v>
      </c>
      <c r="C38" s="27">
        <f>IF(OR(508.76115="",738.23888=""),"-",738.23888/508.76115*100)</f>
        <v>145.10519916860792</v>
      </c>
      <c r="D38" s="27">
        <f>IF(508.76115="","-",508.76115/2533522.81179*100)</f>
        <v>0.02008117501971679</v>
      </c>
      <c r="E38" s="27">
        <f>IF(738.23888="","-",738.23888/3007987.9188*100)</f>
        <v>0.024542614529333328</v>
      </c>
      <c r="F38" s="27">
        <f>IF(OR(2624773.92828="",399.72415="",508.76115=""),"-",(508.76115-399.72415)/2624773.92828*100)</f>
        <v>0.004154148242071702</v>
      </c>
      <c r="G38" s="27">
        <f>IF(OR(2533522.81179="",738.23888="",508.76115=""),"-",(738.23888-508.76115)/2533522.81179*100)</f>
        <v>0.009057653988039998</v>
      </c>
    </row>
    <row r="39" spans="1:7" s="16" customFormat="1" ht="25.5">
      <c r="A39" s="14" t="s">
        <v>111</v>
      </c>
      <c r="B39" s="27">
        <f>IF(8347.74454="","-",8347.74454)</f>
        <v>8347.74454</v>
      </c>
      <c r="C39" s="27" t="s">
        <v>213</v>
      </c>
      <c r="D39" s="27">
        <f>IF(4696.33837="","-",4696.33837/2533522.81179*100)</f>
        <v>0.18536791333178937</v>
      </c>
      <c r="E39" s="27">
        <f>IF(8347.74454="","-",8347.74454/3007987.9188*100)</f>
        <v>0.2775192176745919</v>
      </c>
      <c r="F39" s="27">
        <f>IF(OR(2624773.92828="",4003.57723="",4696.33837=""),"-",(4696.33837-4003.57723)/2624773.92828*100)</f>
        <v>0.026393173619107195</v>
      </c>
      <c r="G39" s="27">
        <f>IF(OR(2533522.81179="",8347.74454="",4696.33837=""),"-",(8347.74454-4696.33837)/2533522.81179*100)</f>
        <v>0.14412367447444396</v>
      </c>
    </row>
    <row r="40" spans="1:7" s="16" customFormat="1" ht="25.5">
      <c r="A40" s="14" t="s">
        <v>112</v>
      </c>
      <c r="B40" s="27">
        <f>IF(1442.90993="","-",1442.90993)</f>
        <v>1442.90993</v>
      </c>
      <c r="C40" s="27">
        <f>IF(OR(1176.27364="",1442.90993=""),"-",1442.90993/1176.27364*100)</f>
        <v>122.66787938901702</v>
      </c>
      <c r="D40" s="27">
        <f>IF(1176.27364="","-",1176.27364/2533522.81179*100)</f>
        <v>0.046428381640224184</v>
      </c>
      <c r="E40" s="27">
        <f>IF(1442.90993="","-",1442.90993/3007987.9188*100)</f>
        <v>0.04796927278137577</v>
      </c>
      <c r="F40" s="27">
        <f>IF(OR(2624773.92828="",1226.25981="",1176.27364=""),"-",(1176.27364-1226.25981)/2624773.92828*100)</f>
        <v>-0.0019043990593413046</v>
      </c>
      <c r="G40" s="27">
        <f>IF(OR(2533522.81179="",1442.90993="",1176.27364=""),"-",(1442.90993-1176.27364)/2533522.81179*100)</f>
        <v>0.010524329552478536</v>
      </c>
    </row>
    <row r="41" spans="1:7" s="16" customFormat="1" ht="25.5">
      <c r="A41" s="15" t="s">
        <v>69</v>
      </c>
      <c r="B41" s="26">
        <f>IF(478706.12083="","-",478706.12083)</f>
        <v>478706.12083</v>
      </c>
      <c r="C41" s="26">
        <f>IF(410380.70365="","-",478706.12083/410380.70365*100)</f>
        <v>116.64927628718931</v>
      </c>
      <c r="D41" s="26">
        <f>IF(410380.70365="","-",410380.70365/2533522.81179*100)</f>
        <v>16.19802678469097</v>
      </c>
      <c r="E41" s="26">
        <f>IF(478706.12083="","-",478706.12083/3007987.9188*100)</f>
        <v>15.91449612673225</v>
      </c>
      <c r="F41" s="26">
        <f>IF(2624773.92828="","-",(410380.70365-410174.97193)/2624773.92828*100)</f>
        <v>0.007838073892131215</v>
      </c>
      <c r="G41" s="26">
        <f>IF(2533522.81179="","-",(478706.12083-410380.70365)/2533522.81179*100)</f>
        <v>2.696854232456125</v>
      </c>
    </row>
    <row r="42" spans="1:7" s="16" customFormat="1" ht="14.25" customHeight="1">
      <c r="A42" s="14" t="s">
        <v>70</v>
      </c>
      <c r="B42" s="27">
        <f>IF(13693.70688="","-",13693.70688)</f>
        <v>13693.70688</v>
      </c>
      <c r="C42" s="27">
        <f>IF(OR(10827.47801="",13693.70688=""),"-",13693.70688/10827.47801*100)</f>
        <v>126.47180504410001</v>
      </c>
      <c r="D42" s="27">
        <f>IF(10827.47801="","-",10827.47801/2533522.81179*100)</f>
        <v>0.4273684831102864</v>
      </c>
      <c r="E42" s="27">
        <f>IF(13693.70688="","-",13693.70688/3007987.9188*100)</f>
        <v>0.45524474331874765</v>
      </c>
      <c r="F42" s="27">
        <f>IF(OR(2624773.92828="",11676.03059="",10827.47801=""),"-",(10827.47801-11676.03059)/2624773.92828*100)</f>
        <v>-0.03232859679294557</v>
      </c>
      <c r="G42" s="27">
        <f>IF(OR(2533522.81179="",13693.70688="",10827.47801=""),"-",(13693.70688-10827.47801)/2533522.81179*100)</f>
        <v>0.11313215166888248</v>
      </c>
    </row>
    <row r="43" spans="1:7" s="16" customFormat="1" ht="14.25" customHeight="1">
      <c r="A43" s="14" t="s">
        <v>71</v>
      </c>
      <c r="B43" s="27">
        <f>IF(7799.00742="","-",7799.00742)</f>
        <v>7799.00742</v>
      </c>
      <c r="C43" s="27">
        <f>IF(OR(9438.95884="",7799.00742=""),"-",7799.00742/9438.95884*100)</f>
        <v>82.62571701181399</v>
      </c>
      <c r="D43" s="27">
        <f>IF(9438.95884="","-",9438.95884/2533522.81179*100)</f>
        <v>0.3725626150305364</v>
      </c>
      <c r="E43" s="27">
        <f>IF(7799.00742="","-",7799.00742/3007987.9188*100)</f>
        <v>0.25927655398002125</v>
      </c>
      <c r="F43" s="27">
        <f>IF(OR(2624773.92828="",7882.47847="",9438.95884=""),"-",(9438.95884-7882.47847)/2624773.92828*100)</f>
        <v>0.05929959731884232</v>
      </c>
      <c r="G43" s="27">
        <f>IF(OR(2533522.81179="",7799.00742="",9438.95884=""),"-",(7799.00742-9438.95884)/2533522.81179*100)</f>
        <v>-0.06473008304359142</v>
      </c>
    </row>
    <row r="44" spans="1:7" s="16" customFormat="1" ht="15" customHeight="1">
      <c r="A44" s="14" t="s">
        <v>72</v>
      </c>
      <c r="B44" s="27">
        <f>IF(21228.84901="","-",21228.84901)</f>
        <v>21228.84901</v>
      </c>
      <c r="C44" s="27">
        <f>IF(OR(19437.88907="",21228.84901=""),"-",21228.84901/19437.88907*100)</f>
        <v>109.2137573866708</v>
      </c>
      <c r="D44" s="27">
        <f>IF(19437.88907="","-",19437.88907/2533522.81179*100)</f>
        <v>0.7672277107411014</v>
      </c>
      <c r="E44" s="27">
        <f>IF(21228.84901="","-",21228.84901/3007987.9188*100)</f>
        <v>0.7057491447129545</v>
      </c>
      <c r="F44" s="27">
        <f>IF(OR(2624773.92828="",18608.86919="",19437.88907=""),"-",(19437.88907-18608.86919)/2624773.92828*100)</f>
        <v>0.03158442984624021</v>
      </c>
      <c r="G44" s="27">
        <f>IF(OR(2533522.81179="",21228.84901="",19437.88907=""),"-",(21228.84901-19437.88907)/2533522.81179*100)</f>
        <v>0.07069049987099349</v>
      </c>
    </row>
    <row r="45" spans="1:7" s="16" customFormat="1" ht="15" customHeight="1">
      <c r="A45" s="14" t="s">
        <v>73</v>
      </c>
      <c r="B45" s="27">
        <f>IF(140576.02022="","-",140576.02022)</f>
        <v>140576.02022</v>
      </c>
      <c r="C45" s="27">
        <f>IF(OR(104900.11817="",140576.02022=""),"-",140576.02022/104900.11817*100)</f>
        <v>134.0094012021836</v>
      </c>
      <c r="D45" s="27">
        <f>IF(104900.11817="","-",104900.11817/2533522.81179*100)</f>
        <v>4.140484454366737</v>
      </c>
      <c r="E45" s="27">
        <f>IF(140576.02022="","-",140576.02022/3007987.9188*100)</f>
        <v>4.673423697661694</v>
      </c>
      <c r="F45" s="27">
        <f>IF(OR(2624773.92828="",110287.77108="",104900.11817=""),"-",(104900.11817-110287.77108)/2624773.92828*100)</f>
        <v>-0.20526159803524502</v>
      </c>
      <c r="G45" s="27">
        <f>IF(OR(2533522.81179="",140576.02022="",104900.11817=""),"-",(140576.02022-104900.11817)/2533522.81179*100)</f>
        <v>1.4081539697996264</v>
      </c>
    </row>
    <row r="46" spans="1:7" s="16" customFormat="1" ht="38.25">
      <c r="A46" s="14" t="s">
        <v>74</v>
      </c>
      <c r="B46" s="27">
        <f>IF(71247.3043="","-",71247.3043)</f>
        <v>71247.3043</v>
      </c>
      <c r="C46" s="27">
        <f>IF(OR(72106.3755="",71247.3043=""),"-",71247.3043/72106.3755*100)</f>
        <v>98.80860576607405</v>
      </c>
      <c r="D46" s="27">
        <f>IF(72106.3755="","-",72106.3755/2533522.81179*100)</f>
        <v>2.8460914251273293</v>
      </c>
      <c r="E46" s="27">
        <f>IF(71247.3043="","-",71247.3043/3007987.9188*100)</f>
        <v>2.3686034061075367</v>
      </c>
      <c r="F46" s="27">
        <f>IF(OR(2624773.92828="",71834.49588="",72106.3755=""),"-",(72106.3755-71834.49588)/2624773.92828*100)</f>
        <v>0.01035821093278512</v>
      </c>
      <c r="G46" s="27">
        <f>IF(OR(2533522.81179="",71247.3043="",72106.3755=""),"-",(71247.3043-72106.3755)/2533522.81179*100)</f>
        <v>-0.03390816913122779</v>
      </c>
    </row>
    <row r="47" spans="1:7" s="16" customFormat="1" ht="15.75">
      <c r="A47" s="14" t="s">
        <v>75</v>
      </c>
      <c r="B47" s="27">
        <f>IF(44998.96502="","-",44998.96502)</f>
        <v>44998.96502</v>
      </c>
      <c r="C47" s="27">
        <f>IF(OR(35713.87043="",44998.96502=""),"-",44998.96502/35713.87043*100)</f>
        <v>125.99856716229903</v>
      </c>
      <c r="D47" s="27">
        <f>IF(35713.87043="","-",35713.87043/2533522.81179*100)</f>
        <v>1.4096526095522786</v>
      </c>
      <c r="E47" s="27">
        <f>IF(44998.96502="","-",44998.96502/3007987.9188*100)</f>
        <v>1.4959822391159001</v>
      </c>
      <c r="F47" s="27">
        <f>IF(OR(2624773.92828="",34221.48702="",35713.87043=""),"-",(35713.87043-34221.48702)/2624773.92828*100)</f>
        <v>0.05685759805523339</v>
      </c>
      <c r="G47" s="27">
        <f>IF(OR(2533522.81179="",44998.96502="",35713.87043=""),"-",(44998.96502-35713.87043)/2533522.81179*100)</f>
        <v>0.36648948044954993</v>
      </c>
    </row>
    <row r="48" spans="1:7" s="16" customFormat="1" ht="14.25" customHeight="1">
      <c r="A48" s="14" t="s">
        <v>76</v>
      </c>
      <c r="B48" s="27">
        <f>IF(33221.29349="","-",33221.29349)</f>
        <v>33221.29349</v>
      </c>
      <c r="C48" s="27">
        <f>IF(OR(30265.88375="",33221.29349=""),"-",33221.29349/30265.88375*100)</f>
        <v>109.764822215046</v>
      </c>
      <c r="D48" s="27">
        <f>IF(30265.88375="","-",30265.88375/2533522.81179*100)</f>
        <v>1.1946165871945065</v>
      </c>
      <c r="E48" s="27">
        <f>IF(33221.29349="","-",33221.29349/3007987.9188*100)</f>
        <v>1.1044357353420897</v>
      </c>
      <c r="F48" s="27">
        <f>IF(OR(2624773.92828="",33354.65963="",30265.88375=""),"-",(30265.88375-33354.65963)/2624773.92828*100)</f>
        <v>-0.11767778728372462</v>
      </c>
      <c r="G48" s="27">
        <f>IF(OR(2533522.81179="",33221.29349="",30265.88375=""),"-",(33221.29349-30265.88375)/2533522.81179*100)</f>
        <v>0.11665218589099347</v>
      </c>
    </row>
    <row r="49" spans="1:7" s="16" customFormat="1" ht="13.5" customHeight="1">
      <c r="A49" s="14" t="s">
        <v>77</v>
      </c>
      <c r="B49" s="27">
        <f>IF(62015.97487="","-",62015.97487)</f>
        <v>62015.97487</v>
      </c>
      <c r="C49" s="27">
        <f>IF(OR(54156.58903="",62015.97487=""),"-",62015.97487/54156.58903*100)</f>
        <v>114.51233539772288</v>
      </c>
      <c r="D49" s="27">
        <f>IF(54156.58903="","-",54156.58903/2533522.81179*100)</f>
        <v>2.1376002133462912</v>
      </c>
      <c r="E49" s="27">
        <f>IF(62015.97487="","-",62015.97487/3007987.9188*100)</f>
        <v>2.061709572781147</v>
      </c>
      <c r="F49" s="27">
        <f>IF(OR(2624773.92828="",54641.35156="",54156.58903=""),"-",(54156.58903-54641.35156)/2624773.92828*100)</f>
        <v>-0.018468734574701533</v>
      </c>
      <c r="G49" s="27">
        <f>IF(OR(2533522.81179="",62015.97487="",54156.58903=""),"-",(62015.97487-54156.58903)/2533522.81179*100)</f>
        <v>0.31021571242325363</v>
      </c>
    </row>
    <row r="50" spans="1:7" s="16" customFormat="1" ht="16.5" customHeight="1">
      <c r="A50" s="14" t="s">
        <v>78</v>
      </c>
      <c r="B50" s="27">
        <f>IF(83924.99962="","-",83924.99962)</f>
        <v>83924.99962</v>
      </c>
      <c r="C50" s="27">
        <f>IF(OR(73533.54085="",83924.99962=""),"-",83924.99962/73533.54085*100)</f>
        <v>114.13159035982964</v>
      </c>
      <c r="D50" s="27">
        <f>IF(73533.54085="","-",73533.54085/2533522.81179*100)</f>
        <v>2.902422686221903</v>
      </c>
      <c r="E50" s="27">
        <f>IF(83924.99962="","-",83924.99962/3007987.9188*100)</f>
        <v>2.790071033712158</v>
      </c>
      <c r="F50" s="27">
        <f>IF(OR(2624773.92828="",67667.82851="",73533.54085=""),"-",(73533.54085-67667.82851)/2624773.92828*100)</f>
        <v>0.22347495442564713</v>
      </c>
      <c r="G50" s="27">
        <f>IF(OR(2533522.81179="",83924.99962="",73533.54085=""),"-",(83924.99962-73533.54085)/2533522.81179*100)</f>
        <v>0.41015848452764314</v>
      </c>
    </row>
    <row r="51" spans="1:7" s="16" customFormat="1" ht="25.5">
      <c r="A51" s="15" t="s">
        <v>79</v>
      </c>
      <c r="B51" s="26">
        <f>IF(617578.40641="","-",617578.40641)</f>
        <v>617578.40641</v>
      </c>
      <c r="C51" s="26">
        <f>IF(560938.30109="","-",617578.40641/560938.30109*100)</f>
        <v>110.09738597095948</v>
      </c>
      <c r="D51" s="26">
        <f>IF(560938.30109="","-",560938.30109/2533522.81179*100)</f>
        <v>22.140645368560243</v>
      </c>
      <c r="E51" s="26">
        <f>IF(617578.40641="","-",617578.40641/3007987.9188*100)</f>
        <v>20.53127948254444</v>
      </c>
      <c r="F51" s="26">
        <f>IF(2624773.92828="","-",(560938.30109-528234.87073)/2624773.92828*100)</f>
        <v>1.245952270694428</v>
      </c>
      <c r="G51" s="26">
        <f>IF(2533522.81179="","-",(617578.40641-560938.30109)/2533522.81179*100)</f>
        <v>2.2356264193248916</v>
      </c>
    </row>
    <row r="52" spans="1:7" s="16" customFormat="1" ht="15.75">
      <c r="A52" s="14" t="s">
        <v>80</v>
      </c>
      <c r="B52" s="27">
        <f>IF(27294.98335="","-",27294.98335)</f>
        <v>27294.98335</v>
      </c>
      <c r="C52" s="27">
        <f>IF(OR(25603.74049="",27294.98335=""),"-",27294.98335/25603.74049*100)</f>
        <v>106.60545228014846</v>
      </c>
      <c r="D52" s="27">
        <f>IF(25603.74049="","-",25603.74049/2533522.81179*100)</f>
        <v>1.0105983798863167</v>
      </c>
      <c r="E52" s="27">
        <f>IF(27294.98335="","-",27294.98335/3007987.9188*100)</f>
        <v>0.9074166548145246</v>
      </c>
      <c r="F52" s="27">
        <f>IF(OR(2624773.92828="",20212.37325="",25603.74049=""),"-",(25603.74049-20212.37325)/2624773.92828*100)</f>
        <v>0.20540310850820334</v>
      </c>
      <c r="G52" s="27">
        <f>IF(OR(2533522.81179="",27294.98335="",25603.74049=""),"-",(27294.98335-25603.74049)/2533522.81179*100)</f>
        <v>0.06675459372734407</v>
      </c>
    </row>
    <row r="53" spans="1:7" s="16" customFormat="1" ht="15" customHeight="1">
      <c r="A53" s="14" t="s">
        <v>81</v>
      </c>
      <c r="B53" s="27">
        <f>IF(33442.5452="","-",33442.5452)</f>
        <v>33442.5452</v>
      </c>
      <c r="C53" s="27">
        <f>IF(OR(38371.31956="",33442.5452=""),"-",33442.5452/38371.31956*100)</f>
        <v>87.1550563897261</v>
      </c>
      <c r="D53" s="27">
        <f>IF(38371.31956="","-",38371.31956/2533522.81179*100)</f>
        <v>1.5145440720500032</v>
      </c>
      <c r="E53" s="27">
        <f>IF(33442.5452="","-",33442.5452/3007987.9188*100)</f>
        <v>1.1117912073709888</v>
      </c>
      <c r="F53" s="27">
        <f>IF(OR(2624773.92828="",31965.1986="",38371.31956=""),"-",(38371.31956-31965.1986)/2624773.92828*100)</f>
        <v>0.24406372263069145</v>
      </c>
      <c r="G53" s="27">
        <f>IF(OR(2533522.81179="",33442.5452="",38371.31956=""),"-",(33442.5452-38371.31956)/2533522.81179*100)</f>
        <v>-0.19454233200756912</v>
      </c>
    </row>
    <row r="54" spans="1:7" s="16" customFormat="1" ht="13.5" customHeight="1">
      <c r="A54" s="14" t="s">
        <v>82</v>
      </c>
      <c r="B54" s="27">
        <f>IF(42038.49712="","-",42038.49712)</f>
        <v>42038.49712</v>
      </c>
      <c r="C54" s="27">
        <f>IF(OR(35866.04529="",42038.49712=""),"-",42038.49712/35866.04529*100)</f>
        <v>117.20973634001675</v>
      </c>
      <c r="D54" s="27">
        <f>IF(35866.04529="","-",35866.04529/2533522.81179*100)</f>
        <v>1.4156590626732783</v>
      </c>
      <c r="E54" s="27">
        <f>IF(42038.49712="","-",42038.49712/3007987.9188*100)</f>
        <v>1.397562033319959</v>
      </c>
      <c r="F54" s="27">
        <f>IF(OR(2624773.92828="",35815.26645="",35866.04529=""),"-",(35866.04529-35815.26645)/2624773.92828*100)</f>
        <v>0.0019345986125850515</v>
      </c>
      <c r="G54" s="27">
        <f>IF(OR(2533522.81179="",42038.49712="",35866.04529=""),"-",(42038.49712-35866.04529)/2533522.81179*100)</f>
        <v>0.24363119215962378</v>
      </c>
    </row>
    <row r="55" spans="1:7" s="16" customFormat="1" ht="25.5">
      <c r="A55" s="14" t="s">
        <v>83</v>
      </c>
      <c r="B55" s="27">
        <f>IF(54493.52261="","-",54493.52261)</f>
        <v>54493.52261</v>
      </c>
      <c r="C55" s="27">
        <f>IF(OR(50981.00507="",54493.52261=""),"-",54493.52261/50981.00507*100)</f>
        <v>106.88985541806619</v>
      </c>
      <c r="D55" s="27">
        <f>IF(50981.00507="","-",50981.00507/2533522.81179*100)</f>
        <v>2.0122575898174206</v>
      </c>
      <c r="E55" s="27">
        <f>IF(54493.52261="","-",54493.52261/3007987.9188*100)</f>
        <v>1.8116270437595217</v>
      </c>
      <c r="F55" s="27">
        <f>IF(OR(2624773.92828="",51708.12799="",50981.00507=""),"-",(50981.00507-51708.12799)/2624773.92828*100)</f>
        <v>-0.027702306555463282</v>
      </c>
      <c r="G55" s="27">
        <f>IF(OR(2533522.81179="",54493.52261="",50981.00507=""),"-",(54493.52261-50981.00507)/2533522.81179*100)</f>
        <v>0.13864163857748396</v>
      </c>
    </row>
    <row r="56" spans="1:7" s="16" customFormat="1" ht="25.5">
      <c r="A56" s="14" t="s">
        <v>84</v>
      </c>
      <c r="B56" s="27">
        <f>IF(179576.91127="","-",179576.91127)</f>
        <v>179576.91127</v>
      </c>
      <c r="C56" s="27">
        <f>IF(OR(166501.41995="",179576.91127=""),"-",179576.91127/166501.41995*100)</f>
        <v>107.85308096707315</v>
      </c>
      <c r="D56" s="27">
        <f>IF(166501.41995="","-",166501.41995/2533522.81179*100)</f>
        <v>6.571932929720195</v>
      </c>
      <c r="E56" s="27">
        <f>IF(179576.91127="","-",179576.91127/3007987.9188*100)</f>
        <v>5.9700010810429065</v>
      </c>
      <c r="F56" s="27">
        <f>IF(OR(2624773.92828="",133304.04099="",166501.41995=""),"-",(166501.41995-133304.04099)/2624773.92828*100)</f>
        <v>1.2647709809337393</v>
      </c>
      <c r="G56" s="27">
        <f>IF(OR(2533522.81179="",179576.91127="",166501.41995=""),"-",(179576.91127-166501.41995)/2533522.81179*100)</f>
        <v>0.51609921407267</v>
      </c>
    </row>
    <row r="57" spans="1:7" s="16" customFormat="1" ht="13.5" customHeight="1">
      <c r="A57" s="14" t="s">
        <v>85</v>
      </c>
      <c r="B57" s="27">
        <f>IF(75457.25758="","-",75457.25758)</f>
        <v>75457.25758</v>
      </c>
      <c r="C57" s="27">
        <f>IF(OR(66464.84476="",75457.25758=""),"-",75457.25758/66464.84476*100)</f>
        <v>113.52957770753996</v>
      </c>
      <c r="D57" s="27">
        <f>IF(66464.84476="","-",66464.84476/2533522.81179*100)</f>
        <v>2.6234160770409978</v>
      </c>
      <c r="E57" s="27">
        <f>IF(75457.25758="","-",75457.25758/3007987.9188*100)</f>
        <v>2.508562521424712</v>
      </c>
      <c r="F57" s="27">
        <f>IF(OR(2624773.92828="",65849.29184="",66464.84476=""),"-",(66464.84476-65849.29184)/2624773.92828*100)</f>
        <v>0.023451654764163644</v>
      </c>
      <c r="G57" s="27">
        <f>IF(OR(2533522.81179="",75457.25758="",66464.84476=""),"-",(75457.25758-66464.84476)/2533522.81179*100)</f>
        <v>0.354937116735358</v>
      </c>
    </row>
    <row r="58" spans="1:7" s="16" customFormat="1" ht="14.25" customHeight="1">
      <c r="A58" s="14" t="s">
        <v>86</v>
      </c>
      <c r="B58" s="27">
        <f>IF(68838.95389="","-",68838.95389)</f>
        <v>68838.95389</v>
      </c>
      <c r="C58" s="27">
        <f>IF(OR(62556.81839="",68838.95389=""),"-",68838.95389/62556.81839*100)</f>
        <v>110.0422874143552</v>
      </c>
      <c r="D58" s="27">
        <f>IF(62556.81839="","-",62556.81839/2533522.81179*100)</f>
        <v>2.469163415418469</v>
      </c>
      <c r="E58" s="27">
        <f>IF(68838.95389="","-",68838.95389/3007987.9188*100)</f>
        <v>2.2885382437793322</v>
      </c>
      <c r="F58" s="27">
        <f>IF(OR(2624773.92828="",70249.0935="",62556.81839=""),"-",(62556.81839-70249.0935)/2624773.92828*100)</f>
        <v>-0.2930642912565315</v>
      </c>
      <c r="G58" s="27">
        <f>IF(OR(2533522.81179="",68838.95389="",62556.81839=""),"-",(68838.95389-62556.81839)/2533522.81179*100)</f>
        <v>0.24796048690643174</v>
      </c>
    </row>
    <row r="59" spans="1:7" s="16" customFormat="1" ht="14.25" customHeight="1">
      <c r="A59" s="14" t="s">
        <v>87</v>
      </c>
      <c r="B59" s="27">
        <f>IF(50643.87665="","-",50643.87665)</f>
        <v>50643.87665</v>
      </c>
      <c r="C59" s="27">
        <f>IF(OR(35785.75453="",50643.87665=""),"-",50643.87665/35785.75453*100)</f>
        <v>141.51965583831438</v>
      </c>
      <c r="D59" s="27">
        <f>IF(35785.75453="","-",35785.75453/2533522.81179*100)</f>
        <v>1.4124899276007081</v>
      </c>
      <c r="E59" s="27">
        <f>IF(50643.87665="","-",50643.87665/3007987.9188*100)</f>
        <v>1.6836462784133706</v>
      </c>
      <c r="F59" s="27">
        <f>IF(OR(2624773.92828="",45234.45734="",35785.75453=""),"-",(35785.75453-45234.45734)/2624773.92828*100)</f>
        <v>-0.359981585773815</v>
      </c>
      <c r="G59" s="27">
        <f>IF(OR(2533522.81179="",50643.87665="",35785.75453=""),"-",(50643.87665-35785.75453)/2533522.81179*100)</f>
        <v>0.5864609566906701</v>
      </c>
    </row>
    <row r="60" spans="1:7" s="16" customFormat="1" ht="15" customHeight="1">
      <c r="A60" s="14" t="s">
        <v>88</v>
      </c>
      <c r="B60" s="27">
        <f>IF(85791.85874="","-",85791.85874)</f>
        <v>85791.85874</v>
      </c>
      <c r="C60" s="27">
        <f>IF(OR(78807.35305="",85791.85874=""),"-",85791.85874/78807.35305*100)</f>
        <v>108.86275889201431</v>
      </c>
      <c r="D60" s="27">
        <f>IF(78807.35305="","-",78807.35305/2533522.81179*100)</f>
        <v>3.1105839143528593</v>
      </c>
      <c r="E60" s="27">
        <f>IF(85791.85874="","-",85791.85874/3007987.9188*100)</f>
        <v>2.852134418619128</v>
      </c>
      <c r="F60" s="27">
        <f>IF(OR(2624773.92828="",73897.02077="",78807.35305=""),"-",(78807.35305-73897.02077)/2624773.92828*100)</f>
        <v>0.18707638883085506</v>
      </c>
      <c r="G60" s="27">
        <f>IF(OR(2533522.81179="",85791.85874="",78807.35305=""),"-",(85791.85874-78807.35305)/2533522.81179*100)</f>
        <v>0.27568355246287496</v>
      </c>
    </row>
    <row r="61" spans="1:7" s="16" customFormat="1" ht="15" customHeight="1">
      <c r="A61" s="15" t="s">
        <v>89</v>
      </c>
      <c r="B61" s="26">
        <f>IF(651546.9466="","-",651546.9466)</f>
        <v>651546.9466</v>
      </c>
      <c r="C61" s="26">
        <f>IF(529417.18633="","-",651546.9466/529417.18633*100)</f>
        <v>123.0687184744836</v>
      </c>
      <c r="D61" s="26">
        <f>IF(529417.18633="","-",529417.18633/2533522.81179*100)</f>
        <v>20.89648389453233</v>
      </c>
      <c r="E61" s="26">
        <f>IF(651546.9466="","-",651546.9466/3007987.9188*100)</f>
        <v>21.66055729571968</v>
      </c>
      <c r="F61" s="26">
        <f>IF(2624773.92828="","-",(529417.18633-533946.98649)/2624773.92828*100)</f>
        <v>-0.172578678536644</v>
      </c>
      <c r="G61" s="26">
        <f>IF(2533522.81179="","-",(651546.9466-529417.18633)/2533522.81179*100)</f>
        <v>4.820551040695469</v>
      </c>
    </row>
    <row r="62" spans="1:7" s="16" customFormat="1" ht="25.5">
      <c r="A62" s="14" t="s">
        <v>113</v>
      </c>
      <c r="B62" s="27">
        <f>IF(9993.47724="","-",9993.47724)</f>
        <v>9993.47724</v>
      </c>
      <c r="C62" s="27">
        <f>IF(OR(6872.28742="",9993.47724=""),"-",9993.47724/6872.28742*100)</f>
        <v>145.4170442714109</v>
      </c>
      <c r="D62" s="27">
        <f>IF(6872.28742="","-",6872.28742/2533522.81179*100)</f>
        <v>0.27125421519866044</v>
      </c>
      <c r="E62" s="27">
        <f>IF(9993.47724="","-",9993.47724/3007987.9188*100)</f>
        <v>0.3322312957954557</v>
      </c>
      <c r="F62" s="27">
        <f>IF(OR(2624773.92828="",7956.19266="",6872.28742=""),"-",(6872.28742-7956.19266)/2624773.92828*100)</f>
        <v>-0.04129518463749284</v>
      </c>
      <c r="G62" s="27">
        <f>IF(OR(2533522.81179="",9993.47724="",6872.28742=""),"-",(9993.47724-6872.28742)/2533522.81179*100)</f>
        <v>0.12319564700484374</v>
      </c>
    </row>
    <row r="63" spans="1:7" s="16" customFormat="1" ht="25.5">
      <c r="A63" s="14" t="s">
        <v>91</v>
      </c>
      <c r="B63" s="27">
        <f>IF(101610.23035="","-",101610.23035)</f>
        <v>101610.23035</v>
      </c>
      <c r="C63" s="27">
        <f>IF(OR(83476.62619="",101610.23035=""),"-",101610.23035/83476.62619*100)</f>
        <v>121.722972031388</v>
      </c>
      <c r="D63" s="27">
        <f>IF(83476.62619="","-",83476.62619/2533522.81179*100)</f>
        <v>3.2948835432439454</v>
      </c>
      <c r="E63" s="27">
        <f>IF(101610.23035="","-",101610.23035/3007987.9188*100)</f>
        <v>3.378013246493894</v>
      </c>
      <c r="F63" s="27">
        <f>IF(OR(2624773.92828="",82033.12847="",83476.62619=""),"-",(83476.62619-82033.12847)/2624773.92828*100)</f>
        <v>0.054995125654342183</v>
      </c>
      <c r="G63" s="27">
        <f>IF(OR(2533522.81179="",101610.23035="",83476.62619=""),"-",(101610.23035-83476.62619)/2533522.81179*100)</f>
        <v>0.715746630565688</v>
      </c>
    </row>
    <row r="64" spans="1:7" s="16" customFormat="1" ht="25.5">
      <c r="A64" s="14" t="s">
        <v>92</v>
      </c>
      <c r="B64" s="27">
        <f>IF(6685.47617="","-",6685.47617)</f>
        <v>6685.47617</v>
      </c>
      <c r="C64" s="27" t="s">
        <v>214</v>
      </c>
      <c r="D64" s="27">
        <f>IF(4024.334="","-",4024.334/2533522.81179*100)</f>
        <v>0.15884340891948404</v>
      </c>
      <c r="E64" s="27">
        <f>IF(6685.47617="","-",6685.47617/3007987.9188*100)</f>
        <v>0.22225741427402704</v>
      </c>
      <c r="F64" s="27">
        <f>IF(OR(2624773.92828="",6096.35193="",4024.334=""),"-",(4024.334-6096.35193)/2624773.92828*100)</f>
        <v>-0.07894081496602574</v>
      </c>
      <c r="G64" s="27">
        <f>IF(OR(2533522.81179="",6685.47617="",4024.334=""),"-",(6685.47617-4024.334)/2533522.81179*100)</f>
        <v>0.1050372294899462</v>
      </c>
    </row>
    <row r="65" spans="1:7" s="16" customFormat="1" ht="38.25">
      <c r="A65" s="14" t="s">
        <v>93</v>
      </c>
      <c r="B65" s="27">
        <f>IF(95816.52917="","-",95816.52917)</f>
        <v>95816.52917</v>
      </c>
      <c r="C65" s="27">
        <f>IF(OR(74296.25618="",95816.52917=""),"-",95816.52917/74296.25618*100)</f>
        <v>128.96548776005903</v>
      </c>
      <c r="D65" s="27">
        <f>IF(74296.25618="","-",74296.25618/2533522.81179*100)</f>
        <v>2.932527618628693</v>
      </c>
      <c r="E65" s="27">
        <f>IF(95816.52917="","-",95816.52917/3007987.9188*100)</f>
        <v>3.1854027262258695</v>
      </c>
      <c r="F65" s="27">
        <f>IF(OR(2624773.92828="",85742.55907="",74296.25618=""),"-",(74296.25618-85742.55907)/2624773.92828*100)</f>
        <v>-0.4360871908500213</v>
      </c>
      <c r="G65" s="27">
        <f>IF(OR(2533522.81179="",95816.52917="",74296.25618=""),"-",(95816.52917-74296.25618)/2533522.81179*100)</f>
        <v>0.8494209284342447</v>
      </c>
    </row>
    <row r="66" spans="1:7" s="16" customFormat="1" ht="25.5">
      <c r="A66" s="14" t="s">
        <v>94</v>
      </c>
      <c r="B66" s="27">
        <f>IF(26394.603="","-",26394.603)</f>
        <v>26394.603</v>
      </c>
      <c r="C66" s="27">
        <f>IF(OR(21199.27214="",26394.603=""),"-",26394.603/21199.27214*100)</f>
        <v>124.50711904488998</v>
      </c>
      <c r="D66" s="27">
        <f>IF(21199.27214="","-",21199.27214/2533522.81179*100)</f>
        <v>0.8367507899019926</v>
      </c>
      <c r="E66" s="27">
        <f>IF(26394.603="","-",26394.603/3007987.9188*100)</f>
        <v>0.8774836772126997</v>
      </c>
      <c r="F66" s="27">
        <f>IF(OR(2624773.92828="",15665.13417="",21199.27214=""),"-",(21199.27214-15665.13417)/2624773.92828*100)</f>
        <v>0.2108424619116242</v>
      </c>
      <c r="G66" s="27">
        <f>IF(OR(2533522.81179="",26394.603="",21199.27214=""),"-",(26394.603-21199.27214)/2533522.81179*100)</f>
        <v>0.20506351219033866</v>
      </c>
    </row>
    <row r="67" spans="1:7" s="16" customFormat="1" ht="38.25">
      <c r="A67" s="14" t="s">
        <v>95</v>
      </c>
      <c r="B67" s="27">
        <f>IF(63367.26069="","-",63367.26069)</f>
        <v>63367.26069</v>
      </c>
      <c r="C67" s="27">
        <f>IF(OR(44408.87141="",63367.26069=""),"-",63367.26069/44408.87141*100)</f>
        <v>142.69054510520832</v>
      </c>
      <c r="D67" s="27">
        <f>IF(44408.87141="","-",44408.87141/2533522.81179*100)</f>
        <v>1.752850663247984</v>
      </c>
      <c r="E67" s="27">
        <f>IF(63367.26069="","-",63367.26069/3007987.9188*100)</f>
        <v>2.106632819033382</v>
      </c>
      <c r="F67" s="27">
        <f>IF(OR(2624773.92828="",47308.45435="",44408.87141=""),"-",(44408.87141-47308.45435)/2624773.92828*100)</f>
        <v>-0.11046981641958326</v>
      </c>
      <c r="G67" s="27">
        <f>IF(OR(2533522.81179="",63367.26069="",44408.87141=""),"-",(63367.26069-44408.87141)/2533522.81179*100)</f>
        <v>0.7483015030208237</v>
      </c>
    </row>
    <row r="68" spans="1:7" s="16" customFormat="1" ht="38.25" customHeight="1">
      <c r="A68" s="14" t="s">
        <v>96</v>
      </c>
      <c r="B68" s="27">
        <f>IF(189624.70817="","-",189624.70817)</f>
        <v>189624.70817</v>
      </c>
      <c r="C68" s="27">
        <f>IF(OR(163456.49844="",189624.70817=""),"-",189624.70817/163456.49844*100)</f>
        <v>116.00928074426211</v>
      </c>
      <c r="D68" s="27">
        <f>IF(163456.49844="","-",163456.49844/2533522.81179*100)</f>
        <v>6.4517476487418595</v>
      </c>
      <c r="E68" s="27">
        <f>IF(189624.70817="","-",189624.70817/3007987.9188*100)</f>
        <v>6.304038223851925</v>
      </c>
      <c r="F68" s="27">
        <f>IF(OR(2624773.92828="",175088.36054="",163456.49844=""),"-",(163456.49844-175088.36054)/2624773.92828*100)</f>
        <v>-0.44315672198185446</v>
      </c>
      <c r="G68" s="27">
        <f>IF(OR(2533522.81179="",189624.70817="",163456.49844=""),"-",(189624.70817-163456.49844)/2533522.81179*100)</f>
        <v>1.0328783939984134</v>
      </c>
    </row>
    <row r="69" spans="1:7" s="16" customFormat="1" ht="25.5">
      <c r="A69" s="14" t="s">
        <v>97</v>
      </c>
      <c r="B69" s="27">
        <f>IF(156581.81187="","-",156581.81187)</f>
        <v>156581.81187</v>
      </c>
      <c r="C69" s="27">
        <f>IF(OR(131046.50844="",156581.81187=""),"-",156581.81187/131046.50844*100)</f>
        <v>119.48568011004383</v>
      </c>
      <c r="D69" s="27">
        <f>IF(131046.50844="","-",131046.50844/2533522.81179*100)</f>
        <v>5.172501618306417</v>
      </c>
      <c r="E69" s="27">
        <f>IF(156581.81187="","-",156581.81187/3007987.9188*100)</f>
        <v>5.205533269976244</v>
      </c>
      <c r="F69" s="27">
        <f>IF(OR(2624773.92828="",110689.68922="",131046.50844=""),"-",(131046.50844-110689.68922)/2624773.92828*100)</f>
        <v>0.77556466866233</v>
      </c>
      <c r="G69" s="27">
        <f>IF(OR(2533522.81179="",156581.81187="",131046.50844=""),"-",(156581.81187-131046.50844)/2533522.81179*100)</f>
        <v>1.0078971190300292</v>
      </c>
    </row>
    <row r="70" spans="1:7" s="16" customFormat="1" ht="14.25" customHeight="1">
      <c r="A70" s="14" t="s">
        <v>98</v>
      </c>
      <c r="B70" s="27">
        <f>IF(1472.84994="","-",1472.84994)</f>
        <v>1472.84994</v>
      </c>
      <c r="C70" s="27" t="s">
        <v>254</v>
      </c>
      <c r="D70" s="27">
        <f>IF(636.53211="","-",636.53211/2533522.81179*100)</f>
        <v>0.025124388343291587</v>
      </c>
      <c r="E70" s="27">
        <f>IF(1472.84994="","-",1472.84994/3007987.9188*100)</f>
        <v>0.04896462285618406</v>
      </c>
      <c r="F70" s="27">
        <f>IF(OR(2624773.92828="",3367.11608="",636.53211=""),"-",(636.53211-3367.11608)/2624773.92828*100)</f>
        <v>-0.10403120590996333</v>
      </c>
      <c r="G70" s="27">
        <f>IF(OR(2533522.81179="",1472.84994="",636.53211=""),"-",(1472.84994-636.53211)/2533522.81179*100)</f>
        <v>0.033010076961143275</v>
      </c>
    </row>
    <row r="71" spans="1:7" s="16" customFormat="1" ht="13.5" customHeight="1">
      <c r="A71" s="15" t="s">
        <v>99</v>
      </c>
      <c r="B71" s="26">
        <f>IF(320165.53074="","-",320165.53074)</f>
        <v>320165.53074</v>
      </c>
      <c r="C71" s="26">
        <f>IF(244244.88907="","-",320165.53074/244244.88907*100)</f>
        <v>131.08381999683988</v>
      </c>
      <c r="D71" s="26">
        <f>IF(244244.88907="","-",244244.88907/2533522.81179*100)</f>
        <v>9.640524566559343</v>
      </c>
      <c r="E71" s="26">
        <f>IF(320165.53074="","-",320165.53074/3007987.9188*100)</f>
        <v>10.643843638432102</v>
      </c>
      <c r="F71" s="26">
        <f>IF(2624773.92828="","-",(244244.88907-238881.39087)/2624773.92828*100)</f>
        <v>0.20434133935163978</v>
      </c>
      <c r="G71" s="26">
        <f>IF(2533522.81179="","-",(320165.53074-244244.88907)/2533522.81179*100)</f>
        <v>2.996643303020433</v>
      </c>
    </row>
    <row r="72" spans="1:7" s="16" customFormat="1" ht="38.25">
      <c r="A72" s="14" t="s">
        <v>100</v>
      </c>
      <c r="B72" s="27">
        <f>IF(22914.10054="","-",22914.10054)</f>
        <v>22914.10054</v>
      </c>
      <c r="C72" s="27">
        <f>IF(OR(19223.44301="",22914.10054=""),"-",22914.10054/19223.44301*100)</f>
        <v>119.19873317220086</v>
      </c>
      <c r="D72" s="27">
        <f>IF(19223.44301="","-",19223.44301/2533522.81179*100)</f>
        <v>0.7587633677716181</v>
      </c>
      <c r="E72" s="27">
        <f>IF(22914.10054="","-",22914.10054/3007987.9188*100)</f>
        <v>0.7617750190014493</v>
      </c>
      <c r="F72" s="27">
        <f>IF(OR(2624773.92828="",20709.3629="",19223.44301=""),"-",(19223.44301-20709.3629)/2624773.92828*100)</f>
        <v>-0.056611347514173</v>
      </c>
      <c r="G72" s="27">
        <f>IF(OR(2533522.81179="",22914.10054="",19223.44301=""),"-",(22914.10054-19223.44301)/2533522.81179*100)</f>
        <v>0.14567295438687816</v>
      </c>
    </row>
    <row r="73" spans="1:7" s="16" customFormat="1" ht="14.25" customHeight="1">
      <c r="A73" s="14" t="s">
        <v>101</v>
      </c>
      <c r="B73" s="27">
        <f>IF(29005.55498="","-",29005.55498)</f>
        <v>29005.55498</v>
      </c>
      <c r="C73" s="27">
        <f>IF(OR(25599.4943="",29005.55498=""),"-",29005.55498/25599.4943*100)</f>
        <v>113.30518736067377</v>
      </c>
      <c r="D73" s="27">
        <f>IF(25599.4943="","-",25599.4943/2533522.81179*100)</f>
        <v>1.0104307796586716</v>
      </c>
      <c r="E73" s="27">
        <f>IF(29005.55498="","-",29005.55498/3007987.9188*100)</f>
        <v>0.9642842911274528</v>
      </c>
      <c r="F73" s="27">
        <f>IF(OR(2624773.92828="",27126.0195999999="",25599.4943=""),"-",(25599.4943-27126.0195999999)/2624773.92828*100)</f>
        <v>-0.058158353508190576</v>
      </c>
      <c r="G73" s="27">
        <f>IF(OR(2533522.81179="",29005.55498="",25599.4943=""),"-",(29005.55498-25599.4943)/2533522.81179*100)</f>
        <v>0.13443970838350303</v>
      </c>
    </row>
    <row r="74" spans="1:7" s="16" customFormat="1" ht="15.75">
      <c r="A74" s="14" t="s">
        <v>102</v>
      </c>
      <c r="B74" s="27">
        <f>IF(10544.20525="","-",10544.20525)</f>
        <v>10544.20525</v>
      </c>
      <c r="C74" s="27" t="s">
        <v>232</v>
      </c>
      <c r="D74" s="27">
        <f>IF(3132.6142="","-",3132.6142/2533522.81179*100)</f>
        <v>0.1236465756464504</v>
      </c>
      <c r="E74" s="27">
        <f>IF(10544.20525="","-",10544.20525/3007987.9188*100)</f>
        <v>0.35054014625851565</v>
      </c>
      <c r="F74" s="27">
        <f>IF(OR(2624773.92828="",2591.01272="",3132.6142=""),"-",(3132.6142-2591.01272)/2624773.92828*100)</f>
        <v>0.020634214404701447</v>
      </c>
      <c r="G74" s="27">
        <f>IF(OR(2533522.81179="",10544.20525="",3132.6142=""),"-",(10544.20525-3132.6142)/2533522.81179*100)</f>
        <v>0.2925409242620365</v>
      </c>
    </row>
    <row r="75" spans="1:7" s="16" customFormat="1" ht="14.25" customHeight="1">
      <c r="A75" s="14" t="s">
        <v>103</v>
      </c>
      <c r="B75" s="27">
        <f>IF(82336.08768="","-",82336.08768)</f>
        <v>82336.08768</v>
      </c>
      <c r="C75" s="27">
        <f>IF(OR(62467.92309="",82336.08768=""),"-",82336.08768/62467.92309*100)</f>
        <v>131.80538684049915</v>
      </c>
      <c r="D75" s="27">
        <f>IF(62467.92309="","-",62467.92309/2533522.81179*100)</f>
        <v>2.465654652853304</v>
      </c>
      <c r="E75" s="27">
        <f>IF(82336.08768="","-",82336.08768/3007987.9188*100)</f>
        <v>2.737247951210089</v>
      </c>
      <c r="F75" s="27">
        <f>IF(OR(2624773.92828="",50768.96298="",62467.92309=""),"-",(62467.92309-50768.96298)/2624773.92828*100)</f>
        <v>0.44571305680662043</v>
      </c>
      <c r="G75" s="27">
        <f>IF(OR(2533522.81179="",82336.08768="",62467.92309=""),"-",(82336.08768-62467.92309)/2533522.81179*100)</f>
        <v>0.7842110004907601</v>
      </c>
    </row>
    <row r="76" spans="1:7" s="16" customFormat="1" ht="15" customHeight="1">
      <c r="A76" s="14" t="s">
        <v>104</v>
      </c>
      <c r="B76" s="27">
        <f>IF(26799.12021="","-",26799.12021)</f>
        <v>26799.12021</v>
      </c>
      <c r="C76" s="27" t="s">
        <v>213</v>
      </c>
      <c r="D76" s="27">
        <f>IF(15300.80698="","-",15300.80698/2533522.81179*100)</f>
        <v>0.6039340521741574</v>
      </c>
      <c r="E76" s="27">
        <f>IF(26799.12021="","-",26799.12021/3007987.9188*100)</f>
        <v>0.8909317767702731</v>
      </c>
      <c r="F76" s="27">
        <f>IF(OR(2624773.92828="",11530.46417="",15300.80698=""),"-",(15300.80698-11530.46417)/2624773.92828*100)</f>
        <v>0.14364447807780098</v>
      </c>
      <c r="G76" s="27">
        <f>IF(OR(2533522.81179="",26799.12021="",15300.80698=""),"-",(26799.12021-15300.80698)/2533522.81179*100)</f>
        <v>0.4538468403162371</v>
      </c>
    </row>
    <row r="77" spans="1:7" s="16" customFormat="1" ht="25.5">
      <c r="A77" s="14" t="s">
        <v>105</v>
      </c>
      <c r="B77" s="27">
        <f>IF(29677.1395="","-",29677.1395)</f>
        <v>29677.1395</v>
      </c>
      <c r="C77" s="27">
        <f>IF(OR(24869.68037="",29677.1395=""),"-",29677.1395/24869.68037*100)</f>
        <v>119.33060280018388</v>
      </c>
      <c r="D77" s="27">
        <f>IF(24869.68037="","-",24869.68037/2533522.81179*100)</f>
        <v>0.9816244895947441</v>
      </c>
      <c r="E77" s="27">
        <f>IF(29677.1395="","-",29677.1395/3007987.9188*100)</f>
        <v>0.9866109938313626</v>
      </c>
      <c r="F77" s="27">
        <f>IF(OR(2624773.92828="",38448.32206="",24869.68037=""),"-",(24869.68037-38448.32206)/2624773.92828*100)</f>
        <v>-0.5173261416421493</v>
      </c>
      <c r="G77" s="27">
        <f>IF(OR(2533522.81179="",29677.1395="",24869.68037=""),"-",(29677.1395-24869.68037)/2533522.81179*100)</f>
        <v>0.18975393107289243</v>
      </c>
    </row>
    <row r="78" spans="1:7" ht="25.5">
      <c r="A78" s="10" t="s">
        <v>106</v>
      </c>
      <c r="B78" s="27">
        <f>IF(6514.21097="","-",6514.21097)</f>
        <v>6514.21097</v>
      </c>
      <c r="C78" s="27">
        <f>IF(OR(4760.45295="",6514.21097=""),"-",6514.21097/4760.45295*100)</f>
        <v>136.8401502634324</v>
      </c>
      <c r="D78" s="27">
        <f>IF(4760.45295="","-",4760.45295/2533522.81179*100)</f>
        <v>0.18789856273828517</v>
      </c>
      <c r="E78" s="27">
        <f>IF(6514.21097="","-",6514.21097/3007987.9188*100)</f>
        <v>0.21656373449128627</v>
      </c>
      <c r="F78" s="27">
        <f>IF(OR(2624773.92828="",4780.98936="",4760.45295=""),"-",(4760.45295-4780.98936)/2624773.92828*100)</f>
        <v>-0.0007824068114489807</v>
      </c>
      <c r="G78" s="27">
        <f>IF(OR(2533522.81179="",6514.21097="",4760.45295=""),"-",(6514.21097-4760.45295)/2533522.81179*100)</f>
        <v>0.06922211285561405</v>
      </c>
    </row>
    <row r="79" spans="1:7" ht="13.5" customHeight="1">
      <c r="A79" s="11" t="s">
        <v>107</v>
      </c>
      <c r="B79" s="27">
        <f>IF(112375.11161="","-",112375.11161)</f>
        <v>112375.11161</v>
      </c>
      <c r="C79" s="27">
        <f>IF(OR(88890.47417="",112375.11161=""),"-",112375.11161/88890.47417*100)</f>
        <v>126.41974593935277</v>
      </c>
      <c r="D79" s="27">
        <f>IF(88890.47417="","-",88890.47417/2533522.81179*100)</f>
        <v>3.508572086122112</v>
      </c>
      <c r="E79" s="27">
        <f>IF(112375.11161="","-",112375.11161/3007987.9188*100)</f>
        <v>3.7358897257416737</v>
      </c>
      <c r="F79" s="27">
        <f>IF(OR(2624773.92828="",82926.25708="",88890.47417=""),"-",(88890.47417-82926.25708)/2624773.92828*100)</f>
        <v>0.22722783953848263</v>
      </c>
      <c r="G79" s="27">
        <f>IF(OR(2533522.81179="",112375.11161="",88890.47417=""),"-",(112375.11161-88890.47417)/2533522.81179*100)</f>
        <v>0.9269558312525118</v>
      </c>
    </row>
    <row r="80" spans="1:7" ht="15.75">
      <c r="A80" s="85" t="s">
        <v>117</v>
      </c>
      <c r="B80" s="85"/>
      <c r="C80" s="85"/>
      <c r="D80" s="85"/>
      <c r="E80" s="85"/>
      <c r="F80" s="85"/>
      <c r="G80" s="85"/>
    </row>
  </sheetData>
  <sheetProtection/>
  <mergeCells count="11">
    <mergeCell ref="A80:G80"/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8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5.75"/>
  <cols>
    <col min="1" max="1" width="46.375" style="0" customWidth="1"/>
    <col min="2" max="2" width="12.125" style="0" customWidth="1"/>
    <col min="3" max="3" width="11.875" style="0" customWidth="1"/>
    <col min="4" max="4" width="14.625" style="0" customWidth="1"/>
  </cols>
  <sheetData>
    <row r="1" spans="1:4" ht="15.75">
      <c r="A1" s="68" t="s">
        <v>118</v>
      </c>
      <c r="B1" s="68"/>
      <c r="C1" s="68"/>
      <c r="D1" s="68"/>
    </row>
    <row r="2" spans="1:4" ht="15.75">
      <c r="A2" s="68" t="s">
        <v>35</v>
      </c>
      <c r="B2" s="68"/>
      <c r="C2" s="68"/>
      <c r="D2" s="68"/>
    </row>
    <row r="3" ht="15.75">
      <c r="A3" s="5"/>
    </row>
    <row r="4" spans="1:5" ht="25.5" customHeight="1">
      <c r="A4" s="78"/>
      <c r="B4" s="82" t="s">
        <v>249</v>
      </c>
      <c r="C4" s="73"/>
      <c r="D4" s="74" t="s">
        <v>250</v>
      </c>
      <c r="E4" s="1"/>
    </row>
    <row r="5" spans="1:5" ht="24" customHeight="1">
      <c r="A5" s="79"/>
      <c r="B5" s="20">
        <v>2016</v>
      </c>
      <c r="C5" s="19">
        <v>2017</v>
      </c>
      <c r="D5" s="83"/>
      <c r="E5" s="1"/>
    </row>
    <row r="6" spans="1:4" ht="15.75">
      <c r="A6" s="7" t="s">
        <v>199</v>
      </c>
      <c r="B6" s="51">
        <v>-1294468.08267</v>
      </c>
      <c r="C6" s="51">
        <v>-1580088.56448</v>
      </c>
      <c r="D6" s="51">
        <v>122.06469866919181</v>
      </c>
    </row>
    <row r="7" spans="1:4" ht="15.75">
      <c r="A7" s="8" t="s">
        <v>32</v>
      </c>
      <c r="B7" s="28"/>
      <c r="C7" s="28"/>
      <c r="D7" s="46"/>
    </row>
    <row r="8" spans="1:4" ht="15.75">
      <c r="A8" s="9" t="s">
        <v>36</v>
      </c>
      <c r="B8" s="52">
        <v>7857.34319</v>
      </c>
      <c r="C8" s="52">
        <v>-8204.37287</v>
      </c>
      <c r="D8" s="52" t="s">
        <v>33</v>
      </c>
    </row>
    <row r="9" spans="1:4" ht="15.75">
      <c r="A9" s="8" t="s">
        <v>37</v>
      </c>
      <c r="B9" s="53">
        <v>1627.70291</v>
      </c>
      <c r="C9" s="53">
        <v>954.36805</v>
      </c>
      <c r="D9" s="53">
        <v>58.63281586195605</v>
      </c>
    </row>
    <row r="10" spans="1:4" ht="15.75">
      <c r="A10" s="8" t="s">
        <v>38</v>
      </c>
      <c r="B10" s="53">
        <v>-12441.13385</v>
      </c>
      <c r="C10" s="53">
        <v>-17004.21045</v>
      </c>
      <c r="D10" s="53">
        <v>136.6773370901399</v>
      </c>
    </row>
    <row r="11" spans="1:4" ht="15.75">
      <c r="A11" s="8" t="s">
        <v>39</v>
      </c>
      <c r="B11" s="53">
        <v>-12607.47467</v>
      </c>
      <c r="C11" s="53">
        <v>-18030.17556</v>
      </c>
      <c r="D11" s="53">
        <v>143.0117928604968</v>
      </c>
    </row>
    <row r="12" spans="1:4" ht="15.75">
      <c r="A12" s="8" t="s">
        <v>40</v>
      </c>
      <c r="B12" s="53">
        <v>-24990.86333</v>
      </c>
      <c r="C12" s="53">
        <v>-26738.56674</v>
      </c>
      <c r="D12" s="53">
        <v>106.99336948436667</v>
      </c>
    </row>
    <row r="13" spans="1:4" ht="15.75">
      <c r="A13" s="8" t="s">
        <v>41</v>
      </c>
      <c r="B13" s="53">
        <v>64047.05392</v>
      </c>
      <c r="C13" s="53">
        <v>70048.27295</v>
      </c>
      <c r="D13" s="53">
        <v>109.37001573483147</v>
      </c>
    </row>
    <row r="14" spans="1:4" ht="15.75">
      <c r="A14" s="8" t="s">
        <v>42</v>
      </c>
      <c r="B14" s="53">
        <v>45220.5085</v>
      </c>
      <c r="C14" s="53">
        <v>55686.41461</v>
      </c>
      <c r="D14" s="53">
        <v>123.14415838556967</v>
      </c>
    </row>
    <row r="15" spans="1:4" ht="15.75">
      <c r="A15" s="8" t="s">
        <v>43</v>
      </c>
      <c r="B15" s="53">
        <v>16228.0938</v>
      </c>
      <c r="C15" s="53">
        <v>3820.35811</v>
      </c>
      <c r="D15" s="53">
        <v>23.54163191982536</v>
      </c>
    </row>
    <row r="16" spans="1:4" ht="15.75">
      <c r="A16" s="8" t="s">
        <v>44</v>
      </c>
      <c r="B16" s="53">
        <v>-22165.11905</v>
      </c>
      <c r="C16" s="53">
        <v>-22313.80143</v>
      </c>
      <c r="D16" s="53">
        <v>100.67079441199753</v>
      </c>
    </row>
    <row r="17" spans="1:4" ht="15.75">
      <c r="A17" s="8" t="s">
        <v>45</v>
      </c>
      <c r="B17" s="53">
        <v>-9896.40185</v>
      </c>
      <c r="C17" s="53">
        <v>-13278.87969</v>
      </c>
      <c r="D17" s="53">
        <v>134.17886511954848</v>
      </c>
    </row>
    <row r="18" spans="1:4" ht="15.75">
      <c r="A18" s="8" t="s">
        <v>46</v>
      </c>
      <c r="B18" s="53">
        <v>-37165.02319</v>
      </c>
      <c r="C18" s="53">
        <v>-41348.15272</v>
      </c>
      <c r="D18" s="53">
        <v>111.25555474192615</v>
      </c>
    </row>
    <row r="19" spans="1:4" ht="15.75">
      <c r="A19" s="9" t="s">
        <v>47</v>
      </c>
      <c r="B19" s="52">
        <v>37807.63721</v>
      </c>
      <c r="C19" s="52">
        <v>47713.78911</v>
      </c>
      <c r="D19" s="52">
        <v>126.20145724784899</v>
      </c>
    </row>
    <row r="20" spans="1:4" ht="15.75">
      <c r="A20" s="8" t="s">
        <v>48</v>
      </c>
      <c r="B20" s="53">
        <v>67000.01552</v>
      </c>
      <c r="C20" s="53">
        <v>72757.21069</v>
      </c>
      <c r="D20" s="53">
        <v>108.59282662148256</v>
      </c>
    </row>
    <row r="21" spans="1:4" ht="15.75">
      <c r="A21" s="8" t="s">
        <v>49</v>
      </c>
      <c r="B21" s="53">
        <v>-29192.37831</v>
      </c>
      <c r="C21" s="53">
        <v>-25043.42158</v>
      </c>
      <c r="D21" s="53">
        <v>85.78753438331965</v>
      </c>
    </row>
    <row r="22" spans="1:4" ht="15.75">
      <c r="A22" s="9" t="s">
        <v>50</v>
      </c>
      <c r="B22" s="52">
        <v>49181.74947</v>
      </c>
      <c r="C22" s="52">
        <v>84862.15083</v>
      </c>
      <c r="D22" s="52" t="s">
        <v>214</v>
      </c>
    </row>
    <row r="23" spans="1:4" ht="15.75">
      <c r="A23" s="8" t="s">
        <v>51</v>
      </c>
      <c r="B23" s="53">
        <v>2331.67246</v>
      </c>
      <c r="C23" s="53">
        <v>2541.96232</v>
      </c>
      <c r="D23" s="53">
        <v>109.01884220908113</v>
      </c>
    </row>
    <row r="24" spans="1:4" ht="15.75">
      <c r="A24" s="8" t="s">
        <v>52</v>
      </c>
      <c r="B24" s="53">
        <v>75865.35395</v>
      </c>
      <c r="C24" s="53">
        <v>114166.30906</v>
      </c>
      <c r="D24" s="53">
        <v>150.48543652118556</v>
      </c>
    </row>
    <row r="25" spans="1:4" ht="15.75">
      <c r="A25" s="8" t="s">
        <v>53</v>
      </c>
      <c r="B25" s="53">
        <v>-359.83486</v>
      </c>
      <c r="C25" s="53">
        <v>-406.44227</v>
      </c>
      <c r="D25" s="53">
        <v>112.95244435183407</v>
      </c>
    </row>
    <row r="26" spans="1:4" ht="15.75">
      <c r="A26" s="8" t="s">
        <v>54</v>
      </c>
      <c r="B26" s="53">
        <v>-15273.04452</v>
      </c>
      <c r="C26" s="53">
        <v>-20287.06081</v>
      </c>
      <c r="D26" s="53">
        <v>132.82918663292156</v>
      </c>
    </row>
    <row r="27" spans="1:4" ht="15.75">
      <c r="A27" s="8" t="s">
        <v>55</v>
      </c>
      <c r="B27" s="53">
        <v>1338.42392</v>
      </c>
      <c r="C27" s="53">
        <v>1542.01117</v>
      </c>
      <c r="D27" s="53">
        <v>115.21096918232006</v>
      </c>
    </row>
    <row r="28" spans="1:4" ht="25.5">
      <c r="A28" s="8" t="s">
        <v>56</v>
      </c>
      <c r="B28" s="53">
        <v>-4206.13503</v>
      </c>
      <c r="C28" s="53">
        <v>-5131.29453</v>
      </c>
      <c r="D28" s="53">
        <v>121.99547787699055</v>
      </c>
    </row>
    <row r="29" spans="1:4" ht="25.5">
      <c r="A29" s="8" t="s">
        <v>57</v>
      </c>
      <c r="B29" s="53">
        <v>-2165.93604</v>
      </c>
      <c r="C29" s="53">
        <v>486.51114</v>
      </c>
      <c r="D29" s="53" t="s">
        <v>33</v>
      </c>
    </row>
    <row r="30" spans="1:4" ht="15.75">
      <c r="A30" s="8" t="s">
        <v>58</v>
      </c>
      <c r="B30" s="53">
        <v>6439.63832</v>
      </c>
      <c r="C30" s="53">
        <v>9349.29906</v>
      </c>
      <c r="D30" s="53">
        <v>145.1836049699139</v>
      </c>
    </row>
    <row r="31" spans="1:4" ht="15.75">
      <c r="A31" s="8" t="s">
        <v>59</v>
      </c>
      <c r="B31" s="53">
        <v>-14788.38873</v>
      </c>
      <c r="C31" s="53">
        <v>-17399.14431</v>
      </c>
      <c r="D31" s="53">
        <v>117.65409083887394</v>
      </c>
    </row>
    <row r="32" spans="1:4" ht="15.75">
      <c r="A32" s="9" t="s">
        <v>60</v>
      </c>
      <c r="B32" s="52">
        <v>-364554.41264</v>
      </c>
      <c r="C32" s="52">
        <v>-454762.93232</v>
      </c>
      <c r="D32" s="52">
        <v>124.7448711501626</v>
      </c>
    </row>
    <row r="33" spans="1:4" ht="15.75">
      <c r="A33" s="8" t="s">
        <v>61</v>
      </c>
      <c r="B33" s="53">
        <v>-5463.03563</v>
      </c>
      <c r="C33" s="53">
        <v>-13772.15856</v>
      </c>
      <c r="D33" s="53" t="s">
        <v>189</v>
      </c>
    </row>
    <row r="34" spans="1:4" ht="15.75">
      <c r="A34" s="8" t="s">
        <v>62</v>
      </c>
      <c r="B34" s="53">
        <v>-216531.86338</v>
      </c>
      <c r="C34" s="53">
        <v>-277427.83324</v>
      </c>
      <c r="D34" s="53">
        <v>128.12332970743034</v>
      </c>
    </row>
    <row r="35" spans="1:4" ht="15.75">
      <c r="A35" s="8" t="s">
        <v>63</v>
      </c>
      <c r="B35" s="53">
        <v>-142311.47703</v>
      </c>
      <c r="C35" s="53">
        <v>-119219.12286</v>
      </c>
      <c r="D35" s="53">
        <v>83.77337186576173</v>
      </c>
    </row>
    <row r="36" spans="1:4" ht="15.75">
      <c r="A36" s="8" t="s">
        <v>64</v>
      </c>
      <c r="B36" s="53">
        <v>-248.0366</v>
      </c>
      <c r="C36" s="53">
        <v>-44343.81766</v>
      </c>
      <c r="D36" s="53" t="s">
        <v>266</v>
      </c>
    </row>
    <row r="37" spans="1:4" ht="15.75">
      <c r="A37" s="9" t="s">
        <v>65</v>
      </c>
      <c r="B37" s="52">
        <v>19106.64716</v>
      </c>
      <c r="C37" s="52">
        <v>14936.02333</v>
      </c>
      <c r="D37" s="52">
        <v>78.17186974211126</v>
      </c>
    </row>
    <row r="38" spans="1:4" ht="15.75">
      <c r="A38" s="8" t="s">
        <v>66</v>
      </c>
      <c r="B38" s="53">
        <v>-483.12318</v>
      </c>
      <c r="C38" s="53">
        <v>-738.23888</v>
      </c>
      <c r="D38" s="53">
        <v>152.8055184601161</v>
      </c>
    </row>
    <row r="39" spans="1:4" ht="15.75">
      <c r="A39" s="8" t="s">
        <v>67</v>
      </c>
      <c r="B39" s="53">
        <v>20694.9646</v>
      </c>
      <c r="C39" s="53">
        <v>17020.0068</v>
      </c>
      <c r="D39" s="53">
        <v>82.24226099908381</v>
      </c>
    </row>
    <row r="40" spans="1:4" ht="25.5">
      <c r="A40" s="8" t="s">
        <v>68</v>
      </c>
      <c r="B40" s="53">
        <v>-1105.19426</v>
      </c>
      <c r="C40" s="53">
        <v>-1345.74459</v>
      </c>
      <c r="D40" s="53">
        <v>121.76543425044571</v>
      </c>
    </row>
    <row r="41" spans="1:4" ht="15.75">
      <c r="A41" s="9" t="s">
        <v>69</v>
      </c>
      <c r="B41" s="52">
        <v>-340452.09598</v>
      </c>
      <c r="C41" s="52">
        <v>-391990.07597</v>
      </c>
      <c r="D41" s="52">
        <v>115.13810036670407</v>
      </c>
    </row>
    <row r="42" spans="1:4" ht="15.75">
      <c r="A42" s="8" t="s">
        <v>70</v>
      </c>
      <c r="B42" s="53">
        <v>-530.02608</v>
      </c>
      <c r="C42" s="53">
        <v>2134.08888</v>
      </c>
      <c r="D42" s="53" t="s">
        <v>33</v>
      </c>
    </row>
    <row r="43" spans="1:4" ht="15.75">
      <c r="A43" s="8" t="s">
        <v>71</v>
      </c>
      <c r="B43" s="53">
        <v>-8855.38975</v>
      </c>
      <c r="C43" s="53">
        <v>-7050.81691</v>
      </c>
      <c r="D43" s="53">
        <v>79.62175702091486</v>
      </c>
    </row>
    <row r="44" spans="1:4" ht="15.75">
      <c r="A44" s="8" t="s">
        <v>72</v>
      </c>
      <c r="B44" s="53">
        <v>-18366.29924</v>
      </c>
      <c r="C44" s="53">
        <v>-20537.78168</v>
      </c>
      <c r="D44" s="53">
        <v>111.8231899177093</v>
      </c>
    </row>
    <row r="45" spans="1:4" ht="15.75">
      <c r="A45" s="8" t="s">
        <v>73</v>
      </c>
      <c r="B45" s="53">
        <v>-79108.35345</v>
      </c>
      <c r="C45" s="53">
        <v>-99137.20693</v>
      </c>
      <c r="D45" s="53">
        <v>125.31825351751145</v>
      </c>
    </row>
    <row r="46" spans="1:4" ht="25.5">
      <c r="A46" s="8" t="s">
        <v>74</v>
      </c>
      <c r="B46" s="53">
        <v>-46579.38896</v>
      </c>
      <c r="C46" s="53">
        <v>-51392.99875</v>
      </c>
      <c r="D46" s="53">
        <v>110.33420553054847</v>
      </c>
    </row>
    <row r="47" spans="1:4" ht="15.75">
      <c r="A47" s="8" t="s">
        <v>75</v>
      </c>
      <c r="B47" s="53">
        <v>-35692.4241</v>
      </c>
      <c r="C47" s="53">
        <v>-44948.56502</v>
      </c>
      <c r="D47" s="53">
        <v>125.93306886096313</v>
      </c>
    </row>
    <row r="48" spans="1:4" ht="15.75">
      <c r="A48" s="8" t="s">
        <v>76</v>
      </c>
      <c r="B48" s="53">
        <v>-27836.80283</v>
      </c>
      <c r="C48" s="53">
        <v>-30658.99196</v>
      </c>
      <c r="D48" s="53">
        <v>110.13833789474737</v>
      </c>
    </row>
    <row r="49" spans="1:4" ht="15.75">
      <c r="A49" s="8" t="s">
        <v>77</v>
      </c>
      <c r="B49" s="53">
        <v>-52167.30178</v>
      </c>
      <c r="C49" s="53">
        <v>-59944.22564</v>
      </c>
      <c r="D49" s="53">
        <v>114.90765976894271</v>
      </c>
    </row>
    <row r="50" spans="1:4" ht="15.75">
      <c r="A50" s="8" t="s">
        <v>78</v>
      </c>
      <c r="B50" s="53">
        <v>-71316.10979</v>
      </c>
      <c r="C50" s="53">
        <v>-80453.57796</v>
      </c>
      <c r="D50" s="53">
        <v>112.81262844665324</v>
      </c>
    </row>
    <row r="51" spans="1:4" ht="15.75">
      <c r="A51" s="9" t="s">
        <v>79</v>
      </c>
      <c r="B51" s="52">
        <v>-442465.19325</v>
      </c>
      <c r="C51" s="52">
        <v>-506547.21649</v>
      </c>
      <c r="D51" s="52">
        <v>114.48295238079724</v>
      </c>
    </row>
    <row r="52" spans="1:4" ht="15.75">
      <c r="A52" s="8" t="s">
        <v>80</v>
      </c>
      <c r="B52" s="53">
        <v>-24407.80518</v>
      </c>
      <c r="C52" s="53">
        <v>-25675.09235</v>
      </c>
      <c r="D52" s="53">
        <v>105.1921389926466</v>
      </c>
    </row>
    <row r="53" spans="1:4" ht="15.75">
      <c r="A53" s="8" t="s">
        <v>81</v>
      </c>
      <c r="B53" s="53">
        <v>-29111.16831</v>
      </c>
      <c r="C53" s="53">
        <v>-31969.54758</v>
      </c>
      <c r="D53" s="53">
        <v>109.81884079526314</v>
      </c>
    </row>
    <row r="54" spans="1:4" ht="15.75">
      <c r="A54" s="8" t="s">
        <v>82</v>
      </c>
      <c r="B54" s="53">
        <v>-30465.04368</v>
      </c>
      <c r="C54" s="53">
        <v>-35860.61293</v>
      </c>
      <c r="D54" s="53">
        <v>117.71068936146689</v>
      </c>
    </row>
    <row r="55" spans="1:4" ht="25.5">
      <c r="A55" s="8" t="s">
        <v>83</v>
      </c>
      <c r="B55" s="53">
        <v>-46507.56626</v>
      </c>
      <c r="C55" s="53">
        <v>-49575.5103</v>
      </c>
      <c r="D55" s="53">
        <v>106.59665574166728</v>
      </c>
    </row>
    <row r="56" spans="1:4" ht="25.5">
      <c r="A56" s="8" t="s">
        <v>84</v>
      </c>
      <c r="B56" s="53">
        <v>-115476.605</v>
      </c>
      <c r="C56" s="53">
        <v>-124205.16441</v>
      </c>
      <c r="D56" s="53">
        <v>107.55872534527664</v>
      </c>
    </row>
    <row r="57" spans="1:4" ht="15.75">
      <c r="A57" s="8" t="s">
        <v>85</v>
      </c>
      <c r="B57" s="53">
        <v>-43466.05944</v>
      </c>
      <c r="C57" s="53">
        <v>-55547.03001</v>
      </c>
      <c r="D57" s="53">
        <v>127.79403223031163</v>
      </c>
    </row>
    <row r="58" spans="1:4" ht="15.75">
      <c r="A58" s="8" t="s">
        <v>86</v>
      </c>
      <c r="B58" s="53">
        <v>-59905.38124</v>
      </c>
      <c r="C58" s="53">
        <v>-67129.56852</v>
      </c>
      <c r="D58" s="53">
        <v>112.05932944664454</v>
      </c>
    </row>
    <row r="59" spans="1:4" ht="15.75">
      <c r="A59" s="8" t="s">
        <v>87</v>
      </c>
      <c r="B59" s="53">
        <v>-34181.88795</v>
      </c>
      <c r="C59" s="53">
        <v>-48285.80802</v>
      </c>
      <c r="D59" s="53">
        <v>141.26138407167764</v>
      </c>
    </row>
    <row r="60" spans="1:4" ht="15.75">
      <c r="A60" s="8" t="s">
        <v>88</v>
      </c>
      <c r="B60" s="53">
        <v>-58943.67619</v>
      </c>
      <c r="C60" s="53">
        <v>-68298.88237</v>
      </c>
      <c r="D60" s="53">
        <v>115.87143317943776</v>
      </c>
    </row>
    <row r="61" spans="1:4" ht="15.75">
      <c r="A61" s="9" t="s">
        <v>89</v>
      </c>
      <c r="B61" s="52">
        <v>-323858.90311</v>
      </c>
      <c r="C61" s="52">
        <v>-386941.99495</v>
      </c>
      <c r="D61" s="52">
        <v>119.47857268527015</v>
      </c>
    </row>
    <row r="62" spans="1:4" ht="15.75">
      <c r="A62" s="8" t="s">
        <v>90</v>
      </c>
      <c r="B62" s="53">
        <v>-5286.05709</v>
      </c>
      <c r="C62" s="53">
        <v>-8124.32775</v>
      </c>
      <c r="D62" s="53">
        <v>153.69353019984126</v>
      </c>
    </row>
    <row r="63" spans="1:4" ht="15.75">
      <c r="A63" s="8" t="s">
        <v>91</v>
      </c>
      <c r="B63" s="53">
        <v>-77559.84312</v>
      </c>
      <c r="C63" s="53">
        <v>-95943.35668</v>
      </c>
      <c r="D63" s="53">
        <v>123.70236042323752</v>
      </c>
    </row>
    <row r="64" spans="1:4" ht="15.75">
      <c r="A64" s="8" t="s">
        <v>92</v>
      </c>
      <c r="B64" s="53">
        <v>-2776.23873</v>
      </c>
      <c r="C64" s="53">
        <v>-5702.1236</v>
      </c>
      <c r="D64" s="53" t="s">
        <v>184</v>
      </c>
    </row>
    <row r="65" spans="1:4" ht="25.5">
      <c r="A65" s="8" t="s">
        <v>93</v>
      </c>
      <c r="B65" s="53">
        <v>-53785.17618</v>
      </c>
      <c r="C65" s="53">
        <v>-75860.80099</v>
      </c>
      <c r="D65" s="53">
        <v>141.04406897566102</v>
      </c>
    </row>
    <row r="66" spans="1:4" ht="13.5" customHeight="1">
      <c r="A66" s="8" t="s">
        <v>94</v>
      </c>
      <c r="B66" s="53">
        <v>-19219.25491</v>
      </c>
      <c r="C66" s="53">
        <v>-25845.41944</v>
      </c>
      <c r="D66" s="53">
        <v>134.47669829568852</v>
      </c>
    </row>
    <row r="67" spans="1:4" ht="25.5">
      <c r="A67" s="8" t="s">
        <v>95</v>
      </c>
      <c r="B67" s="53">
        <v>-42242.57494</v>
      </c>
      <c r="C67" s="53">
        <v>-60439.85017</v>
      </c>
      <c r="D67" s="53">
        <v>143.07804449858187</v>
      </c>
    </row>
    <row r="68" spans="1:4" ht="25.5">
      <c r="A68" s="8" t="s">
        <v>96</v>
      </c>
      <c r="B68" s="53">
        <v>-6420.76811</v>
      </c>
      <c r="C68" s="53">
        <v>11860.5097</v>
      </c>
      <c r="D68" s="53" t="s">
        <v>33</v>
      </c>
    </row>
    <row r="69" spans="1:4" ht="15.75">
      <c r="A69" s="8" t="s">
        <v>97</v>
      </c>
      <c r="B69" s="53">
        <v>-116215.64967</v>
      </c>
      <c r="C69" s="53">
        <v>-138142.53469</v>
      </c>
      <c r="D69" s="53">
        <v>118.86741164573142</v>
      </c>
    </row>
    <row r="70" spans="1:4" ht="15.75">
      <c r="A70" s="8" t="s">
        <v>98</v>
      </c>
      <c r="B70" s="53">
        <v>-353.34036</v>
      </c>
      <c r="C70" s="53">
        <v>11255.90867</v>
      </c>
      <c r="D70" s="53" t="s">
        <v>33</v>
      </c>
    </row>
    <row r="71" spans="1:4" ht="15.75">
      <c r="A71" s="9" t="s">
        <v>99</v>
      </c>
      <c r="B71" s="52">
        <v>66059.65033</v>
      </c>
      <c r="C71" s="52">
        <v>21142.68922</v>
      </c>
      <c r="D71" s="52">
        <v>32.005451307086865</v>
      </c>
    </row>
    <row r="72" spans="1:4" ht="25.5">
      <c r="A72" s="8" t="s">
        <v>100</v>
      </c>
      <c r="B72" s="53">
        <v>-16289.39909</v>
      </c>
      <c r="C72" s="53">
        <v>-16730.04561</v>
      </c>
      <c r="D72" s="53">
        <v>102.70511218716787</v>
      </c>
    </row>
    <row r="73" spans="1:4" ht="15.75">
      <c r="A73" s="8" t="s">
        <v>101</v>
      </c>
      <c r="B73" s="53">
        <v>53098.11191</v>
      </c>
      <c r="C73" s="53">
        <v>55319.4259</v>
      </c>
      <c r="D73" s="53">
        <v>104.18341426859973</v>
      </c>
    </row>
    <row r="74" spans="1:4" ht="15.75">
      <c r="A74" s="8" t="s">
        <v>102</v>
      </c>
      <c r="B74" s="53">
        <v>6724.63021</v>
      </c>
      <c r="C74" s="53">
        <v>-2556.30437</v>
      </c>
      <c r="D74" s="53" t="s">
        <v>33</v>
      </c>
    </row>
    <row r="75" spans="1:4" ht="15.75">
      <c r="A75" s="8" t="s">
        <v>103</v>
      </c>
      <c r="B75" s="53">
        <v>101915.1728</v>
      </c>
      <c r="C75" s="53">
        <v>93512.63541</v>
      </c>
      <c r="D75" s="53">
        <v>91.75536168055244</v>
      </c>
    </row>
    <row r="76" spans="1:4" ht="15.75">
      <c r="A76" s="8" t="s">
        <v>104</v>
      </c>
      <c r="B76" s="53">
        <v>4783.96667</v>
      </c>
      <c r="C76" s="53">
        <v>-4679.76824</v>
      </c>
      <c r="D76" s="53" t="s">
        <v>33</v>
      </c>
    </row>
    <row r="77" spans="1:4" ht="15.75">
      <c r="A77" s="8" t="s">
        <v>105</v>
      </c>
      <c r="B77" s="53">
        <v>-9767.43806</v>
      </c>
      <c r="C77" s="53">
        <v>-13832.85396</v>
      </c>
      <c r="D77" s="53">
        <v>141.62213136163976</v>
      </c>
    </row>
    <row r="78" spans="1:4" ht="25.5">
      <c r="A78" s="8" t="s">
        <v>106</v>
      </c>
      <c r="B78" s="53">
        <v>-3558.90213</v>
      </c>
      <c r="C78" s="53">
        <v>-4829.36648</v>
      </c>
      <c r="D78" s="53">
        <v>135.69820982967013</v>
      </c>
    </row>
    <row r="79" spans="1:4" ht="15.75">
      <c r="A79" s="11" t="s">
        <v>107</v>
      </c>
      <c r="B79" s="53">
        <v>-70846.49198</v>
      </c>
      <c r="C79" s="53">
        <v>-85061.03343</v>
      </c>
      <c r="D79" s="53">
        <v>120.06386068347994</v>
      </c>
    </row>
    <row r="80" spans="1:4" ht="15.75">
      <c r="A80" s="86" t="s">
        <v>27</v>
      </c>
      <c r="B80" s="86"/>
      <c r="C80" s="86"/>
      <c r="D80" s="86"/>
    </row>
    <row r="81" spans="2:4" ht="15.75">
      <c r="B81" s="21"/>
      <c r="C81" s="21"/>
      <c r="D81" s="22"/>
    </row>
    <row r="82" spans="2:4" ht="15.75">
      <c r="B82" s="21"/>
      <c r="C82" s="21"/>
      <c r="D82" s="22"/>
    </row>
    <row r="83" spans="2:4" ht="15.75">
      <c r="B83" s="21"/>
      <c r="C83" s="21"/>
      <c r="D83" s="22"/>
    </row>
  </sheetData>
  <sheetProtection/>
  <mergeCells count="6">
    <mergeCell ref="A80:D80"/>
    <mergeCell ref="A1:D1"/>
    <mergeCell ref="A2:D2"/>
    <mergeCell ref="A4:A5"/>
    <mergeCell ref="B4:C4"/>
    <mergeCell ref="D4:D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Lilia Racu</cp:lastModifiedBy>
  <cp:lastPrinted>2017-10-04T08:18:45Z</cp:lastPrinted>
  <dcterms:created xsi:type="dcterms:W3CDTF">2016-09-01T07:59:47Z</dcterms:created>
  <dcterms:modified xsi:type="dcterms:W3CDTF">2017-10-05T20:54:32Z</dcterms:modified>
  <cp:category/>
  <cp:version/>
  <cp:contentType/>
  <cp:contentStatus/>
</cp:coreProperties>
</file>