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tabRatio="798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<sst xmlns="http://schemas.openxmlformats.org/spreadsheetml/2006/main" count="863" uniqueCount="311">
  <si>
    <t>Structura, %</t>
  </si>
  <si>
    <t>Gradul de influenţă a ţărilor, grupelor de ţări  la creşterea (+),  scăderea (-) exporturilor, %</t>
  </si>
  <si>
    <t xml:space="preserve">      din care:</t>
  </si>
  <si>
    <t>Italia</t>
  </si>
  <si>
    <t>Germania</t>
  </si>
  <si>
    <t>Polonia</t>
  </si>
  <si>
    <t>Bulgaria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</si>
  <si>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</si>
  <si>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</si>
  <si>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</si>
  <si>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</si>
  <si>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</si>
  <si>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</si>
  <si>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</si>
  <si>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</si>
  <si>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</si>
  <si>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</si>
  <si>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</si>
  <si>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</si>
  <si>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</si>
  <si>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</si>
  <si>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 xml:space="preserve">  din care:</t>
  </si>
  <si>
    <t>x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</si>
  <si>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</si>
  <si>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</si>
  <si>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</si>
  <si>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</si>
  <si>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</si>
  <si>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</si>
  <si>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</si>
  <si>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</si>
  <si>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</si>
  <si>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</si>
  <si>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</si>
  <si>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</si>
  <si>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</si>
  <si>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</si>
  <si>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</si>
  <si>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</si>
  <si>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</si>
  <si>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</si>
  <si>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</si>
  <si>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Îngrăşăminte naturale şi minerale naturale (exclusiv cărbune, petrol şi pietre preţioase)</t>
  </si>
  <si>
    <t>Alte materii brute de origine animală sau vegetală</t>
  </si>
  <si>
    <t>Combustibili minerali, lubrifianţi şi materiale derivate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</si>
  <si>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</si>
  <si>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</si>
  <si>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</si>
  <si>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</si>
  <si>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</si>
  <si>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</si>
  <si>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</si>
  <si>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</si>
  <si>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</si>
  <si>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</si>
  <si>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</si>
  <si>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Îngrăşăminte minerale sau chimice</t>
  </si>
  <si>
    <t>Materiale plastice sub forme primare</t>
  </si>
  <si>
    <t>Materiale plastice prelucrate</t>
  </si>
  <si>
    <t>Alte materiale şi produse chimice</t>
  </si>
  <si>
    <t>Piele, altă piele şi blană prelucrate</t>
  </si>
  <si>
    <t>Cauciuc prelucrat</t>
  </si>
  <si>
    <t>Articole din lemn (exclusiv mobilă)</t>
  </si>
  <si>
    <t>Articole din minerale nemetalice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</si>
  <si>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</si>
  <si>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</si>
  <si>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</si>
  <si>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</si>
  <si>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</si>
  <si>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</si>
  <si>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</si>
  <si>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</si>
  <si>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</si>
  <si>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</si>
  <si>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</si>
  <si>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</si>
  <si>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</si>
  <si>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</si>
  <si>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</si>
  <si>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</si>
  <si>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</si>
  <si>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</si>
  <si>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</si>
  <si>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</si>
  <si>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>Coreea de Sud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</si>
  <si>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</si>
  <si>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</si>
  <si>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</si>
  <si>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</si>
  <si>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</si>
  <si>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</si>
  <si>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</si>
  <si>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</si>
  <si>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</si>
  <si>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</si>
  <si>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</si>
  <si>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</si>
  <si>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</si>
  <si>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</si>
  <si>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</si>
  <si>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</si>
  <si>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</si>
  <si>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</si>
  <si>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</si>
  <si>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</si>
  <si>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</si>
  <si>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</si>
  <si>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</si>
  <si>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</si>
  <si>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</si>
  <si>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</si>
  <si>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</si>
  <si>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</si>
  <si>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</si>
  <si>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</si>
  <si>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</si>
  <si>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</si>
  <si>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</si>
  <si>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</si>
  <si>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</si>
  <si>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</si>
  <si>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</si>
  <si>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</si>
  <si>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</si>
  <si>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</si>
  <si>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</si>
  <si>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</si>
  <si>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</si>
  <si>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</si>
  <si>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</si>
  <si>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</si>
  <si>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</si>
  <si>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</si>
  <si>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</si>
  <si>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</si>
  <si>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</si>
  <si>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</si>
  <si>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</si>
  <si>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</si>
  <si>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</si>
  <si>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</si>
  <si>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</si>
  <si>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</si>
  <si>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</si>
  <si>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de 2,1 ori</t>
  </si>
  <si>
    <t>2017¹</t>
  </si>
  <si>
    <t>Mongolia</t>
  </si>
  <si>
    <t>de 2,5 ori</t>
  </si>
  <si>
    <t>Peru</t>
  </si>
  <si>
    <t>Kenya</t>
  </si>
  <si>
    <t>de 2,2 ori</t>
  </si>
  <si>
    <t>mii dolari        SUA</t>
  </si>
  <si>
    <t>EXPORT - total</t>
  </si>
  <si>
    <t>de 2,6 ori</t>
  </si>
  <si>
    <t>Oman</t>
  </si>
  <si>
    <t>Ghana</t>
  </si>
  <si>
    <t>de 3,1 ori</t>
  </si>
  <si>
    <t>Albania</t>
  </si>
  <si>
    <t>de 1,8 ori</t>
  </si>
  <si>
    <t>de 1,7 ori</t>
  </si>
  <si>
    <t>de 1,9 ori</t>
  </si>
  <si>
    <t>Gradul de influenţă a grupelor de mărfuri  la creşterea (+),  scăderea (-) exporturilor, %</t>
  </si>
  <si>
    <t>Panama</t>
  </si>
  <si>
    <t>Qatar</t>
  </si>
  <si>
    <t xml:space="preserve">. </t>
  </si>
  <si>
    <t>Gibraltar</t>
  </si>
  <si>
    <t>Ponderea, %</t>
  </si>
  <si>
    <t>Swaziland</t>
  </si>
  <si>
    <t>de 2,9 ori</t>
  </si>
  <si>
    <t>de 2,3 ori</t>
  </si>
  <si>
    <t>Andorra</t>
  </si>
  <si>
    <t>de 3,7 ori</t>
  </si>
  <si>
    <t>2018¹</t>
  </si>
  <si>
    <t>mii dolari         SUA</t>
  </si>
  <si>
    <t>Belize</t>
  </si>
  <si>
    <t>Angola</t>
  </si>
  <si>
    <t>Nepal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</si>
  <si>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</si>
  <si>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</si>
  <si>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</si>
  <si>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</si>
  <si>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</si>
  <si>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</si>
  <si>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</si>
  <si>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</si>
  <si>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</si>
  <si>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</si>
  <si>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Etiopia</t>
  </si>
  <si>
    <t>Senegal</t>
  </si>
  <si>
    <t>Mali</t>
  </si>
  <si>
    <t>Siria</t>
  </si>
  <si>
    <t>Kosovo</t>
  </si>
  <si>
    <t>Somalia</t>
  </si>
  <si>
    <t>de 3,4 ori</t>
  </si>
  <si>
    <t>San Marino</t>
  </si>
  <si>
    <t>Madagascar</t>
  </si>
  <si>
    <t>de 2,7 ori</t>
  </si>
  <si>
    <t>mii dolari SUA</t>
  </si>
  <si>
    <t>Benin</t>
  </si>
  <si>
    <t>Burkina Faso</t>
  </si>
  <si>
    <r>
      <rPr>
        <b/>
        <sz val="12"/>
        <rFont val="Times New Roman"/>
        <family val="1"/>
      </rPr>
      <t xml:space="preserve">Anexa 1. 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</si>
  <si>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</si>
  <si>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</si>
  <si>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</si>
  <si>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</si>
  <si>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</rPr>
      <t xml:space="preserve">Anexa 8. 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</si>
  <si>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>Libia</t>
  </si>
  <si>
    <t>Liberia</t>
  </si>
  <si>
    <t>Sierra Leone</t>
  </si>
  <si>
    <t>de 33,8 ori</t>
  </si>
  <si>
    <t>Palau</t>
  </si>
  <si>
    <t>Guatemala</t>
  </si>
  <si>
    <t>Cuba</t>
  </si>
  <si>
    <t xml:space="preserve"> -</t>
  </si>
  <si>
    <t xml:space="preserve">   din care:</t>
  </si>
  <si>
    <t>de 3,6 ori</t>
  </si>
  <si>
    <t>Bunuri neclasificate în altă secţiune din CSCI</t>
  </si>
  <si>
    <t>de 1,6 ori</t>
  </si>
  <si>
    <t>de 2,8 ori</t>
  </si>
  <si>
    <t>România</t>
  </si>
  <si>
    <t>Regatul Unit al Marii Britanii şi Irlandei de Nord</t>
  </si>
  <si>
    <t>Franţa</t>
  </si>
  <si>
    <t>Republica Cehă</t>
  </si>
  <si>
    <t>Croaţia</t>
  </si>
  <si>
    <t>Mozambic</t>
  </si>
  <si>
    <t>Federaţia Rusă</t>
  </si>
  <si>
    <t>Kîrgîzstan</t>
  </si>
  <si>
    <t>Elveţia</t>
  </si>
  <si>
    <t>Arabia Saudită</t>
  </si>
  <si>
    <t>IMPORT - total</t>
  </si>
  <si>
    <t>Noua Zeelandă</t>
  </si>
  <si>
    <t>Şri Lanka</t>
  </si>
  <si>
    <t>Trinidad Tobago</t>
  </si>
  <si>
    <t>Republica Dominicană</t>
  </si>
  <si>
    <t xml:space="preserve">Celelalte ţări ale lumii </t>
  </si>
  <si>
    <t xml:space="preserve">Ţările CSI </t>
  </si>
  <si>
    <t>Pastă de hârtie şi deşeuri de hârtie</t>
  </si>
  <si>
    <t>Alte uleiuri şi grăsimi animale sau vegetale prelucrate; ceară de origine animală sau vegetală, amestecuri sau preparate necomestibile din uleiuri animale sau vegetale</t>
  </si>
  <si>
    <t>Construcţii prefabricate; alte instalaţii şi accesorii pentru instalaţii sanitare, de încălzit şi de iluminat</t>
  </si>
  <si>
    <t>BALANŢA COMERCIALĂ - total, mii dolari SUA</t>
  </si>
  <si>
    <t xml:space="preserve">Țările CSI </t>
  </si>
  <si>
    <t xml:space="preserve">Celelalte țări ale lumii </t>
  </si>
  <si>
    <t xml:space="preserve">IMPORT - total      </t>
  </si>
  <si>
    <t>Celelalte țări ale lumii</t>
  </si>
  <si>
    <t xml:space="preserve">EXPORT - total      </t>
  </si>
  <si>
    <t>Țările Uniunii Europene (UE-28)</t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</si>
  <si>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 Importurile structurate pe moduri de transport a mărfurilor și grupe de ţări   </t>
    </r>
  </si>
  <si>
    <r>
      <rPr>
        <b/>
        <sz val="12"/>
        <rFont val="Times New Roman"/>
        <family val="1"/>
      </rPr>
      <t xml:space="preserve">Anexa 4.  </t>
    </r>
    <r>
      <rPr>
        <b/>
        <i/>
        <sz val="12"/>
        <rFont val="Times New Roman"/>
        <family val="1"/>
      </rPr>
      <t xml:space="preserve">Exporturile structurate pe moduri de transport a mărfurilor și  grupe de ţări </t>
    </r>
  </si>
  <si>
    <t>Bosnia şi Hertegovina</t>
  </si>
  <si>
    <t>Haiti</t>
  </si>
  <si>
    <t>Kuwait</t>
  </si>
  <si>
    <t>Guinea</t>
  </si>
  <si>
    <t>Afganistan</t>
  </si>
  <si>
    <t>de 5,1 ori</t>
  </si>
  <si>
    <t>de 2,4 ori</t>
  </si>
  <si>
    <t>de 3,2 ori</t>
  </si>
  <si>
    <t>Republica Yemen</t>
  </si>
  <si>
    <t>de 6,8 ori</t>
  </si>
  <si>
    <t>Fibre textile (cu excepţia lânii în fuior şi a lânii pieptănate) şi deşeurile lor (neprelucrate în fire sau ţesături)</t>
  </si>
  <si>
    <t>Minereuri metalifere şi deşeuri de metale</t>
  </si>
  <si>
    <t>Hârtie, carton şi articole din pastă de celuloză, din hârtie sau din carton</t>
  </si>
  <si>
    <t>Fire, ţesături, articole textile necuprinse în altă parte şi produse conexe</t>
  </si>
  <si>
    <t>Fier şi oţel</t>
  </si>
  <si>
    <t>Mărfuri manufacturate, clasificate mai ales după materia primă</t>
  </si>
  <si>
    <t xml:space="preserve">EXPORT- total      </t>
  </si>
  <si>
    <t>ianuarie-august</t>
  </si>
  <si>
    <t>Ianuarie-august</t>
  </si>
  <si>
    <t>Ianuarie-august 2018    în % faţă de                          ianuarie-august 2017¹</t>
  </si>
  <si>
    <t>Ianuarie-august 2018</t>
  </si>
  <si>
    <t>în % faţă de ianuarie-august 2017¹</t>
  </si>
  <si>
    <t>Ianuarie-august 2018           în % faţă de                 ianuarie-august 2017¹</t>
  </si>
  <si>
    <t>Ţările Uniunii Europene (UE - 28)</t>
  </si>
  <si>
    <t>Bosnia şi Herţegovina</t>
  </si>
  <si>
    <t>Insulele Virgine Britanice</t>
  </si>
  <si>
    <t>de 121,3 ori</t>
  </si>
  <si>
    <t>de 35,7 ori</t>
  </si>
  <si>
    <t>de 28,7 ori</t>
  </si>
  <si>
    <t>de 5,9 ori</t>
  </si>
  <si>
    <t>de 17,5 ori</t>
  </si>
  <si>
    <t>de 930,8 ori</t>
  </si>
  <si>
    <t>de 3,9 ori</t>
  </si>
  <si>
    <t>de 7,6 ori</t>
  </si>
  <si>
    <t>de 13,0 ori</t>
  </si>
  <si>
    <t>de 6,4 ori</t>
  </si>
  <si>
    <t>de 4,1 ori</t>
  </si>
  <si>
    <t>de 49,0 ori</t>
  </si>
  <si>
    <t>Insulele Faroe</t>
  </si>
  <si>
    <t>Sri Lanka</t>
  </si>
  <si>
    <t>Insulele Folkland</t>
  </si>
  <si>
    <t>Liechtenştein</t>
  </si>
  <si>
    <t>Mauritius</t>
  </si>
  <si>
    <t>de 2446,4 ori</t>
  </si>
  <si>
    <t>de 3,0 ori</t>
  </si>
  <si>
    <t>de 27,9 ori</t>
  </si>
  <si>
    <t>de 9,2 ori</t>
  </si>
  <si>
    <t>de 4,5 ori</t>
  </si>
  <si>
    <t>Ţările CSI</t>
  </si>
  <si>
    <t>Celelalte ţări ale lumii - total</t>
  </si>
  <si>
    <t>de 8,5 ori</t>
  </si>
  <si>
    <t>de 13,7 ori</t>
  </si>
  <si>
    <t>de 906,0 ori</t>
  </si>
  <si>
    <t>Ingrăşăminte naturale şi minerale naturale (exclusiv cărbune, petrol şi pietre preţioase)</t>
  </si>
  <si>
    <t>Cărbune, cocs şi brichete</t>
  </si>
  <si>
    <t>Instrumente şi aparate, profesionale, ştiintifice şi de control</t>
  </si>
  <si>
    <t>Pastă de hârtie şi deseuri de hârtie</t>
  </si>
  <si>
    <t>Fibre textile (cu excepţia lânii în fuior şi a lânii pieptănate) şi deseurile lor (neprelucrate în fire sau ţesături)</t>
  </si>
  <si>
    <t>Uleiuri şi grasimi de origine animală</t>
  </si>
  <si>
    <t>Uleiuri esenţiale, rezinoide şi substanţe parfumate, preparate pentru toaletă, produse pentru înfrumuseţare</t>
  </si>
  <si>
    <t>Băuturi (alcoolice şi nealcoolice)</t>
  </si>
  <si>
    <t>de 5,7 ori</t>
  </si>
  <si>
    <t>de 7,3 ori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</si>
</sst>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"/>
  </numFmts>
  <fonts count="67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left" vertical="top" wrapText="1"/>
    </xf>
    <xf numFmtId="165" fontId="13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2" fontId="15" fillId="0" borderId="0" xfId="0" applyNumberFormat="1" applyFont="1" applyFill="1" applyAlignment="1" applyProtection="1">
      <alignment horizontal="right"/>
      <protection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4" fontId="13" fillId="0" borderId="0" xfId="0" applyNumberFormat="1" applyFont="1" applyFill="1" applyAlignment="1" applyProtection="1">
      <alignment horizontal="right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NumberFormat="1" applyFont="1" applyFill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 wrapText="1"/>
      <protection/>
    </xf>
    <xf numFmtId="4" fontId="13" fillId="0" borderId="0" xfId="0" applyNumberFormat="1" applyFont="1" applyFill="1" applyAlignment="1" applyProtection="1">
      <alignment horizontal="right" vertical="top" wrapText="1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 wrapText="1"/>
      <protection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38" fontId="11" fillId="0" borderId="13" xfId="0" applyNumberFormat="1" applyFont="1" applyFill="1" applyBorder="1" applyAlignment="1" applyProtection="1">
      <alignment horizontal="left" vertical="top" wrapText="1"/>
      <protection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4" fontId="11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 horizontal="left" vertical="top" wrapText="1"/>
    </xf>
    <xf numFmtId="38" fontId="13" fillId="0" borderId="13" xfId="0" applyNumberFormat="1" applyFont="1" applyFill="1" applyBorder="1" applyAlignment="1" applyProtection="1">
      <alignment horizontal="left" vertical="top" wrapText="1"/>
      <protection/>
    </xf>
    <xf numFmtId="4" fontId="64" fillId="0" borderId="0" xfId="0" applyNumberFormat="1" applyFont="1" applyBorder="1" applyAlignment="1">
      <alignment horizontal="right" vertical="top" wrapText="1"/>
    </xf>
    <xf numFmtId="4" fontId="65" fillId="0" borderId="0" xfId="0" applyNumberFormat="1" applyFont="1" applyAlignment="1">
      <alignment horizontal="right" vertical="top" wrapText="1"/>
    </xf>
    <xf numFmtId="166" fontId="15" fillId="0" borderId="0" xfId="0" applyNumberFormat="1" applyFont="1" applyAlignment="1">
      <alignment/>
    </xf>
    <xf numFmtId="0" fontId="14" fillId="0" borderId="14" xfId="0" applyNumberFormat="1" applyFont="1" applyFill="1" applyBorder="1" applyAlignment="1" applyProtection="1">
      <alignment horizontal="left" vertical="top" wrapText="1"/>
      <protection/>
    </xf>
    <xf numFmtId="38" fontId="1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38" fontId="13" fillId="0" borderId="0" xfId="0" applyNumberFormat="1" applyFont="1" applyFill="1" applyAlignment="1" applyProtection="1">
      <alignment horizontal="left" vertical="top" wrapText="1"/>
      <protection/>
    </xf>
    <xf numFmtId="4" fontId="65" fillId="0" borderId="0" xfId="0" applyNumberFormat="1" applyFont="1" applyFill="1" applyBorder="1" applyAlignment="1" applyProtection="1">
      <alignment horizontal="right" vertical="top" wrapText="1"/>
      <protection/>
    </xf>
    <xf numFmtId="4" fontId="65" fillId="0" borderId="0" xfId="0" applyNumberFormat="1" applyFont="1" applyFill="1" applyAlignment="1" applyProtection="1">
      <alignment horizontal="right" vertical="top"/>
      <protection/>
    </xf>
    <xf numFmtId="4" fontId="65" fillId="0" borderId="0" xfId="0" applyNumberFormat="1" applyFont="1" applyFill="1" applyAlignment="1" applyProtection="1">
      <alignment horizontal="right" vertical="top" wrapText="1"/>
      <protection/>
    </xf>
    <xf numFmtId="2" fontId="65" fillId="0" borderId="0" xfId="0" applyNumberFormat="1" applyFont="1" applyAlignment="1">
      <alignment horizontal="right" vertical="top" wrapText="1"/>
    </xf>
    <xf numFmtId="4" fontId="66" fillId="0" borderId="0" xfId="0" applyNumberFormat="1" applyFont="1" applyAlignment="1">
      <alignment horizontal="right" vertical="top" wrapText="1"/>
    </xf>
    <xf numFmtId="4" fontId="64" fillId="0" borderId="0" xfId="0" applyNumberFormat="1" applyFont="1" applyAlignment="1">
      <alignment horizontal="right" vertical="top" wrapText="1"/>
    </xf>
    <xf numFmtId="2" fontId="65" fillId="0" borderId="0" xfId="0" applyNumberFormat="1" applyFont="1" applyAlignment="1">
      <alignment horizontal="right" vertical="top" wrapText="1" indent="1"/>
    </xf>
    <xf numFmtId="4" fontId="14" fillId="0" borderId="14" xfId="0" applyNumberFormat="1" applyFont="1" applyFill="1" applyBorder="1" applyAlignment="1" applyProtection="1">
      <alignment horizontal="right" vertical="top" wrapText="1"/>
      <protection/>
    </xf>
    <xf numFmtId="2" fontId="14" fillId="0" borderId="14" xfId="0" applyNumberFormat="1" applyFont="1" applyFill="1" applyBorder="1" applyAlignment="1" applyProtection="1">
      <alignment horizontal="right" vertical="top" wrapText="1"/>
      <protection/>
    </xf>
    <xf numFmtId="4" fontId="11" fillId="0" borderId="13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horizontal="right" vertical="top" wrapText="1"/>
      <protection/>
    </xf>
    <xf numFmtId="2" fontId="14" fillId="0" borderId="0" xfId="0" applyNumberFormat="1" applyFont="1" applyFill="1" applyBorder="1" applyAlignment="1" applyProtection="1">
      <alignment horizontal="right" vertical="top" wrapText="1"/>
      <protection/>
    </xf>
    <xf numFmtId="4" fontId="13" fillId="0" borderId="13" xfId="0" applyNumberFormat="1" applyFont="1" applyFill="1" applyBorder="1" applyAlignment="1" applyProtection="1">
      <alignment horizontal="right" vertical="top" wrapText="1"/>
      <protection/>
    </xf>
    <xf numFmtId="2" fontId="65" fillId="0" borderId="0" xfId="0" applyNumberFormat="1" applyFont="1" applyBorder="1" applyAlignment="1">
      <alignment horizontal="right" vertical="top" wrapText="1"/>
    </xf>
    <xf numFmtId="2" fontId="13" fillId="0" borderId="0" xfId="0" applyNumberFormat="1" applyFont="1" applyFill="1" applyAlignment="1" applyProtection="1">
      <alignment horizontal="right" vertical="top" wrapText="1"/>
      <protection/>
    </xf>
    <xf numFmtId="2" fontId="11" fillId="0" borderId="0" xfId="0" applyNumberFormat="1" applyFont="1" applyFill="1" applyAlignment="1" applyProtection="1">
      <alignment horizontal="right" vertical="top" wrapText="1"/>
      <protection/>
    </xf>
    <xf numFmtId="2" fontId="11" fillId="0" borderId="0" xfId="0" applyNumberFormat="1" applyFont="1" applyFill="1" applyBorder="1" applyAlignment="1" applyProtection="1">
      <alignment horizontal="right" vertical="top" wrapText="1"/>
      <protection/>
    </xf>
    <xf numFmtId="2" fontId="11" fillId="0" borderId="13" xfId="0" applyNumberFormat="1" applyFont="1" applyFill="1" applyBorder="1" applyAlignment="1" applyProtection="1">
      <alignment horizontal="right" vertical="top" wrapText="1"/>
      <protection/>
    </xf>
    <xf numFmtId="2" fontId="13" fillId="0" borderId="13" xfId="0" applyNumberFormat="1" applyFont="1" applyFill="1" applyBorder="1" applyAlignment="1" applyProtection="1">
      <alignment horizontal="right" vertical="top" wrapText="1"/>
      <protection/>
    </xf>
    <xf numFmtId="2" fontId="65" fillId="0" borderId="0" xfId="0" applyNumberFormat="1" applyFont="1" applyFill="1" applyBorder="1" applyAlignment="1" applyProtection="1">
      <alignment horizontal="right" vertical="top" wrapText="1"/>
      <protection/>
    </xf>
    <xf numFmtId="4" fontId="14" fillId="0" borderId="0" xfId="0" applyNumberFormat="1" applyFont="1" applyFill="1" applyAlignment="1" applyProtection="1">
      <alignment horizontal="right" vertical="top" wrapText="1"/>
      <protection/>
    </xf>
    <xf numFmtId="4" fontId="13" fillId="0" borderId="0" xfId="0" applyNumberFormat="1" applyFont="1" applyFill="1" applyAlignment="1" applyProtection="1">
      <alignment horizontal="right" vertical="top"/>
      <protection/>
    </xf>
    <xf numFmtId="2" fontId="27" fillId="0" borderId="0" xfId="0" applyNumberFormat="1" applyFont="1" applyAlignment="1">
      <alignment horizontal="right" vertical="top" wrapText="1"/>
    </xf>
    <xf numFmtId="2" fontId="11" fillId="0" borderId="0" xfId="0" applyNumberFormat="1" applyFont="1" applyAlignment="1">
      <alignment horizontal="right" vertical="top" wrapText="1"/>
    </xf>
    <xf numFmtId="2" fontId="13" fillId="0" borderId="0" xfId="0" applyNumberFormat="1" applyFont="1" applyAlignment="1">
      <alignment horizontal="right" vertical="top" wrapText="1"/>
    </xf>
    <xf numFmtId="2" fontId="11" fillId="0" borderId="0" xfId="0" applyNumberFormat="1" applyFont="1" applyBorder="1" applyAlignment="1">
      <alignment horizontal="right" vertical="top" wrapText="1"/>
    </xf>
    <xf numFmtId="2" fontId="11" fillId="0" borderId="13" xfId="0" applyNumberFormat="1" applyFont="1" applyBorder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14" fillId="0" borderId="0" xfId="0" applyNumberFormat="1" applyFont="1" applyFill="1" applyAlignment="1" applyProtection="1">
      <alignment horizontal="right" vertical="top"/>
      <protection/>
    </xf>
    <xf numFmtId="2" fontId="14" fillId="0" borderId="14" xfId="0" applyNumberFormat="1" applyFont="1" applyFill="1" applyBorder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2" fontId="13" fillId="0" borderId="0" xfId="0" applyNumberFormat="1" applyFont="1" applyFill="1" applyAlignment="1" applyProtection="1">
      <alignment horizontal="right" vertical="top"/>
      <protection/>
    </xf>
    <xf numFmtId="2" fontId="11" fillId="0" borderId="0" xfId="0" applyNumberFormat="1" applyFont="1" applyFill="1" applyAlignment="1" applyProtection="1">
      <alignment horizontal="right" vertical="top"/>
      <protection/>
    </xf>
    <xf numFmtId="4" fontId="11" fillId="0" borderId="13" xfId="0" applyNumberFormat="1" applyFont="1" applyFill="1" applyBorder="1" applyAlignment="1" applyProtection="1">
      <alignment horizontal="right" vertical="top"/>
      <protection/>
    </xf>
    <xf numFmtId="4" fontId="11" fillId="0" borderId="13" xfId="0" applyNumberFormat="1" applyFont="1" applyBorder="1" applyAlignment="1">
      <alignment horizontal="right" vertical="top"/>
    </xf>
    <xf numFmtId="0" fontId="19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7"/>
  <sheetViews>
    <sheetView tabSelected="1" zoomScalePageLayoutView="0" workbookViewId="0" topLeftCell="A1">
      <selection activeCell="J13" sqref="J13"/>
    </sheetView>
  </sheetViews>
  <sheetFormatPr defaultColWidth="9.00390625" defaultRowHeight="15.75"/>
  <cols>
    <col min="1" max="1" width="27.875" style="11" customWidth="1"/>
    <col min="2" max="2" width="12.125" style="11" customWidth="1"/>
    <col min="3" max="3" width="11.625" style="11" customWidth="1"/>
    <col min="4" max="4" width="8.50390625" style="11" customWidth="1"/>
    <col min="5" max="5" width="8.25390625" style="11" customWidth="1"/>
    <col min="6" max="6" width="10.00390625" style="11" customWidth="1"/>
    <col min="7" max="7" width="10.125" style="11" customWidth="1"/>
  </cols>
  <sheetData>
    <row r="1" spans="1:7" ht="15.75">
      <c r="A1" s="90" t="s">
        <v>200</v>
      </c>
      <c r="B1" s="90"/>
      <c r="C1" s="90"/>
      <c r="D1" s="90"/>
      <c r="E1" s="90"/>
      <c r="F1" s="90"/>
      <c r="G1" s="90"/>
    </row>
    <row r="3" spans="1:7" ht="55.5" customHeight="1">
      <c r="A3" s="91"/>
      <c r="B3" s="94" t="s">
        <v>268</v>
      </c>
      <c r="C3" s="95"/>
      <c r="D3" s="94" t="s">
        <v>166</v>
      </c>
      <c r="E3" s="95"/>
      <c r="F3" s="96" t="s">
        <v>1</v>
      </c>
      <c r="G3" s="97"/>
    </row>
    <row r="4" spans="1:7" ht="21.75" customHeight="1">
      <c r="A4" s="92"/>
      <c r="B4" s="98" t="s">
        <v>151</v>
      </c>
      <c r="C4" s="100" t="s">
        <v>269</v>
      </c>
      <c r="D4" s="102" t="s">
        <v>265</v>
      </c>
      <c r="E4" s="102"/>
      <c r="F4" s="102" t="s">
        <v>265</v>
      </c>
      <c r="G4" s="94"/>
    </row>
    <row r="5" spans="1:7" ht="23.25" customHeight="1">
      <c r="A5" s="93"/>
      <c r="B5" s="99"/>
      <c r="C5" s="101"/>
      <c r="D5" s="28">
        <v>2017</v>
      </c>
      <c r="E5" s="28">
        <v>2018</v>
      </c>
      <c r="F5" s="28" t="s">
        <v>145</v>
      </c>
      <c r="G5" s="24" t="s">
        <v>172</v>
      </c>
    </row>
    <row r="6" spans="1:7" ht="15.75" customHeight="1">
      <c r="A6" s="52" t="s">
        <v>244</v>
      </c>
      <c r="B6" s="61">
        <f>IF(1752733.24746="","-",1752733.24746)</f>
        <v>1752733.24746</v>
      </c>
      <c r="C6" s="62">
        <f>IF(1427663.68281="","-",1752733.24746/1427663.68281*100)</f>
        <v>122.76933766432873</v>
      </c>
      <c r="D6" s="62">
        <v>100</v>
      </c>
      <c r="E6" s="62">
        <v>100</v>
      </c>
      <c r="F6" s="62">
        <f>IF(1239054.72912="","-",(1427663.68281-1239054.72912)/1239054.72912*100)</f>
        <v>15.222003456130908</v>
      </c>
      <c r="G6" s="62">
        <f>IF(1427663.68281="","-",(1752733.24746-1427663.68281)/1427663.68281*100)</f>
        <v>22.769337664328738</v>
      </c>
    </row>
    <row r="7" spans="1:7" ht="13.5" customHeight="1">
      <c r="A7" s="10" t="s">
        <v>2</v>
      </c>
      <c r="B7" s="46"/>
      <c r="C7" s="68"/>
      <c r="D7" s="57"/>
      <c r="E7" s="57"/>
      <c r="F7" s="57"/>
      <c r="G7" s="57"/>
    </row>
    <row r="8" spans="1:7" ht="15.75" customHeight="1">
      <c r="A8" s="31" t="s">
        <v>271</v>
      </c>
      <c r="B8" s="33">
        <f>IF(1213823.27861="","-",1213823.27861)</f>
        <v>1213823.27861</v>
      </c>
      <c r="C8" s="69">
        <f>IF(915525.88776="","-",1213823.27861/915525.88776*100)</f>
        <v>132.58208149414963</v>
      </c>
      <c r="D8" s="69">
        <f>IF(915525.88776="","-",915525.88776/1427663.68281*100)</f>
        <v>64.12756020787862</v>
      </c>
      <c r="E8" s="69">
        <f>IF(1213823.27861="","-",1213823.27861/1752733.24746*100)</f>
        <v>69.25316675364208</v>
      </c>
      <c r="F8" s="69">
        <f>IF(1239054.72912="","-",(915525.88776-784422.0336)/1239054.72912*100)</f>
        <v>10.580957489513995</v>
      </c>
      <c r="G8" s="69">
        <f>IF(1427663.68281="","-",(1213823.27861-915525.88776)/1427663.68281*100)</f>
        <v>20.894093927140876</v>
      </c>
    </row>
    <row r="9" spans="1:7" s="18" customFormat="1" ht="15.75">
      <c r="A9" s="22" t="s">
        <v>219</v>
      </c>
      <c r="B9" s="36">
        <f>IF(488344.46327="","-",488344.46327)</f>
        <v>488344.46327</v>
      </c>
      <c r="C9" s="70">
        <f>IF(OR(349000.74254="",488344.46327=""),"-",488344.46327/349000.74254*100)</f>
        <v>139.92648259595876</v>
      </c>
      <c r="D9" s="70">
        <f>IF(349000.74254="","-",349000.74254/1427663.68281*100)</f>
        <v>24.445585241271885</v>
      </c>
      <c r="E9" s="70">
        <f>IF(488344.46327="","-",488344.46327/1752733.24746*100)</f>
        <v>27.86188166269407</v>
      </c>
      <c r="F9" s="70">
        <f>IF(OR(1239054.72912="",301495.68633="",349000.74254=""),"-",(349000.74254-301495.68633)/1239054.72912*100)</f>
        <v>3.833975618150378</v>
      </c>
      <c r="G9" s="70">
        <f>IF(OR(1427663.68281="",488344.46327="",349000.74254=""),"-",(488344.46327-349000.74254)/1427663.68281*100)</f>
        <v>9.760262336836686</v>
      </c>
    </row>
    <row r="10" spans="1:7" s="18" customFormat="1" ht="15.75">
      <c r="A10" s="22" t="s">
        <v>3</v>
      </c>
      <c r="B10" s="36">
        <f>IF(206108.69132="","-",206108.69132)</f>
        <v>206108.69132</v>
      </c>
      <c r="C10" s="70" t="s">
        <v>217</v>
      </c>
      <c r="D10" s="70">
        <f>IF(132189.34841="","-",132189.34841/1427663.68281*100)</f>
        <v>9.259137848895774</v>
      </c>
      <c r="E10" s="70">
        <f>IF(206108.69132="","-",206108.69132/1752733.24746*100)</f>
        <v>11.759273216200215</v>
      </c>
      <c r="F10" s="70">
        <f>IF(OR(1239054.72912="",125081.21264="",132189.34841=""),"-",(132189.34841-125081.21264)/1239054.72912*100)</f>
        <v>0.5736740761280448</v>
      </c>
      <c r="G10" s="70">
        <f>IF(OR(1427663.68281="",206108.69132="",132189.34841=""),"-",(206108.69132-132189.34841)/1427663.68281*100)</f>
        <v>5.177643992772038</v>
      </c>
    </row>
    <row r="11" spans="1:7" s="18" customFormat="1" ht="15.75">
      <c r="A11" s="22" t="s">
        <v>4</v>
      </c>
      <c r="B11" s="36">
        <f>IF(147326.36353="","-",147326.36353)</f>
        <v>147326.36353</v>
      </c>
      <c r="C11" s="70">
        <f>IF(OR(95606.99673="",147326.36353=""),"-",147326.36353/95606.99673*100)</f>
        <v>154.09579692797865</v>
      </c>
      <c r="D11" s="70">
        <f>IF(95606.99673="","-",95606.99673/1427663.68281*100)</f>
        <v>6.696745030441726</v>
      </c>
      <c r="E11" s="70">
        <f>IF(147326.36353="","-",147326.36353/1752733.24746*100)</f>
        <v>8.405521133549572</v>
      </c>
      <c r="F11" s="70">
        <f>IF(OR(1239054.72912="",78645.05077="",95606.99673=""),"-",(95606.99673-78645.05077)/1239054.72912*100)</f>
        <v>1.3689424334021703</v>
      </c>
      <c r="G11" s="70">
        <f>IF(OR(1427663.68281="",147326.36353="",95606.99673=""),"-",(147326.36353-95606.99673)/1427663.68281*100)</f>
        <v>3.6226575924522595</v>
      </c>
    </row>
    <row r="12" spans="1:7" s="18" customFormat="1" ht="15.75">
      <c r="A12" s="22" t="s">
        <v>5</v>
      </c>
      <c r="B12" s="36">
        <f>IF(60882.43966="","-",60882.43966)</f>
        <v>60882.43966</v>
      </c>
      <c r="C12" s="70">
        <f>IF(OR(46804.91862="",60882.43966=""),"-",60882.43966/46804.91862*100)</f>
        <v>130.077012106981</v>
      </c>
      <c r="D12" s="70">
        <f>IF(46804.91862="","-",46804.91862/1427663.68281*100)</f>
        <v>3.27842748845976</v>
      </c>
      <c r="E12" s="70">
        <f>IF(60882.43966="","-",60882.43966/1752733.24746*100)</f>
        <v>3.4735713348410955</v>
      </c>
      <c r="F12" s="70">
        <f>IF(OR(1239054.72912="",42617.96319="",46804.91862=""),"-",(46804.91862-42617.96319)/1239054.72912*100)</f>
        <v>0.33791529394134584</v>
      </c>
      <c r="G12" s="70">
        <f>IF(OR(1427663.68281="",60882.43966="",46804.91862=""),"-",(60882.43966-46804.91862)/1427663.68281*100)</f>
        <v>0.9860530326226349</v>
      </c>
    </row>
    <row r="13" spans="1:7" s="18" customFormat="1" ht="25.5">
      <c r="A13" s="22" t="s">
        <v>220</v>
      </c>
      <c r="B13" s="36">
        <f>IF(58027.56619="","-",58027.56619)</f>
        <v>58027.56619</v>
      </c>
      <c r="C13" s="70">
        <f>IF(OR(86661.29131="",58027.56619=""),"-",58027.56619/86661.29131*100)</f>
        <v>66.9590370889201</v>
      </c>
      <c r="D13" s="70">
        <f>IF(86661.29131="","-",86661.29131/1427663.68281*100)</f>
        <v>6.070147497163258</v>
      </c>
      <c r="E13" s="70">
        <f>IF(58027.56619="","-",58027.56619/1752733.24746*100)</f>
        <v>3.3106901049598694</v>
      </c>
      <c r="F13" s="70">
        <f>IF(OR(1239054.72912="",76820.97689="",86661.29131=""),"-",(86661.29131-76820.97689)/1239054.72912*100)</f>
        <v>0.7941791584128629</v>
      </c>
      <c r="G13" s="70">
        <f>IF(OR(1427663.68281="",58027.56619="",86661.29131=""),"-",(58027.56619-86661.29131)/1427663.68281*100)</f>
        <v>-2.0056351831855563</v>
      </c>
    </row>
    <row r="14" spans="1:7" s="18" customFormat="1" ht="15.75">
      <c r="A14" s="22" t="s">
        <v>221</v>
      </c>
      <c r="B14" s="36">
        <f>IF(36747.47085="","-",36747.47085)</f>
        <v>36747.47085</v>
      </c>
      <c r="C14" s="70">
        <f>IF(OR(24002.11956="",36747.47085=""),"-",36747.47085/24002.11956*100)</f>
        <v>153.10094076541628</v>
      </c>
      <c r="D14" s="70">
        <f>IF(24002.11956="","-",24002.11956/1427663.68281*100)</f>
        <v>1.6812166513024842</v>
      </c>
      <c r="E14" s="70">
        <f>IF(36747.47085="","-",36747.47085/1752733.24746*100)</f>
        <v>2.096580920299946</v>
      </c>
      <c r="F14" s="70">
        <f>IF(OR(1239054.72912="",27870.50241="",24002.11956=""),"-",(24002.11956-27870.50241)/1239054.72912*100)</f>
        <v>-0.31220435700587656</v>
      </c>
      <c r="G14" s="70">
        <f>IF(OR(1427663.68281="",36747.47085="",24002.11956=""),"-",(36747.47085-24002.11956)/1427663.68281*100)</f>
        <v>0.8927418581464475</v>
      </c>
    </row>
    <row r="15" spans="1:7" s="20" customFormat="1" ht="15.75">
      <c r="A15" s="22" t="s">
        <v>6</v>
      </c>
      <c r="B15" s="36">
        <f>IF(34283.4944="","-",34283.4944)</f>
        <v>34283.4944</v>
      </c>
      <c r="C15" s="70">
        <f>IF(OR(52506.9555099999="",34283.4944=""),"-",34283.4944/52506.9555099999*100)</f>
        <v>65.293243660777</v>
      </c>
      <c r="D15" s="70">
        <f>IF(52506.9555099999="","-",52506.9555099999/1427663.68281*100)</f>
        <v>3.677823856011596</v>
      </c>
      <c r="E15" s="70">
        <f>IF(34283.4944="","-",34283.4944/1752733.24746*100)</f>
        <v>1.956001830266097</v>
      </c>
      <c r="F15" s="70">
        <f>IF(OR(1239054.72912="",38367.69264="",52506.9555099999=""),"-",(52506.9555099999-38367.69264)/1239054.72912*100)</f>
        <v>1.1411330377667714</v>
      </c>
      <c r="G15" s="70">
        <f>IF(OR(1427663.68281="",34283.4944="",52506.9555099999=""),"-",(34283.4944-52506.9555099999)/1427663.68281*100)</f>
        <v>-1.2764533642917606</v>
      </c>
    </row>
    <row r="16" spans="1:7" s="18" customFormat="1" ht="15.75">
      <c r="A16" s="22" t="s">
        <v>7</v>
      </c>
      <c r="B16" s="36">
        <f>IF(27319.92265="","-",27319.92265)</f>
        <v>27319.92265</v>
      </c>
      <c r="C16" s="70">
        <f>IF(OR(19995.0708="",27319.92265=""),"-",27319.92265/19995.0708*100)</f>
        <v>136.6332878901334</v>
      </c>
      <c r="D16" s="70">
        <f>IF(19995.0708="","-",19995.0708/1427663.68281*100)</f>
        <v>1.400544893083271</v>
      </c>
      <c r="E16" s="70">
        <f>IF(27319.92265="","-",27319.92265/1752733.24746*100)</f>
        <v>1.5587039664815556</v>
      </c>
      <c r="F16" s="70">
        <f>IF(OR(1239054.72912="",14648.87627="",19995.0708=""),"-",(19995.0708-14648.87627)/1239054.72912*100)</f>
        <v>0.43147363908589964</v>
      </c>
      <c r="G16" s="70">
        <f>IF(OR(1427663.68281="",27319.92265="",19995.0708=""),"-",(27319.92265-19995.0708)/1427663.68281*100)</f>
        <v>0.5130656427137557</v>
      </c>
    </row>
    <row r="17" spans="1:7" s="18" customFormat="1" ht="15.75">
      <c r="A17" s="22" t="s">
        <v>222</v>
      </c>
      <c r="B17" s="36">
        <f>IF(26519.42261="","-",26519.42261)</f>
        <v>26519.42261</v>
      </c>
      <c r="C17" s="70">
        <f>IF(OR(19460.93556="",26519.42261=""),"-",26519.42261/19460.93556*100)</f>
        <v>136.27002940448563</v>
      </c>
      <c r="D17" s="70">
        <f>IF(19460.93556="","-",19460.93556/1427663.68281*100)</f>
        <v>1.363131653086251</v>
      </c>
      <c r="E17" s="70">
        <f>IF(26519.42261="","-",26519.42261/1752733.24746*100)</f>
        <v>1.5130324393875123</v>
      </c>
      <c r="F17" s="70">
        <f>IF(OR(1239054.72912="",18766.57792="",19460.93556=""),"-",(19460.93556-18766.57792)/1239054.72912*100)</f>
        <v>0.056039303485258304</v>
      </c>
      <c r="G17" s="70">
        <f>IF(OR(1427663.68281="",26519.42261="",19460.93556=""),"-",(26519.42261-19460.93556)/1427663.68281*100)</f>
        <v>0.49440825139623423</v>
      </c>
    </row>
    <row r="18" spans="1:7" s="18" customFormat="1" ht="15.75">
      <c r="A18" s="22" t="s">
        <v>9</v>
      </c>
      <c r="B18" s="36">
        <f>IF(25202.96418="","-",25202.96418)</f>
        <v>25202.96418</v>
      </c>
      <c r="C18" s="70" t="s">
        <v>159</v>
      </c>
      <c r="D18" s="70">
        <f>IF(14651.06905="","-",14651.06905/1427663.68281*100)</f>
        <v>1.0262269206962682</v>
      </c>
      <c r="E18" s="70">
        <f>IF(25202.96418="","-",25202.96418/1752733.24746*100)</f>
        <v>1.4379235526297716</v>
      </c>
      <c r="F18" s="70">
        <f>IF(OR(1239054.72912="",12115.97624="",14651.06905=""),"-",(14651.06905-12115.97624)/1239054.72912*100)</f>
        <v>0.20459893743357654</v>
      </c>
      <c r="G18" s="70">
        <f>IF(OR(1427663.68281="",25202.96418="",14651.06905=""),"-",(25202.96418-14651.06905)/1427663.68281*100)</f>
        <v>0.7391023009866879</v>
      </c>
    </row>
    <row r="19" spans="1:7" s="18" customFormat="1" ht="15.75">
      <c r="A19" s="22" t="s">
        <v>8</v>
      </c>
      <c r="B19" s="36">
        <f>IF(24203.52123="","-",24203.52123)</f>
        <v>24203.52123</v>
      </c>
      <c r="C19" s="70">
        <f>IF(OR(20170.43962="",24203.52123=""),"-",24203.52123/20170.43962*100)</f>
        <v>119.99501094661811</v>
      </c>
      <c r="D19" s="70">
        <f>IF(20170.43962="","-",20170.43962/1427663.68281*100)</f>
        <v>1.4128285157677696</v>
      </c>
      <c r="E19" s="70">
        <f>IF(24203.52123="","-",24203.52123/1752733.24746*100)</f>
        <v>1.3809015869970458</v>
      </c>
      <c r="F19" s="70">
        <f>IF(OR(1239054.72912="",13442.74584="",20170.43962=""),"-",(20170.43962-13442.74584)/1239054.72912*100)</f>
        <v>0.5429698641946298</v>
      </c>
      <c r="G19" s="70">
        <f>IF(OR(1427663.68281="",24203.52123="",20170.43962=""),"-",(24203.52123-20170.43962)/1427663.68281*100)</f>
        <v>0.28249521638470776</v>
      </c>
    </row>
    <row r="20" spans="1:9" s="18" customFormat="1" ht="15.75">
      <c r="A20" s="22" t="s">
        <v>87</v>
      </c>
      <c r="B20" s="36">
        <f>IF(19081.05023="","-",19081.05023)</f>
        <v>19081.05023</v>
      </c>
      <c r="C20" s="70">
        <f>IF(OR(14431.01796="",19081.05023=""),"-",19081.05023/14431.01796*100)</f>
        <v>132.2224827305253</v>
      </c>
      <c r="D20" s="70">
        <f>IF(14431.01796="","-",14431.01796/1427663.68281*100)</f>
        <v>1.01081355040118</v>
      </c>
      <c r="E20" s="70">
        <f>IF(19081.05023="","-",19081.05023/1752733.24746*100)</f>
        <v>1.0886454203827989</v>
      </c>
      <c r="F20" s="70">
        <f>IF(OR(1239054.72912="",3905.21075="",14431.01796=""),"-",(14431.01796-3905.21075)/1239054.72912*100)</f>
        <v>0.849503009239602</v>
      </c>
      <c r="G20" s="70">
        <f>IF(OR(1427663.68281="",19081.05023="",14431.01796=""),"-",(19081.05023-14431.01796)/1427663.68281*100)</f>
        <v>0.32570922171582967</v>
      </c>
      <c r="I20" s="18" t="s">
        <v>184</v>
      </c>
    </row>
    <row r="21" spans="1:7" s="18" customFormat="1" ht="15.75">
      <c r="A21" s="22" t="s">
        <v>91</v>
      </c>
      <c r="B21" s="36">
        <f>IF(13083.51311="","-",13083.51311)</f>
        <v>13083.51311</v>
      </c>
      <c r="C21" s="70" t="s">
        <v>150</v>
      </c>
      <c r="D21" s="70">
        <f>IF(5953.53583="","-",5953.53583/1427663.68281*100)</f>
        <v>0.41701248702229016</v>
      </c>
      <c r="E21" s="70">
        <f>IF(13083.51311="","-",13083.51311/1752733.24746*100)</f>
        <v>0.7464634523798857</v>
      </c>
      <c r="F21" s="70">
        <f>IF(OR(1239054.72912="",4670.06782="",5953.53583=""),"-",(5953.53583-4670.06782)/1239054.72912*100)</f>
        <v>0.1035844486798047</v>
      </c>
      <c r="G21" s="70">
        <f>IF(OR(1427663.68281="",13083.51311="",5953.53583=""),"-",(13083.51311-5953.53583)/1427663.68281*100)</f>
        <v>0.49941574937077743</v>
      </c>
    </row>
    <row r="22" spans="1:7" s="11" customFormat="1" ht="15.75">
      <c r="A22" s="22" t="s">
        <v>88</v>
      </c>
      <c r="B22" s="36">
        <f>IF(10175.85517="","-",10175.85517)</f>
        <v>10175.85517</v>
      </c>
      <c r="C22" s="70">
        <f>IF(OR(8206.10559="",10175.85517=""),"-",10175.85517/8206.10559*100)</f>
        <v>124.0034637429032</v>
      </c>
      <c r="D22" s="70">
        <f>IF(8206.10559="","-",8206.10559/1427663.68281*100)</f>
        <v>0.5747926271997286</v>
      </c>
      <c r="E22" s="70">
        <f>IF(10175.85517="","-",10175.85517/1752733.24746*100)</f>
        <v>0.5805706706794371</v>
      </c>
      <c r="F22" s="70">
        <f>IF(OR(1239054.72912="",6315.97463="",8206.10559=""),"-",(8206.10559-6315.97463)/1239054.72912*100)</f>
        <v>0.15254620442330308</v>
      </c>
      <c r="G22" s="70">
        <f>IF(OR(1427663.68281="",10175.85517="",8206.10559=""),"-",(10175.85517-8206.10559)/1427663.68281*100)</f>
        <v>0.13797013986676757</v>
      </c>
    </row>
    <row r="23" spans="1:7" s="11" customFormat="1" ht="15.75">
      <c r="A23" s="22" t="s">
        <v>98</v>
      </c>
      <c r="B23" s="36">
        <f>IF(9350.27607="","-",9350.27607)</f>
        <v>9350.27607</v>
      </c>
      <c r="C23" s="70" t="s">
        <v>274</v>
      </c>
      <c r="D23" s="70">
        <f>IF(77.08266="","-",77.08266/1427663.68281*100)</f>
        <v>0.00539921698143095</v>
      </c>
      <c r="E23" s="70">
        <f>IF(9350.27607="","-",9350.27607/1752733.24746*100)</f>
        <v>0.5334682892305543</v>
      </c>
      <c r="F23" s="70">
        <f>IF(OR(1239054.72912="",283.37314="",77.08266=""),"-",(77.08266-283.37314)/1239054.72912*100)</f>
        <v>-0.016649020834334845</v>
      </c>
      <c r="G23" s="70">
        <f>IF(OR(1427663.68281="",9350.27607="",77.08266=""),"-",(9350.27607-77.08266)/1427663.68281*100)</f>
        <v>0.6495362683561461</v>
      </c>
    </row>
    <row r="24" spans="1:7" s="18" customFormat="1" ht="15.75">
      <c r="A24" s="22" t="s">
        <v>90</v>
      </c>
      <c r="B24" s="36">
        <f>IF(6470.04828="","-",6470.04828)</f>
        <v>6470.04828</v>
      </c>
      <c r="C24" s="70">
        <f>IF(OR(5353.54187="",6470.04828=""),"-",6470.04828/5353.54187*100)</f>
        <v>120.85547170662177</v>
      </c>
      <c r="D24" s="70">
        <f>IF(5353.54187="","-",5353.54187/1427663.68281*100)</f>
        <v>0.3749862053969803</v>
      </c>
      <c r="E24" s="70">
        <f>IF(6470.04828="","-",6470.04828/1752733.24746*100)</f>
        <v>0.3691405003799733</v>
      </c>
      <c r="F24" s="70">
        <f>IF(OR(1239054.72912="",4946.02584="",5353.54187=""),"-",(5353.54187-4946.02584)/1239054.72912*100)</f>
        <v>0.032889267957471525</v>
      </c>
      <c r="G24" s="70">
        <f>IF(OR(1427663.68281="",6470.04828="",5353.54187=""),"-",(6470.04828-5353.54187)/1427663.68281*100)</f>
        <v>0.07820514197030183</v>
      </c>
    </row>
    <row r="25" spans="1:7" s="18" customFormat="1" ht="15.75">
      <c r="A25" s="22" t="s">
        <v>94</v>
      </c>
      <c r="B25" s="36">
        <f>IF(5883.00819="","-",5883.00819)</f>
        <v>5883.00819</v>
      </c>
      <c r="C25" s="70">
        <f>IF(OR(5728.56828="",5883.00819=""),"-",5883.00819/5728.56828*100)</f>
        <v>102.69596001044783</v>
      </c>
      <c r="D25" s="70">
        <f>IF(5728.56828="","-",5728.56828/1427663.68281*100)</f>
        <v>0.40125474570626757</v>
      </c>
      <c r="E25" s="70">
        <f>IF(5883.00819="","-",5883.00819/1752733.24746*100)</f>
        <v>0.335647663358098</v>
      </c>
      <c r="F25" s="70">
        <f>IF(OR(1239054.72912="",2489.8118="",5728.56828=""),"-",(5728.56828-2489.8118)/1239054.72912*100)</f>
        <v>0.26138929975274183</v>
      </c>
      <c r="G25" s="70">
        <f>IF(OR(1427663.68281="",5883.00819="",5728.56828=""),"-",(5883.00819-5728.56828)/1427663.68281*100)</f>
        <v>0.01081766748426511</v>
      </c>
    </row>
    <row r="26" spans="1:7" s="11" customFormat="1" ht="15.75">
      <c r="A26" s="22" t="s">
        <v>89</v>
      </c>
      <c r="B26" s="36">
        <f>IF(5124.84493="","-",5124.84493)</f>
        <v>5124.84493</v>
      </c>
      <c r="C26" s="70">
        <f>IF(OR(6285.8914="",5124.84493=""),"-",5124.84493/6285.8914*100)</f>
        <v>81.52932661229241</v>
      </c>
      <c r="D26" s="70">
        <f>IF(6285.8914="","-",6285.8914/1427663.68281*100)</f>
        <v>0.4402921693453595</v>
      </c>
      <c r="E26" s="70">
        <f>IF(5124.84493="","-",5124.84493/1752733.24746*100)</f>
        <v>0.2923916082168662</v>
      </c>
      <c r="F26" s="70">
        <f>IF(OR(1239054.72912="",3972.69728="",6285.8914=""),"-",(6285.8914-3972.69728)/1239054.72912*100)</f>
        <v>0.18669022970784144</v>
      </c>
      <c r="G26" s="70">
        <f>IF(OR(1427663.68281="",5124.84493="",6285.8914=""),"-",(5124.84493-6285.8914)/1427663.68281*100)</f>
        <v>-0.08132492855143375</v>
      </c>
    </row>
    <row r="27" spans="1:7" s="11" customFormat="1" ht="15.75">
      <c r="A27" s="22" t="s">
        <v>92</v>
      </c>
      <c r="B27" s="36">
        <f>IF(4014.63246="","-",4014.63246)</f>
        <v>4014.63246</v>
      </c>
      <c r="C27" s="70">
        <f>IF(OR(3165.48846="",4014.63246=""),"-",4014.63246/3165.48846*100)</f>
        <v>126.82505435511837</v>
      </c>
      <c r="D27" s="70">
        <f>IF(3165.48846="","-",3165.48846/1427663.68281*100)</f>
        <v>0.22172508120186438</v>
      </c>
      <c r="E27" s="70">
        <f>IF(4014.63246="","-",4014.63246/1752733.24746*100)</f>
        <v>0.22904982636792365</v>
      </c>
      <c r="F27" s="70">
        <f>IF(OR(1239054.72912="",3145.28194="",3165.48846=""),"-",(3165.48846-3145.28194)/1239054.72912*100)</f>
        <v>0.0016308012491386263</v>
      </c>
      <c r="G27" s="70">
        <f>IF(OR(1427663.68281="",4014.63246="",3165.48846=""),"-",(4014.63246-3165.48846)/1427663.68281*100)</f>
        <v>0.05947787355133049</v>
      </c>
    </row>
    <row r="28" spans="1:7" s="11" customFormat="1" ht="15.75">
      <c r="A28" s="22" t="s">
        <v>93</v>
      </c>
      <c r="B28" s="36">
        <f>IF(2221.26301="","-",2221.26301)</f>
        <v>2221.26301</v>
      </c>
      <c r="C28" s="70">
        <f>IF(OR(2091.4196="",2221.26301=""),"-",2221.26301/2091.4196*100)</f>
        <v>106.20838639936242</v>
      </c>
      <c r="D28" s="70">
        <f>IF(2091.4196="","-",2091.4196/1427663.68281*100)</f>
        <v>0.14649245653455037</v>
      </c>
      <c r="E28" s="70">
        <f>IF(2221.26301="","-",2221.26301/1752733.24746*100)</f>
        <v>0.12673137873198773</v>
      </c>
      <c r="F28" s="70">
        <f>IF(OR(1239054.72912="",2436.65277="",2091.4196=""),"-",(2091.4196-2436.65277)/1239054.72912*100)</f>
        <v>-0.027862624780520477</v>
      </c>
      <c r="G28" s="70">
        <f>IF(OR(1427663.68281="",2221.26301="",2091.4196=""),"-",(2221.26301-2091.4196)/1427663.68281*100)</f>
        <v>0.009094817747582931</v>
      </c>
    </row>
    <row r="29" spans="1:7" s="11" customFormat="1" ht="15.75">
      <c r="A29" s="22" t="s">
        <v>95</v>
      </c>
      <c r="B29" s="36">
        <f>IF(1261.11038="","-",1261.11038)</f>
        <v>1261.11038</v>
      </c>
      <c r="C29" s="70">
        <f>IF(OR(1063.63752="",1261.11038=""),"-",1261.11038/1063.63752*100)</f>
        <v>118.5658042600829</v>
      </c>
      <c r="D29" s="70">
        <f>IF(1063.63752="","-",1063.63752/1427663.68281*100)</f>
        <v>0.0745019665910738</v>
      </c>
      <c r="E29" s="70">
        <f>IF(1261.11038="","-",1261.11038/1752733.24746*100)</f>
        <v>0.07195107309270006</v>
      </c>
      <c r="F29" s="70">
        <f>IF(OR(1239054.72912="",1012.15242="",1063.63752=""),"-",(1063.63752-1012.15242)/1239054.72912*100)</f>
        <v>0.004155191759492792</v>
      </c>
      <c r="G29" s="70">
        <f>IF(OR(1427663.68281="",1261.11038="",1063.63752=""),"-",(1261.11038-1063.63752)/1427663.68281*100)</f>
        <v>0.013831889287211116</v>
      </c>
    </row>
    <row r="30" spans="1:7" s="11" customFormat="1" ht="15.75">
      <c r="A30" s="22" t="s">
        <v>97</v>
      </c>
      <c r="B30" s="36">
        <f>IF(647.87727="","-",647.87727)</f>
        <v>647.87727</v>
      </c>
      <c r="C30" s="70">
        <f>IF(OR(903.48505="",647.87727=""),"-",647.87727/903.48505*100)</f>
        <v>71.7086873767308</v>
      </c>
      <c r="D30" s="70">
        <f>IF(903.48505="","-",903.48505/1427663.68281*100)</f>
        <v>0.06328416565319606</v>
      </c>
      <c r="E30" s="70">
        <f>IF(647.87727="","-",647.87727/1752733.24746*100)</f>
        <v>0.03696382612350631</v>
      </c>
      <c r="F30" s="70">
        <f>IF(OR(1239054.72912="",511.07549="",903.48505=""),"-",(903.48505-511.07549)/1239054.72912*100)</f>
        <v>0.031670074838316194</v>
      </c>
      <c r="G30" s="70">
        <f>IF(OR(1427663.68281="",647.87727="",903.48505=""),"-",(647.87727-903.48505)/1427663.68281*100)</f>
        <v>-0.01790392114597325</v>
      </c>
    </row>
    <row r="31" spans="1:7" s="11" customFormat="1" ht="15.75">
      <c r="A31" s="22" t="s">
        <v>102</v>
      </c>
      <c r="B31" s="36">
        <f>IF(573.68424="","-",573.68424)</f>
        <v>573.68424</v>
      </c>
      <c r="C31" s="70" t="s">
        <v>275</v>
      </c>
      <c r="D31" s="70">
        <f>IF(16.04847="","-",16.04847/1427663.68281*100)</f>
        <v>0.0011241071824711958</v>
      </c>
      <c r="E31" s="70">
        <f>IF(573.68424="","-",573.68424/1752733.24746*100)</f>
        <v>0.03273083572935946</v>
      </c>
      <c r="F31" s="70">
        <f>IF(OR(1239054.72912="",27.28626="",16.04847=""),"-",(16.04847-27.28626)/1239054.72912*100)</f>
        <v>-0.0009069647801579588</v>
      </c>
      <c r="G31" s="70">
        <f>IF(OR(1427663.68281="",573.68424="",16.04847=""),"-",(573.68424-16.04847)/1427663.68281*100)</f>
        <v>0.03905932305446288</v>
      </c>
    </row>
    <row r="32" spans="1:7" s="11" customFormat="1" ht="15.75">
      <c r="A32" s="22" t="s">
        <v>223</v>
      </c>
      <c r="B32" s="36">
        <f>IF(463.79563="","-",463.79563)</f>
        <v>463.79563</v>
      </c>
      <c r="C32" s="70" t="s">
        <v>19</v>
      </c>
      <c r="D32" s="70">
        <f>IF(229.87508="","-",229.87508/1427663.68281*100)</f>
        <v>0.01610148683950188</v>
      </c>
      <c r="E32" s="70">
        <f>IF(463.79563="","-",463.79563/1752733.24746*100)</f>
        <v>0.026461278729784838</v>
      </c>
      <c r="F32" s="70">
        <f>IF(OR(1239054.72912="",133.91955="",229.87508=""),"-",(229.87508-133.91955)/1239054.72912*100)</f>
        <v>0.007744252755336274</v>
      </c>
      <c r="G32" s="70">
        <f>IF(OR(1427663.68281="",463.79563="",229.87508=""),"-",(463.79563-229.87508)/1427663.68281*100)</f>
        <v>0.016384849794566867</v>
      </c>
    </row>
    <row r="33" spans="1:7" s="11" customFormat="1" ht="15.75">
      <c r="A33" s="22" t="s">
        <v>100</v>
      </c>
      <c r="B33" s="36">
        <f>IF(316.83077="","-",316.83077)</f>
        <v>316.83077</v>
      </c>
      <c r="C33" s="70">
        <f>IF(OR(613.60097="",316.83077=""),"-",316.83077/613.60097*100)</f>
        <v>51.634659247686656</v>
      </c>
      <c r="D33" s="70">
        <f>IF(613.60097="","-",613.60097/1427663.68281*100)</f>
        <v>0.04297937794371007</v>
      </c>
      <c r="E33" s="70">
        <f>IF(316.83077="","-",316.83077/1752733.24746*100)</f>
        <v>0.018076382727328307</v>
      </c>
      <c r="F33" s="70">
        <f>IF(OR(1239054.72912="",197.56774="",613.60097=""),"-",(613.60097-197.56774)/1239054.72912*100)</f>
        <v>0.03357666293687242</v>
      </c>
      <c r="G33" s="70">
        <f>IF(OR(1427663.68281="",316.83077="",613.60097=""),"-",(316.83077-613.60097)/1427663.68281*100)</f>
        <v>-0.02078712259569998</v>
      </c>
    </row>
    <row r="34" spans="1:7" s="11" customFormat="1" ht="15.75">
      <c r="A34" s="22" t="s">
        <v>96</v>
      </c>
      <c r="B34" s="36">
        <f>IF(158.48512="","-",158.48512)</f>
        <v>158.48512</v>
      </c>
      <c r="C34" s="70" t="s">
        <v>160</v>
      </c>
      <c r="D34" s="70">
        <f>IF(82.14881="","-",82.14881/1427663.68281*100)</f>
        <v>0.005754072964741287</v>
      </c>
      <c r="E34" s="70">
        <f>IF(158.48512="","-",158.48512/1752733.24746*100)</f>
        <v>0.00904217000674068</v>
      </c>
      <c r="F34" s="70">
        <f>IF(OR(1239054.72912="",44.30125="",82.14881=""),"-",(82.14881-44.30125)/1239054.72912*100)</f>
        <v>0.003054551111465435</v>
      </c>
      <c r="G34" s="70">
        <f>IF(OR(1427663.68281="",158.48512="",82.14881=""),"-",(158.48512-82.14881)/1427663.68281*100)</f>
        <v>0.005346939263016834</v>
      </c>
    </row>
    <row r="35" spans="1:7" s="11" customFormat="1" ht="15.75">
      <c r="A35" s="22" t="s">
        <v>101</v>
      </c>
      <c r="B35" s="36">
        <f>IF(27.75621="","-",27.75621)</f>
        <v>27.75621</v>
      </c>
      <c r="C35" s="70">
        <f>IF(OR(27.10437="",27.75621=""),"-",27.75621/27.10437*100)</f>
        <v>102.40492584775076</v>
      </c>
      <c r="D35" s="70">
        <f>IF(27.10437="","-",27.10437/1427663.68281*100)</f>
        <v>0.0018985122565177118</v>
      </c>
      <c r="E35" s="70">
        <f>IF(27.75621="","-",27.75621/1752733.24746*100)</f>
        <v>0.0015835957947521867</v>
      </c>
      <c r="F35" s="70">
        <f>IF(OR(1239054.72912="",89.31444="",27.10437=""),"-",(27.10437-89.31444)/1239054.72912*100)</f>
        <v>-0.005020768537333517</v>
      </c>
      <c r="G35" s="70">
        <f>IF(OR(1427663.68281="",27.75621="",27.10437=""),"-",(27.75621-27.10437)/1427663.68281*100)</f>
        <v>4.565781197971048E-05</v>
      </c>
    </row>
    <row r="36" spans="1:7" s="11" customFormat="1" ht="15.75">
      <c r="A36" s="22" t="s">
        <v>99</v>
      </c>
      <c r="B36" s="36">
        <f>IF(2.92765="","-",2.92765)</f>
        <v>2.92765</v>
      </c>
      <c r="C36" s="70">
        <f>IF(OR(247.44813="",2.92765=""),"-",2.92765/247.44813*100)</f>
        <v>1.18313684568964</v>
      </c>
      <c r="D36" s="70">
        <f>IF(247.44813="","-",247.44813/1427663.68281*100)</f>
        <v>0.01733238247771072</v>
      </c>
      <c r="E36" s="70">
        <f>IF(2.92765="","-",2.92765/1752733.24746*100)</f>
        <v>0.00016703340364214854</v>
      </c>
      <c r="F36" s="70">
        <f>IF(OR(1239054.72912="",368.05934="",247.44813=""),"-",(247.44813-368.05934)/1239054.72912*100)</f>
        <v>-0.009734130960111857</v>
      </c>
      <c r="G36" s="70">
        <f>IF(OR(1427663.68281="",2.92765="",247.44813=""),"-",(2.92765-247.44813)/1427663.68281*100)</f>
        <v>-0.017127316674381072</v>
      </c>
    </row>
    <row r="37" spans="1:7" s="11" customFormat="1" ht="14.25" customHeight="1">
      <c r="A37" s="31" t="s">
        <v>235</v>
      </c>
      <c r="B37" s="33">
        <f>IF(277413.05746="","-",277413.05746)</f>
        <v>277413.05746</v>
      </c>
      <c r="C37" s="69">
        <f>IF(297475.88074="","-",277413.05746/297475.88074*100)</f>
        <v>93.25564706957358</v>
      </c>
      <c r="D37" s="69">
        <f>IF(297475.88074="","-",297475.88074/1427663.68281*100)</f>
        <v>20.83655165581385</v>
      </c>
      <c r="E37" s="69">
        <f>IF(277413.05746="","-",277413.05746/1752733.24746*100)</f>
        <v>15.827454512089464</v>
      </c>
      <c r="F37" s="69">
        <f>IF(1239054.72912="","-",(297475.88074-263730.17166)/1239054.72912*100)</f>
        <v>2.723504320423912</v>
      </c>
      <c r="G37" s="69">
        <f>IF(1427663.68281="","-",(277413.05746-297475.88074)/1427663.68281*100)</f>
        <v>-1.4052905821986974</v>
      </c>
    </row>
    <row r="38" spans="1:7" s="19" customFormat="1" ht="14.25" customHeight="1">
      <c r="A38" s="22" t="s">
        <v>225</v>
      </c>
      <c r="B38" s="36">
        <f>IF(144145.20416="","-",144145.20416)</f>
        <v>144145.20416</v>
      </c>
      <c r="C38" s="70">
        <f>IF(OR(162223.89266="",144145.20416=""),"-",144145.20416/162223.89266*100)</f>
        <v>88.85571773456911</v>
      </c>
      <c r="D38" s="70">
        <f>IF(162223.89266="","-",162223.89266/1427663.68281*100)</f>
        <v>11.362892718592011</v>
      </c>
      <c r="E38" s="70">
        <f>IF(144145.20416="","-",144145.20416/1752733.24746*100)</f>
        <v>8.224024070342148</v>
      </c>
      <c r="F38" s="70">
        <f>IF(OR(1239054.72912="",145271.45061="",162223.89266=""),"-",(162223.89266-145271.45061)/1239054.72912*100)</f>
        <v>1.3681754043293919</v>
      </c>
      <c r="G38" s="70">
        <f>IF(OR(1427663.68281="",144145.20416="",162223.89266=""),"-",(144145.20416-162223.89266)/1427663.68281*100)</f>
        <v>-1.266312838077987</v>
      </c>
    </row>
    <row r="39" spans="1:7" s="19" customFormat="1" ht="14.25" customHeight="1">
      <c r="A39" s="22" t="s">
        <v>10</v>
      </c>
      <c r="B39" s="36">
        <f>IF(62373.8918="","-",62373.8918)</f>
        <v>62373.8918</v>
      </c>
      <c r="C39" s="70">
        <f>IF(OR(73560.19898="",62373.8918=""),"-",62373.8918/73560.19898*100)</f>
        <v>84.79298950368337</v>
      </c>
      <c r="D39" s="70">
        <f>IF(73560.19898="","-",73560.19898/1427663.68281*100)</f>
        <v>5.152487932957368</v>
      </c>
      <c r="E39" s="70">
        <f>IF(62373.8918="","-",62373.8918/1752733.24746*100)</f>
        <v>3.558664268529742</v>
      </c>
      <c r="F39" s="70">
        <f>IF(OR(1239054.72912="",70350.9017="",73560.19898=""),"-",(73560.19898-70350.9017)/1239054.72912*100)</f>
        <v>0.25901174537135274</v>
      </c>
      <c r="G39" s="70">
        <f>IF(OR(1427663.68281="",62373.8918="",73560.19898=""),"-",(62373.8918-73560.19898)/1427663.68281*100)</f>
        <v>-0.783539380786275</v>
      </c>
    </row>
    <row r="40" spans="1:7" s="19" customFormat="1" ht="14.25" customHeight="1">
      <c r="A40" s="22" t="s">
        <v>11</v>
      </c>
      <c r="B40" s="36">
        <f>IF(52686.36011="","-",52686.36011)</f>
        <v>52686.36011</v>
      </c>
      <c r="C40" s="70">
        <f>IF(OR(43125.68389="",52686.36011=""),"-",52686.36011/43125.68389*100)</f>
        <v>122.1693324200638</v>
      </c>
      <c r="D40" s="70">
        <f>IF(43125.68389="","-",43125.68389/1427663.68281*100)</f>
        <v>3.0207173026295555</v>
      </c>
      <c r="E40" s="70">
        <f>IF(52686.36011="","-",52686.36011/1752733.24746*100)</f>
        <v>3.0059542823388123</v>
      </c>
      <c r="F40" s="70">
        <f>IF(OR(1239054.72912="",31653.67343="",43125.68389=""),"-",(43125.68389-31653.67343)/1239054.72912*100)</f>
        <v>0.9258679370965025</v>
      </c>
      <c r="G40" s="70">
        <f>IF(OR(1427663.68281="",52686.36011="",43125.68389=""),"-",(52686.36011-43125.68389)/1427663.68281*100)</f>
        <v>0.6696728602903307</v>
      </c>
    </row>
    <row r="41" spans="1:7" s="17" customFormat="1" ht="14.25" customHeight="1">
      <c r="A41" s="22" t="s">
        <v>12</v>
      </c>
      <c r="B41" s="36">
        <f>IF(11027.30969="","-",11027.30969)</f>
        <v>11027.30969</v>
      </c>
      <c r="C41" s="70">
        <f>IF(OR(9706.04138="",11027.30969=""),"-",11027.30969/9706.04138*100)</f>
        <v>113.61284439527084</v>
      </c>
      <c r="D41" s="70">
        <f>IF(9706.04138="","-",9706.04138/1427663.68281*100)</f>
        <v>0.679854891377224</v>
      </c>
      <c r="E41" s="70">
        <f>IF(11027.30969="","-",11027.30969/1752733.24746*100)</f>
        <v>0.6291493418054569</v>
      </c>
      <c r="F41" s="70">
        <f>IF(OR(1239054.72912="",8262.16627="",9706.04138=""),"-",(9706.04138-8262.16627)/1239054.72912*100)</f>
        <v>0.1165303740074071</v>
      </c>
      <c r="G41" s="70">
        <f>IF(OR(1427663.68281="",11027.30969="",9706.04138=""),"-",(11027.30969-9706.04138)/1427663.68281*100)</f>
        <v>0.09254758847681915</v>
      </c>
    </row>
    <row r="42" spans="1:7" s="19" customFormat="1" ht="14.25" customHeight="1">
      <c r="A42" s="22" t="s">
        <v>13</v>
      </c>
      <c r="B42" s="36">
        <f>IF(2693.29861="","-",2693.29861)</f>
        <v>2693.29861</v>
      </c>
      <c r="C42" s="70">
        <f>IF(OR(3178.9083="",2693.29861=""),"-",2693.29861/3178.9083*100)</f>
        <v>84.72401075551628</v>
      </c>
      <c r="D42" s="70">
        <f>IF(3178.9083="","-",3178.9083/1427663.68281*100)</f>
        <v>0.22266506728973534</v>
      </c>
      <c r="E42" s="70">
        <f>IF(2693.29861="","-",2693.29861/1752733.24746*100)</f>
        <v>0.15366277862892339</v>
      </c>
      <c r="F42" s="70">
        <f>IF(OR(1239054.72912="",2420.49693="",3178.9083=""),"-",(3178.9083-2420.49693)/1239054.72912*100)</f>
        <v>0.061208867709874146</v>
      </c>
      <c r="G42" s="70">
        <f>IF(OR(1427663.68281="",2693.29861="",3178.9083=""),"-",(2693.29861-3178.9083)/1427663.68281*100)</f>
        <v>-0.03401429173040241</v>
      </c>
    </row>
    <row r="43" spans="1:7" s="17" customFormat="1" ht="14.25" customHeight="1">
      <c r="A43" s="22" t="s">
        <v>14</v>
      </c>
      <c r="B43" s="36">
        <f>IF(2085.31489="","-",2085.31489)</f>
        <v>2085.31489</v>
      </c>
      <c r="C43" s="70">
        <f>IF(OR(3695.60929="",2085.31489=""),"-",2085.31489/3695.60929*100)</f>
        <v>56.42682238197318</v>
      </c>
      <c r="D43" s="70">
        <f>IF(3695.60929="","-",3695.60929/1427663.68281*100)</f>
        <v>0.25885713382623243</v>
      </c>
      <c r="E43" s="70">
        <f>IF(2085.31489="","-",2085.31489/1752733.24746*100)</f>
        <v>0.11897502903091305</v>
      </c>
      <c r="F43" s="70">
        <f>IF(OR(1239054.72912="",3097.3458="",3695.60929=""),"-",(3695.60929-3097.3458)/1239054.72912*100)</f>
        <v>0.04828386316921592</v>
      </c>
      <c r="G43" s="70">
        <f>IF(OR(1427663.68281="",2085.31489="",3695.60929=""),"-",(2085.31489-3695.60929)/1427663.68281*100)</f>
        <v>-0.11279227869903764</v>
      </c>
    </row>
    <row r="44" spans="1:7" s="17" customFormat="1" ht="14.25" customHeight="1">
      <c r="A44" s="22" t="s">
        <v>16</v>
      </c>
      <c r="B44" s="36">
        <f>IF(1257.03246="","-",1257.03246)</f>
        <v>1257.03246</v>
      </c>
      <c r="C44" s="70" t="s">
        <v>19</v>
      </c>
      <c r="D44" s="70">
        <f>IF(631.40145="","-",631.40145/1427663.68281*100)</f>
        <v>0.044226203804333224</v>
      </c>
      <c r="E44" s="70">
        <f>IF(1257.03246="","-",1257.03246/1752733.24746*100)</f>
        <v>0.07171841247500996</v>
      </c>
      <c r="F44" s="70">
        <f>IF(OR(1239054.72912="",438.14658="",631.40145=""),"-",(631.40145-438.14658)/1239054.72912*100)</f>
        <v>0.015596959961345146</v>
      </c>
      <c r="G44" s="70">
        <f>IF(OR(1427663.68281="",1257.03246="",631.40145=""),"-",(1257.03246-631.40145)/1427663.68281*100)</f>
        <v>0.04382201617460783</v>
      </c>
    </row>
    <row r="45" spans="1:7" s="17" customFormat="1" ht="14.25" customHeight="1">
      <c r="A45" s="22" t="s">
        <v>226</v>
      </c>
      <c r="B45" s="36">
        <f>IF(676.74664="","-",676.74664)</f>
        <v>676.74664</v>
      </c>
      <c r="C45" s="70">
        <f>IF(OR(590.01515="",676.74664=""),"-",676.74664/590.01515*100)</f>
        <v>114.6998750794789</v>
      </c>
      <c r="D45" s="70">
        <f>IF(590.01515="","-",590.01515/1427663.68281*100)</f>
        <v>0.041327320790194945</v>
      </c>
      <c r="E45" s="70">
        <f>IF(676.74664="","-",676.74664/1752733.24746*100)</f>
        <v>0.03861093186773958</v>
      </c>
      <c r="F45" s="70">
        <f>IF(OR(1239054.72912="",1105.81288="",590.01515=""),"-",(590.01515-1105.81288)/1239054.72912*100)</f>
        <v>-0.041628325035031284</v>
      </c>
      <c r="G45" s="70">
        <f>IF(OR(1427663.68281="",676.74664="",590.01515=""),"-",(676.74664-590.01515)/1427663.68281*100)</f>
        <v>0.006075064529854167</v>
      </c>
    </row>
    <row r="46" spans="1:7" s="17" customFormat="1" ht="14.25" customHeight="1">
      <c r="A46" s="22" t="s">
        <v>17</v>
      </c>
      <c r="B46" s="36">
        <f>IF(254.60935="","-",254.60935)</f>
        <v>254.60935</v>
      </c>
      <c r="C46" s="70">
        <f>IF(OR(296.74734="",254.60935=""),"-",254.60935/296.74734*100)</f>
        <v>85.8000445766422</v>
      </c>
      <c r="D46" s="70">
        <f>IF(296.74734="","-",296.74734/1427663.68281*100)</f>
        <v>0.020785521378251133</v>
      </c>
      <c r="E46" s="70">
        <f>IF(254.60935="","-",254.60935/1752733.24746*100)</f>
        <v>0.014526417546364856</v>
      </c>
      <c r="F46" s="70">
        <f>IF(OR(1239054.72912="",273.67757="",296.74734=""),"-",(296.74734-273.67757)/1239054.72912*100)</f>
        <v>0.0018618846656099355</v>
      </c>
      <c r="G46" s="70">
        <f>IF(OR(1427663.68281="",254.60935="",296.74734=""),"-",(254.60935-296.74734)/1427663.68281*100)</f>
        <v>-0.0029515347702241666</v>
      </c>
    </row>
    <row r="47" spans="1:7" s="17" customFormat="1" ht="14.25" customHeight="1">
      <c r="A47" s="22" t="s">
        <v>15</v>
      </c>
      <c r="B47" s="36">
        <f>IF(213.28975="","-",213.28975)</f>
        <v>213.28975</v>
      </c>
      <c r="C47" s="70">
        <f>IF(OR(467.3823="",213.28975=""),"-",213.28975/467.3823*100)</f>
        <v>45.63496520942278</v>
      </c>
      <c r="D47" s="70">
        <f>IF(467.3823="","-",467.3823/1427663.68281*100)</f>
        <v>0.03273756316894427</v>
      </c>
      <c r="E47" s="70">
        <f>IF(213.28975="","-",213.28975/1752733.24746*100)</f>
        <v>0.01216897952435672</v>
      </c>
      <c r="F47" s="70">
        <f>IF(OR(1239054.72912="",856.49989="",467.3823=""),"-",(467.3823-856.49989)/1239054.72912*100)</f>
        <v>-0.03140439085175509</v>
      </c>
      <c r="G47" s="70">
        <f>IF(OR(1427663.68281="",213.28975="",467.3823=""),"-",(213.28975-467.3823)/1427663.68281*100)</f>
        <v>-0.01779778760638375</v>
      </c>
    </row>
    <row r="48" spans="1:7" s="11" customFormat="1" ht="15.75">
      <c r="A48" s="31" t="s">
        <v>234</v>
      </c>
      <c r="B48" s="33">
        <f>IF(261496.91139="","-",261496.91139)</f>
        <v>261496.91139</v>
      </c>
      <c r="C48" s="69">
        <f>IF(214661.91431="","-",261496.91139/214661.91431*100)</f>
        <v>121.81802823781965</v>
      </c>
      <c r="D48" s="69">
        <f>IF(214661.91431="","-",214661.91431/1427663.68281*100)</f>
        <v>15.035888136307534</v>
      </c>
      <c r="E48" s="69">
        <f>IF(261496.91139="","-",261496.91139/1752733.24746*100)</f>
        <v>14.919378734268445</v>
      </c>
      <c r="F48" s="69">
        <f>IF(1239054.72912="","-",(214661.91431-190902.52386)/1239054.72912*100)</f>
        <v>1.9175416461930113</v>
      </c>
      <c r="G48" s="69">
        <f>IF(1427663.68281="","-",(261496.91139-214661.91431)/1427663.68281*100)</f>
        <v>3.2805343193865513</v>
      </c>
    </row>
    <row r="49" spans="1:7" s="11" customFormat="1" ht="15.75">
      <c r="A49" s="22" t="s">
        <v>103</v>
      </c>
      <c r="B49" s="36">
        <f>IF(57476.12792="","-",57476.12792)</f>
        <v>57476.12792</v>
      </c>
      <c r="C49" s="70">
        <f>IF(OR(58926.15799="",57476.12792=""),"-",57476.12792/58926.15799*100)</f>
        <v>97.53924213038617</v>
      </c>
      <c r="D49" s="70">
        <f>IF(58926.15799="","-",58926.15799/1427663.68281*100)</f>
        <v>4.127453734342989</v>
      </c>
      <c r="E49" s="70">
        <f>IF(57476.12792="","-",57476.12792/1752733.24746*100)</f>
        <v>3.279228485184063</v>
      </c>
      <c r="F49" s="70">
        <f>IF(OR(1239054.72912="",42709.21962="",58926.15799=""),"-",(58926.15799-42709.21962)/1239054.72912*100)</f>
        <v>1.308815340345585</v>
      </c>
      <c r="G49" s="70">
        <f>IF(OR(1427663.68281="",57476.12792="",58926.15799=""),"-",(57476.12792-58926.15799)/1427663.68281*100)</f>
        <v>-0.10156664258251483</v>
      </c>
    </row>
    <row r="50" spans="1:7" s="18" customFormat="1" ht="15.75">
      <c r="A50" s="22" t="s">
        <v>227</v>
      </c>
      <c r="B50" s="36">
        <f>IF(34722.12569="","-",34722.12569)</f>
        <v>34722.12569</v>
      </c>
      <c r="C50" s="70" t="s">
        <v>19</v>
      </c>
      <c r="D50" s="70">
        <f>IF(17672.52476="","-",17672.52476/1427663.68281*100)</f>
        <v>1.2378632988139084</v>
      </c>
      <c r="E50" s="70">
        <f>IF(34722.12569="","-",34722.12569/1752733.24746*100)</f>
        <v>1.9810273890974623</v>
      </c>
      <c r="F50" s="70">
        <f>IF(OR(1239054.72912="",19477.1777="",17672.52476=""),"-",(17672.52476-19477.1777)/1239054.72912*100)</f>
        <v>-0.1456475567694817</v>
      </c>
      <c r="G50" s="70">
        <f>IF(OR(1427663.68281="",34722.12569="",17672.52476=""),"-",(34722.12569-17672.52476)/1427663.68281*100)</f>
        <v>1.1942309057299905</v>
      </c>
    </row>
    <row r="51" spans="1:7" s="20" customFormat="1" ht="15.75">
      <c r="A51" s="22" t="s">
        <v>114</v>
      </c>
      <c r="B51" s="36">
        <f>IF(15803.28569="","-",15803.28569)</f>
        <v>15803.28569</v>
      </c>
      <c r="C51" s="70" t="s">
        <v>255</v>
      </c>
      <c r="D51" s="70">
        <f>IF(4903.96056="","-",4903.96056/1427663.68281*100)</f>
        <v>0.34349550381135824</v>
      </c>
      <c r="E51" s="70">
        <f>IF(15803.28569="","-",15803.28569/1752733.24746*100)</f>
        <v>0.901636670206466</v>
      </c>
      <c r="F51" s="70">
        <f>IF(OR(1239054.72912="",1847.64805="",4903.96056=""),"-",(4903.96056-1847.64805)/1239054.72912*100)</f>
        <v>0.24666485169469884</v>
      </c>
      <c r="G51" s="70">
        <f>IF(OR(1427663.68281="",15803.28569="",4903.96056=""),"-",(15803.28569-4903.96056)/1427663.68281*100)</f>
        <v>0.7634378643398282</v>
      </c>
    </row>
    <row r="52" spans="1:7" s="18" customFormat="1" ht="15.75">
      <c r="A52" s="22" t="s">
        <v>18</v>
      </c>
      <c r="B52" s="36">
        <f>IF(14222.35859="","-",14222.35859)</f>
        <v>14222.35859</v>
      </c>
      <c r="C52" s="70">
        <f>IF(OR(11892.06208="",14222.35859=""),"-",14222.35859/11892.06208*100)</f>
        <v>119.59539476268863</v>
      </c>
      <c r="D52" s="70">
        <f>IF(11892.06208="","-",11892.06208/1427663.68281*100)</f>
        <v>0.8329736354008419</v>
      </c>
      <c r="E52" s="70">
        <f>IF(14222.35859="","-",14222.35859/1752733.24746*100)</f>
        <v>0.8114388547493208</v>
      </c>
      <c r="F52" s="70">
        <f>IF(OR(1239054.72912="",11138.53635="",11892.06208=""),"-",(11892.06208-11138.53635)/1239054.72912*100)</f>
        <v>0.060814563900269965</v>
      </c>
      <c r="G52" s="70">
        <f>IF(OR(1427663.68281="",14222.35859="",11892.06208=""),"-",(14222.35859-11892.06208)/1427663.68281*100)</f>
        <v>0.16322447212591362</v>
      </c>
    </row>
    <row r="53" spans="1:7" s="11" customFormat="1" ht="15.75">
      <c r="A53" s="22" t="s">
        <v>105</v>
      </c>
      <c r="B53" s="36">
        <f>IF(14119.62636="","-",14119.62636)</f>
        <v>14119.62636</v>
      </c>
      <c r="C53" s="70">
        <f>IF(OR(11570.26999="",14119.62636=""),"-",14119.62636/11570.26999*100)</f>
        <v>122.03368090980908</v>
      </c>
      <c r="D53" s="70">
        <f>IF(11570.26999="","-",11570.26999/1427663.68281*100)</f>
        <v>0.8104338668352766</v>
      </c>
      <c r="E53" s="70">
        <f>IF(14119.62636="","-",14119.62636/1752733.24746*100)</f>
        <v>0.8055775960467271</v>
      </c>
      <c r="F53" s="70">
        <f>IF(OR(1239054.72912="",9755.13666="",11570.26999=""),"-",(11570.26999-9755.13666)/1239054.72912*100)</f>
        <v>0.14649339430625008</v>
      </c>
      <c r="G53" s="70">
        <f>IF(OR(1427663.68281="",14119.62636="",11570.26999=""),"-",(14119.62636-11570.26999)/1427663.68281*100)</f>
        <v>0.1785684122035119</v>
      </c>
    </row>
    <row r="54" spans="1:7" s="11" customFormat="1" ht="15.75">
      <c r="A54" s="22" t="s">
        <v>106</v>
      </c>
      <c r="B54" s="36">
        <f>IF(11781.80756="","-",11781.80756)</f>
        <v>11781.80756</v>
      </c>
      <c r="C54" s="70">
        <f>IF(OR(8921.62943="",11781.80756=""),"-",11781.80756/8921.62943*100)</f>
        <v>132.0589209901761</v>
      </c>
      <c r="D54" s="70">
        <f>IF(8921.62943="","-",8921.62943/1427663.68281*100)</f>
        <v>0.6249111424085536</v>
      </c>
      <c r="E54" s="70">
        <f>IF(11781.80756="","-",11781.80756/1752733.24746*100)</f>
        <v>0.6721962727114229</v>
      </c>
      <c r="F54" s="70">
        <f>IF(OR(1239054.72912="",8559.41692="",8921.62943=""),"-",(8921.62943-8559.41692)/1239054.72912*100)</f>
        <v>0.02923297102923382</v>
      </c>
      <c r="G54" s="70">
        <f>IF(OR(1427663.68281="",11781.80756="",8921.62943=""),"-",(11781.80756-8921.62943)/1427663.68281*100)</f>
        <v>0.20033976940356507</v>
      </c>
    </row>
    <row r="55" spans="1:7" s="20" customFormat="1" ht="15.75">
      <c r="A55" s="22" t="s">
        <v>107</v>
      </c>
      <c r="B55" s="36">
        <f>IF(11389.66175="","-",11389.66175)</f>
        <v>11389.66175</v>
      </c>
      <c r="C55" s="70" t="s">
        <v>159</v>
      </c>
      <c r="D55" s="70">
        <f>IF(6520.2657="","-",6520.2657/1427663.68281*100)</f>
        <v>0.4567088018353513</v>
      </c>
      <c r="E55" s="70">
        <f>IF(11389.66175="","-",11389.66175/1752733.24746*100)</f>
        <v>0.6498228847148019</v>
      </c>
      <c r="F55" s="70">
        <f>IF(OR(1239054.72912="",7424.73613="",6520.2657=""),"-",(6520.2657-7424.73613)/1239054.72912*100)</f>
        <v>-0.07299681028959651</v>
      </c>
      <c r="G55" s="70">
        <f>IF(OR(1427663.68281="",11389.66175="",6520.2657=""),"-",(11389.66175-6520.2657)/1427663.68281*100)</f>
        <v>0.3410744497202456</v>
      </c>
    </row>
    <row r="56" spans="1:7" s="11" customFormat="1" ht="15.75">
      <c r="A56" s="22" t="s">
        <v>123</v>
      </c>
      <c r="B56" s="36">
        <f>IF(10008.32939="","-",10008.32939)</f>
        <v>10008.32939</v>
      </c>
      <c r="C56" s="70" t="s">
        <v>253</v>
      </c>
      <c r="D56" s="70">
        <f>IF(1945.51967="","-",1945.51967/1427663.68281*100)</f>
        <v>0.13627296774620823</v>
      </c>
      <c r="E56" s="70">
        <f>IF(10008.32939="","-",10008.32939/1752733.24746*100)</f>
        <v>0.5710126971405217</v>
      </c>
      <c r="F56" s="70">
        <f>IF(OR(1239054.72912="",671.23314="",1945.51967=""),"-",(1945.51967-671.23314)/1239054.72912*100)</f>
        <v>0.10284344186354238</v>
      </c>
      <c r="G56" s="70">
        <f>IF(OR(1427663.68281="",10008.32939="",1945.51967=""),"-",(10008.32939-1945.51967)/1427663.68281*100)</f>
        <v>0.5647555385124298</v>
      </c>
    </row>
    <row r="57" spans="1:7" s="18" customFormat="1" ht="15.75">
      <c r="A57" s="22" t="s">
        <v>104</v>
      </c>
      <c r="B57" s="36">
        <f>IF(9406.80035="","-",9406.80035)</f>
        <v>9406.80035</v>
      </c>
      <c r="C57" s="70">
        <f>IF(OR(11524.97186="",9406.80035=""),"-",9406.80035/11524.97186*100)</f>
        <v>81.62102662175177</v>
      </c>
      <c r="D57" s="70">
        <f>IF(11524.97186="","-",11524.97186/1427663.68281*100)</f>
        <v>0.8072609816140988</v>
      </c>
      <c r="E57" s="70">
        <f>IF(9406.80035="","-",9406.80035/1752733.24746*100)</f>
        <v>0.5366932112249259</v>
      </c>
      <c r="F57" s="70">
        <f>IF(OR(1239054.72912="",24354.04946="",11524.97186=""),"-",(11524.97186-24354.04946)/1239054.72912*100)</f>
        <v>-1.0353923275940726</v>
      </c>
      <c r="G57" s="70">
        <f>IF(OR(1427663.68281="",9406.80035="",11524.97186=""),"-",(9406.80035-11524.97186)/1427663.68281*100)</f>
        <v>-0.14836628090384057</v>
      </c>
    </row>
    <row r="58" spans="1:7" s="11" customFormat="1" ht="15.75">
      <c r="A58" s="22" t="s">
        <v>228</v>
      </c>
      <c r="B58" s="36">
        <f>IF(4955.49522="","-",4955.49522)</f>
        <v>4955.49522</v>
      </c>
      <c r="C58" s="70" t="s">
        <v>158</v>
      </c>
      <c r="D58" s="70">
        <f>IF(2771.9905="","-",2771.9905/1427663.68281*100)</f>
        <v>0.1941627102640888</v>
      </c>
      <c r="E58" s="70">
        <f>IF(4955.49522="","-",4955.49522/1752733.24746*100)</f>
        <v>0.2827295726364141</v>
      </c>
      <c r="F58" s="70">
        <f>IF(OR(1239054.72912="",1047.73777="",2771.9905=""),"-",(2771.9905-1047.73777)/1239054.72912*100)</f>
        <v>0.13915872232896417</v>
      </c>
      <c r="G58" s="70">
        <f>IF(OR(1427663.68281="",4955.49522="",2771.9905=""),"-",(4955.49522-2771.9905)/1427663.68281*100)</f>
        <v>0.15294251344282397</v>
      </c>
    </row>
    <row r="59" spans="1:7" s="18" customFormat="1" ht="15.75">
      <c r="A59" s="22" t="s">
        <v>108</v>
      </c>
      <c r="B59" s="36">
        <f>IF(4163.90193="","-",4163.90193)</f>
        <v>4163.90193</v>
      </c>
      <c r="C59" s="70">
        <f>IF(OR(5273.90993="",4163.90193=""),"-",4163.90193/5273.90993*100)</f>
        <v>78.95284495311812</v>
      </c>
      <c r="D59" s="70">
        <f>IF(5273.90993="","-",5273.90993/1427663.68281*100)</f>
        <v>0.3694084253526449</v>
      </c>
      <c r="E59" s="70">
        <f>IF(4163.90193="","-",4163.90193/1752733.24746*100)</f>
        <v>0.2375662090072281</v>
      </c>
      <c r="F59" s="70">
        <f>IF(OR(1239054.72912="",6639.63764="",5273.90993=""),"-",(5273.90993-6639.63764)/1239054.72912*100)</f>
        <v>-0.11022335639443187</v>
      </c>
      <c r="G59" s="70">
        <f>IF(OR(1427663.68281="",4163.90193="",5273.90993=""),"-",(4163.90193-5273.90993)/1427663.68281*100)</f>
        <v>-0.07774996404021611</v>
      </c>
    </row>
    <row r="60" spans="1:7" s="11" customFormat="1" ht="15.75">
      <c r="A60" s="22" t="s">
        <v>113</v>
      </c>
      <c r="B60" s="36">
        <f>IF(2902.51262="","-",2902.51262)</f>
        <v>2902.51262</v>
      </c>
      <c r="C60" s="70">
        <f>IF(OR(2785.13957="",2902.51262=""),"-",2902.51262/2785.13957*100)</f>
        <v>104.21426097507927</v>
      </c>
      <c r="D60" s="70">
        <f>IF(2785.13957="","-",2785.13957/1427663.68281*100)</f>
        <v>0.19508373040057636</v>
      </c>
      <c r="E60" s="70">
        <f>IF(2902.51262="","-",2902.51262/1752733.24746*100)</f>
        <v>0.16559922191275941</v>
      </c>
      <c r="F60" s="70">
        <f>IF(OR(1239054.72912="",3192.1858="",2785.13957=""),"-",(2785.13957-3192.1858)/1239054.72912*100)</f>
        <v>-0.032851351956752727</v>
      </c>
      <c r="G60" s="70">
        <f>IF(OR(1427663.68281="",2902.51262="",2785.13957=""),"-",(2902.51262-2785.13957)/1427663.68281*100)</f>
        <v>0.008221337519000314</v>
      </c>
    </row>
    <row r="61" spans="1:7" s="18" customFormat="1" ht="15.75">
      <c r="A61" s="22" t="s">
        <v>116</v>
      </c>
      <c r="B61" s="36">
        <f>IF(2857.29634="","-",2857.29634)</f>
        <v>2857.29634</v>
      </c>
      <c r="C61" s="70">
        <f>IF(OR(3173.55376="",2857.29634=""),"-",2857.29634/3173.55376*100)</f>
        <v>90.03459705059478</v>
      </c>
      <c r="D61" s="70">
        <f>IF(3173.55376="","-",3173.55376/1427663.68281*100)</f>
        <v>0.22229001117081373</v>
      </c>
      <c r="E61" s="70">
        <f>IF(2857.29634="","-",2857.29634/1752733.24746*100)</f>
        <v>0.16301946369424408</v>
      </c>
      <c r="F61" s="70">
        <f>IF(OR(1239054.72912="",1745.44339="",3173.55376=""),"-",(3173.55376-1745.44339)/1239054.72912*100)</f>
        <v>0.1152580540985684</v>
      </c>
      <c r="G61" s="70">
        <f>IF(OR(1427663.68281="",2857.29634="",3173.55376=""),"-",(2857.29634-3173.55376)/1427663.68281*100)</f>
        <v>-0.022152095329449444</v>
      </c>
    </row>
    <row r="62" spans="1:7" s="11" customFormat="1" ht="15.75">
      <c r="A62" s="22" t="s">
        <v>111</v>
      </c>
      <c r="B62" s="36">
        <f>IF(2435.67125="","-",2435.67125)</f>
        <v>2435.67125</v>
      </c>
      <c r="C62" s="70">
        <f>IF(OR(1773.8899="",2435.67125=""),"-",2435.67125/1773.8899*100)</f>
        <v>137.3067883187113</v>
      </c>
      <c r="D62" s="70">
        <f>IF(1773.8899="","-",1773.8899/1427663.68281*100)</f>
        <v>0.12425124497868714</v>
      </c>
      <c r="E62" s="70">
        <f>IF(2435.67125="","-",2435.67125/1752733.24746*100)</f>
        <v>0.13896417230229927</v>
      </c>
      <c r="F62" s="70">
        <f>IF(OR(1239054.72912="",2298.86157="",1773.8899=""),"-",(1773.8899-2298.86157)/1239054.72912*100)</f>
        <v>-0.04236872332288703</v>
      </c>
      <c r="G62" s="70">
        <f>IF(OR(1427663.68281="",2435.67125="",1773.8899=""),"-",(2435.67125-1773.8899)/1427663.68281*100)</f>
        <v>0.04635414894756225</v>
      </c>
    </row>
    <row r="63" spans="1:7" s="11" customFormat="1" ht="15.75">
      <c r="A63" s="22" t="s">
        <v>190</v>
      </c>
      <c r="B63" s="36">
        <f>IF(2310.30496="","-",2310.30496)</f>
        <v>2310.30496</v>
      </c>
      <c r="C63" s="70">
        <f>IF(OR(3580.22734="",2310.30496=""),"-",2310.30496/3580.22734*100)</f>
        <v>64.52956029322988</v>
      </c>
      <c r="D63" s="70">
        <f>IF(3580.22734="","-",3580.22734/1427663.68281*100)</f>
        <v>0.25077526192675964</v>
      </c>
      <c r="E63" s="70">
        <f>IF(2310.30496="","-",2310.30496/1752733.24746*100)</f>
        <v>0.13181155565731487</v>
      </c>
      <c r="F63" s="70">
        <f>IF(OR(1239054.72912="",3259.28604="",3580.22734=""),"-",(3580.22734-3259.28604)/1239054.72912*100)</f>
        <v>0.02590210847489671</v>
      </c>
      <c r="G63" s="70">
        <f>IF(OR(1427663.68281="",2310.30496="",3580.22734=""),"-",(2310.30496-3580.22734)/1427663.68281*100)</f>
        <v>-0.08895108808122613</v>
      </c>
    </row>
    <row r="64" spans="1:7" s="18" customFormat="1" ht="15.75">
      <c r="A64" s="22" t="s">
        <v>109</v>
      </c>
      <c r="B64" s="36">
        <f>IF(2207.14302="","-",2207.14302)</f>
        <v>2207.14302</v>
      </c>
      <c r="C64" s="70">
        <f>IF(OR(2264.28783="",2207.14302=""),"-",2207.14302/2264.28783*100)</f>
        <v>97.47625680609694</v>
      </c>
      <c r="D64" s="70">
        <f>IF(2264.28783="","-",2264.28783/1427663.68281*100)</f>
        <v>0.15860092662323064</v>
      </c>
      <c r="E64" s="70">
        <f>IF(2207.14302="","-",2207.14302/1752733.24746*100)</f>
        <v>0.12592578038891628</v>
      </c>
      <c r="F64" s="70">
        <f>IF(OR(1239054.72912="",4634.1187="",2264.28783=""),"-",(2264.28783-4634.1187)/1239054.72912*100)</f>
        <v>-0.19126119406227504</v>
      </c>
      <c r="G64" s="70">
        <f>IF(OR(1427663.68281="",2207.14302="",2264.28783=""),"-",(2207.14302-2264.28783)/1427663.68281*100)</f>
        <v>-0.004002680091120966</v>
      </c>
    </row>
    <row r="65" spans="1:7" s="20" customFormat="1" ht="15.75">
      <c r="A65" s="22" t="s">
        <v>119</v>
      </c>
      <c r="B65" s="36">
        <f>IF(1821.19173="","-",1821.19173)</f>
        <v>1821.19173</v>
      </c>
      <c r="C65" s="70" t="s">
        <v>276</v>
      </c>
      <c r="D65" s="70">
        <f>IF(63.48="","-",63.48/1427663.68281*100)</f>
        <v>0.004446425356639698</v>
      </c>
      <c r="E65" s="70">
        <f>IF(1821.19173="","-",1821.19173/1752733.24746*100)</f>
        <v>0.10390581297178038</v>
      </c>
      <c r="F65" s="70">
        <f>IF(OR(1239054.72912="",900.94303="",63.48=""),"-",(63.48-900.94303)/1239054.72912*100)</f>
        <v>-0.06758886515003111</v>
      </c>
      <c r="G65" s="70">
        <f>IF(OR(1427663.68281="",1821.19173="",63.48=""),"-",(1821.19173-63.48)/1427663.68281*100)</f>
        <v>0.12311805302355124</v>
      </c>
    </row>
    <row r="66" spans="1:7" s="11" customFormat="1" ht="15.75">
      <c r="A66" s="22" t="s">
        <v>187</v>
      </c>
      <c r="B66" s="36">
        <f>IF(1739.08352="","-",1739.08352)</f>
        <v>1739.08352</v>
      </c>
      <c r="C66" s="70" t="str">
        <f>IF(OR(""="",1739.08352=""),"-",1739.08352/""*100)</f>
        <v>-</v>
      </c>
      <c r="D66" s="70" t="str">
        <f>IF(""="","-",""/1427663.68281*100)</f>
        <v>-</v>
      </c>
      <c r="E66" s="70">
        <f>IF(1739.08352="","-",1739.08352/1752733.24746*100)</f>
        <v>0.09922123189710808</v>
      </c>
      <c r="F66" s="70" t="str">
        <f>IF(OR(1239054.72912="",""="",""=""),"-",(""-"")/1239054.72912*100)</f>
        <v>-</v>
      </c>
      <c r="G66" s="70" t="str">
        <f>IF(OR(1427663.68281="",1739.08352="",""=""),"-",(1739.08352-"")/1427663.68281*100)</f>
        <v>-</v>
      </c>
    </row>
    <row r="67" spans="1:7" s="11" customFormat="1" ht="15.75">
      <c r="A67" s="22" t="s">
        <v>175</v>
      </c>
      <c r="B67" s="36">
        <f>IF(1732.39958="","-",1732.39958)</f>
        <v>1732.39958</v>
      </c>
      <c r="C67" s="70" t="str">
        <f>IF(OR(""="",1732.39958=""),"-",1732.39958/""*100)</f>
        <v>-</v>
      </c>
      <c r="D67" s="70" t="str">
        <f>IF(""="","-",""/1427663.68281*100)</f>
        <v>-</v>
      </c>
      <c r="E67" s="70">
        <f>IF(1732.39958="","-",1732.39958/1752733.24746*100)</f>
        <v>0.09883988807255942</v>
      </c>
      <c r="F67" s="70" t="str">
        <f>IF(OR(1239054.72912="",""="",""=""),"-",(""-"")/1239054.72912*100)</f>
        <v>-</v>
      </c>
      <c r="G67" s="70" t="str">
        <f>IF(OR(1427663.68281="",1732.39958="",""=""),"-",(1732.39958-"")/1427663.68281*100)</f>
        <v>-</v>
      </c>
    </row>
    <row r="68" spans="1:7" s="11" customFormat="1" ht="15.75">
      <c r="A68" s="22" t="s">
        <v>112</v>
      </c>
      <c r="B68" s="36">
        <f>IF(1518.3731="","-",1518.3731)</f>
        <v>1518.3731</v>
      </c>
      <c r="C68" s="70">
        <f>IF(OR(2792.66494="",1518.3731=""),"-",1518.3731/2792.66494*100)</f>
        <v>54.37004197145111</v>
      </c>
      <c r="D68" s="70">
        <f>IF(2792.66494="","-",2792.66494/1427663.68281*100)</f>
        <v>0.19561084123841657</v>
      </c>
      <c r="E68" s="70">
        <f>IF(1518.3731="","-",1518.3731/1752733.24746*100)</f>
        <v>0.08662887534086396</v>
      </c>
      <c r="F68" s="70">
        <f>IF(OR(1239054.72912="",2310.17688="",2792.66494=""),"-",(2792.66494-2310.17688)/1239054.72912*100)</f>
        <v>0.038940011983382865</v>
      </c>
      <c r="G68" s="70">
        <f>IF(OR(1427663.68281="",1518.3731="",2792.66494=""),"-",(1518.3731-2792.66494)/1427663.68281*100)</f>
        <v>-0.08925714475638089</v>
      </c>
    </row>
    <row r="69" spans="1:7" s="11" customFormat="1" ht="15.75">
      <c r="A69" s="22" t="s">
        <v>135</v>
      </c>
      <c r="B69" s="36">
        <f>IF(1309.01066="","-",1309.01066)</f>
        <v>1309.01066</v>
      </c>
      <c r="C69" s="70" t="s">
        <v>168</v>
      </c>
      <c r="D69" s="70">
        <f>IF(457.34485="","-",457.34485/1427663.68281*100)</f>
        <v>0.03203449492389067</v>
      </c>
      <c r="E69" s="70">
        <f>IF(1309.01066="","-",1309.01066/1752733.24746*100)</f>
        <v>0.07468396356929798</v>
      </c>
      <c r="F69" s="70">
        <f>IF(OR(1239054.72912="",61.42708="",457.34485=""),"-",(457.34485-61.42708)/1239054.72912*100)</f>
        <v>0.03195321083849042</v>
      </c>
      <c r="G69" s="70">
        <f>IF(OR(1427663.68281="",1309.01066="",457.34485=""),"-",(1309.01066-457.34485)/1427663.68281*100)</f>
        <v>0.05965451249160505</v>
      </c>
    </row>
    <row r="70" spans="1:7" s="11" customFormat="1" ht="15.75">
      <c r="A70" s="22" t="s">
        <v>132</v>
      </c>
      <c r="B70" s="36">
        <f>IF(1185.85949="","-",1185.85949)</f>
        <v>1185.85949</v>
      </c>
      <c r="C70" s="70" t="s">
        <v>277</v>
      </c>
      <c r="D70" s="70">
        <f>IF(200.36525="","-",200.36525/1427663.68281*100)</f>
        <v>0.014034485321194905</v>
      </c>
      <c r="E70" s="70">
        <f>IF(1185.85949="","-",1185.85949/1752733.24746*100)</f>
        <v>0.06765772782130461</v>
      </c>
      <c r="F70" s="70">
        <f>IF(OR(1239054.72912="",178.54441="",200.36525=""),"-",(200.36525-178.54441)/1239054.72912*100)</f>
        <v>0.0017610876652315087</v>
      </c>
      <c r="G70" s="70">
        <f>IF(OR(1427663.68281="",1185.85949="",200.36525=""),"-",(1185.85949-200.36525)/1427663.68281*100)</f>
        <v>0.06902845900375502</v>
      </c>
    </row>
    <row r="71" spans="1:7" s="11" customFormat="1" ht="15.75">
      <c r="A71" s="22" t="s">
        <v>110</v>
      </c>
      <c r="B71" s="36">
        <f>IF(1179.22418="","-",1179.22418)</f>
        <v>1179.22418</v>
      </c>
      <c r="C71" s="70">
        <f>IF(OR(1210.90753="",1179.22418=""),"-",1179.22418/1210.90753*100)</f>
        <v>97.38350375936633</v>
      </c>
      <c r="D71" s="70">
        <f>IF(1210.90753="","-",1210.90753/1427663.68281*100)</f>
        <v>0.08481742195869482</v>
      </c>
      <c r="E71" s="70">
        <f>IF(1179.22418="","-",1179.22418/1752733.24746*100)</f>
        <v>0.0672791585204931</v>
      </c>
      <c r="F71" s="70">
        <f>IF(OR(1239054.72912="",3077.53483="",1210.90753=""),"-",(1210.90753-3077.53483)/1239054.72912*100)</f>
        <v>-0.1506493019340408</v>
      </c>
      <c r="G71" s="70">
        <f>IF(OR(1427663.68281="",1179.22418="",1210.90753=""),"-",(1179.22418-1210.90753)/1427663.68281*100)</f>
        <v>-0.002219244656951646</v>
      </c>
    </row>
    <row r="72" spans="1:7" s="11" customFormat="1" ht="15.75">
      <c r="A72" s="22" t="s">
        <v>124</v>
      </c>
      <c r="B72" s="36">
        <f>IF(1157.32289="","-",1157.32289)</f>
        <v>1157.32289</v>
      </c>
      <c r="C72" s="70">
        <f>IF(OR(867.66296="",1157.32289=""),"-",1157.32289/867.66296*100)</f>
        <v>133.38392248529314</v>
      </c>
      <c r="D72" s="70">
        <f>IF(867.66296="","-",867.66296/1427663.68281*100)</f>
        <v>0.06077502498993473</v>
      </c>
      <c r="E72" s="70">
        <f>IF(1157.32289="","-",1157.32289/1752733.24746*100)</f>
        <v>0.06602960785260119</v>
      </c>
      <c r="F72" s="70">
        <f>IF(OR(1239054.72912="",604.97954="",867.66296=""),"-",(867.66296-604.97954)/1239054.72912*100)</f>
        <v>0.021200308091843745</v>
      </c>
      <c r="G72" s="70">
        <f>IF(OR(1427663.68281="",1157.32289="",867.66296=""),"-",(1157.32289-867.66296)/1427663.68281*100)</f>
        <v>0.020289087233057338</v>
      </c>
    </row>
    <row r="73" spans="1:7" s="11" customFormat="1" ht="15.75">
      <c r="A73" s="22" t="s">
        <v>118</v>
      </c>
      <c r="B73" s="36">
        <f>IF(1131.49647="","-",1131.49647)</f>
        <v>1131.49647</v>
      </c>
      <c r="C73" s="70">
        <f>IF(OR(746.31065="",1131.49647=""),"-",1131.49647/746.31065*100)</f>
        <v>151.6119956213944</v>
      </c>
      <c r="D73" s="70">
        <f>IF(746.31065="","-",746.31065/1427663.68281*100)</f>
        <v>0.05227496216273245</v>
      </c>
      <c r="E73" s="70">
        <f>IF(1131.49647="","-",1131.49647/1752733.24746*100)</f>
        <v>0.0645561138090879</v>
      </c>
      <c r="F73" s="70">
        <f>IF(OR(1239054.72912="",1150.98248="",746.31065=""),"-",(746.31065-1150.98248)/1239054.72912*100)</f>
        <v>-0.03265972200335376</v>
      </c>
      <c r="G73" s="70">
        <f>IF(OR(1427663.68281="",1131.49647="",746.31065=""),"-",(1131.49647-746.31065)/1427663.68281*100)</f>
        <v>0.026980151182515046</v>
      </c>
    </row>
    <row r="74" spans="1:7" s="11" customFormat="1" ht="15.75">
      <c r="A74" s="22" t="s">
        <v>162</v>
      </c>
      <c r="B74" s="36">
        <f>IF(1021.77666="","-",1021.77666)</f>
        <v>1021.77666</v>
      </c>
      <c r="C74" s="70">
        <f>IF(OR(1061.98766="",1021.77666=""),"-",1021.77666/1061.98766*100)</f>
        <v>96.21360948770347</v>
      </c>
      <c r="D74" s="70">
        <f>IF(1061.98766="","-",1061.98766/1427663.68281*100)</f>
        <v>0.07438640295939603</v>
      </c>
      <c r="E74" s="70">
        <f>IF(1021.77666="","-",1021.77666/1752733.24746*100)</f>
        <v>0.058296187482078245</v>
      </c>
      <c r="F74" s="70">
        <f>IF(OR(1239054.72912="",102.42082="",1061.98766=""),"-",(1061.98766-102.42082)/1239054.72912*100)</f>
        <v>0.07744345890851023</v>
      </c>
      <c r="G74" s="70">
        <f>IF(OR(1427663.68281="",1021.77666="",1061.98766=""),"-",(1021.77666-1061.98766)/1427663.68281*100)</f>
        <v>-0.0028165597040932418</v>
      </c>
    </row>
    <row r="75" spans="1:7" ht="15.75">
      <c r="A75" s="22" t="s">
        <v>125</v>
      </c>
      <c r="B75" s="36">
        <f>IF(970.25824="","-",970.25824)</f>
        <v>970.25824</v>
      </c>
      <c r="C75" s="70" t="s">
        <v>19</v>
      </c>
      <c r="D75" s="70">
        <f>IF(492.48067="","-",492.48067/1427663.68281*100)</f>
        <v>0.03449556614276793</v>
      </c>
      <c r="E75" s="70">
        <f>IF(970.25824="","-",970.25824/1752733.24746*100)</f>
        <v>0.05535686855978024</v>
      </c>
      <c r="F75" s="70">
        <f>IF(OR(1239054.72912="",479.63482="",492.48067=""),"-",(492.48067-479.63482)/1239054.72912*100)</f>
        <v>0.001036745972401344</v>
      </c>
      <c r="G75" s="70">
        <f>IF(OR(1427663.68281="",970.25824="",492.48067=""),"-",(970.25824-492.48067)/1427663.68281*100)</f>
        <v>0.03346569473978732</v>
      </c>
    </row>
    <row r="76" spans="1:7" ht="15.75">
      <c r="A76" s="22" t="s">
        <v>272</v>
      </c>
      <c r="B76" s="36">
        <f>IF(890.75295="","-",890.75295)</f>
        <v>890.75295</v>
      </c>
      <c r="C76" s="70">
        <f>IF(OR(735.08671="",890.75295=""),"-",890.75295/735.08671*100)</f>
        <v>121.17658201166499</v>
      </c>
      <c r="D76" s="70">
        <f>IF(735.08671="","-",735.08671/1427663.68281*100)</f>
        <v>0.051488786809591264</v>
      </c>
      <c r="E76" s="70">
        <f>IF(890.75295="","-",890.75295/1752733.24746*100)</f>
        <v>0.05082079382534954</v>
      </c>
      <c r="F76" s="70">
        <f>IF(OR(1239054.72912="",710.30198="",735.08671=""),"-",(735.08671-710.30198)/1239054.72912*100)</f>
        <v>0.0020002934025039124</v>
      </c>
      <c r="G76" s="70">
        <f>IF(OR(1427663.68281="",890.75295="",735.08671=""),"-",(890.75295-735.08671)/1427663.68281*100)</f>
        <v>0.01090356516554444</v>
      </c>
    </row>
    <row r="77" spans="1:7" ht="15.75">
      <c r="A77" s="22" t="s">
        <v>86</v>
      </c>
      <c r="B77" s="36">
        <f>IF(782.13055="","-",782.13055)</f>
        <v>782.13055</v>
      </c>
      <c r="C77" s="70" t="s">
        <v>278</v>
      </c>
      <c r="D77" s="70">
        <f>IF(44.77823="","-",44.77823/1427663.68281*100)</f>
        <v>0.003136469081560247</v>
      </c>
      <c r="E77" s="70">
        <f>IF(782.13055="","-",782.13055/1752733.24746*100)</f>
        <v>0.04462347885129904</v>
      </c>
      <c r="F77" s="70">
        <f>IF(OR(1239054.72912="",55.05138="",44.77823=""),"-",(44.77823-55.05138)/1239054.72912*100)</f>
        <v>-0.0008291118833222311</v>
      </c>
      <c r="G77" s="70">
        <f>IF(OR(1427663.68281="",782.13055="",44.77823=""),"-",(782.13055-44.77823)/1427663.68281*100)</f>
        <v>0.05164748034696139</v>
      </c>
    </row>
    <row r="78" spans="1:7" ht="15.75">
      <c r="A78" s="22" t="s">
        <v>167</v>
      </c>
      <c r="B78" s="36">
        <f>IF(545.57265="","-",545.57265)</f>
        <v>545.57265</v>
      </c>
      <c r="C78" s="70" t="s">
        <v>156</v>
      </c>
      <c r="D78" s="70">
        <f>IF(175.37435="","-",175.37435/1427663.68281*100)</f>
        <v>0.012284010030627054</v>
      </c>
      <c r="E78" s="70">
        <f>IF(545.57265="","-",545.57265/1752733.24746*100)</f>
        <v>0.03112696417384818</v>
      </c>
      <c r="F78" s="70">
        <f>IF(OR(1239054.72912="",118.14958="",175.37435=""),"-",(175.37435-118.14958)/1239054.72912*100)</f>
        <v>0.004618421499479857</v>
      </c>
      <c r="G78" s="70">
        <f>IF(OR(1427663.68281="",545.57265="",175.37435=""),"-",(545.57265-175.37435)/1427663.68281*100)</f>
        <v>0.025930357720619253</v>
      </c>
    </row>
    <row r="79" spans="1:7" ht="15.75">
      <c r="A79" s="22" t="s">
        <v>155</v>
      </c>
      <c r="B79" s="36">
        <f>IF(543.30054="","-",543.30054)</f>
        <v>543.30054</v>
      </c>
      <c r="C79" s="70" t="s">
        <v>217</v>
      </c>
      <c r="D79" s="70">
        <f>IF(333.08602="","-",333.08602/1427663.68281*100)</f>
        <v>0.023330846333809042</v>
      </c>
      <c r="E79" s="70">
        <f>IF(543.30054="","-",543.30054/1752733.24746*100)</f>
        <v>0.030997331783791528</v>
      </c>
      <c r="F79" s="70">
        <f>IF(OR(1239054.72912="",281.51466="",333.08602=""),"-",(333.08602-281.51466)/1239054.72912*100)</f>
        <v>0.00416215351816033</v>
      </c>
      <c r="G79" s="70">
        <f>IF(OR(1427663.68281="",543.30054="",333.08602=""),"-",(543.30054-333.08602)/1427663.68281*100)</f>
        <v>0.01472437259076627</v>
      </c>
    </row>
    <row r="80" spans="1:7" ht="15.75">
      <c r="A80" s="22" t="s">
        <v>120</v>
      </c>
      <c r="B80" s="36">
        <f>IF(510.99774="","-",510.99774)</f>
        <v>510.99774</v>
      </c>
      <c r="C80" s="70">
        <f>IF(OR(2155.50264="",510.99774=""),"-",510.99774/2155.50264*100)</f>
        <v>23.706662683558577</v>
      </c>
      <c r="D80" s="70">
        <f>IF(2155.50264="","-",2155.50264/1427663.68281*100)</f>
        <v>0.15098112153118798</v>
      </c>
      <c r="E80" s="70">
        <f>IF(510.99774="","-",510.99774/1752733.24746*100)</f>
        <v>0.02915433599154464</v>
      </c>
      <c r="F80" s="70">
        <f>IF(OR(1239054.72912="",851.91847="",2155.50264=""),"-",(2155.50264-851.91847)/1239054.72912*100)</f>
        <v>0.1052079572728664</v>
      </c>
      <c r="G80" s="70">
        <f>IF(OR(1427663.68281="",510.99774="",2155.50264=""),"-",(510.99774-2155.50264)/1427663.68281*100)</f>
        <v>-0.11518853633393562</v>
      </c>
    </row>
    <row r="81" spans="1:7" ht="15.75">
      <c r="A81" s="22" t="s">
        <v>198</v>
      </c>
      <c r="B81" s="36">
        <f>IF(498.88055="","-",498.88055)</f>
        <v>498.88055</v>
      </c>
      <c r="C81" s="70" t="s">
        <v>279</v>
      </c>
      <c r="D81" s="70">
        <f>IF(0.53598="","-",0.53598/1427663.68281*100)</f>
        <v>3.754245530327262E-05</v>
      </c>
      <c r="E81" s="70">
        <f>IF(498.88055="","-",498.88055/1752733.24746*100)</f>
        <v>0.02846300489381144</v>
      </c>
      <c r="F81" s="70">
        <f>IF(OR(1239054.72912="",0.021="",0.53598=""),"-",(0.53598-0.021)/1239054.72912*100)</f>
        <v>4.1562328757322E-05</v>
      </c>
      <c r="G81" s="70">
        <f>IF(OR(1427663.68281="",498.88055="",0.53598=""),"-",(498.88055-0.53598)/1427663.68281*100)</f>
        <v>0.03490630013219451</v>
      </c>
    </row>
    <row r="82" spans="1:7" ht="15.75">
      <c r="A82" s="22" t="s">
        <v>127</v>
      </c>
      <c r="B82" s="36">
        <f>IF(436.94111="","-",436.94111)</f>
        <v>436.94111</v>
      </c>
      <c r="C82" s="70">
        <f>IF(OR(362.10238="",436.94111=""),"-",436.94111/362.10238*100)</f>
        <v>120.66783709071451</v>
      </c>
      <c r="D82" s="70">
        <f>IF(362.10238="","-",362.10238/1427663.68281*100)</f>
        <v>0.025363282988840323</v>
      </c>
      <c r="E82" s="70">
        <f>IF(436.94111="","-",436.94111/1752733.24746*100)</f>
        <v>0.02492912772854625</v>
      </c>
      <c r="F82" s="70">
        <f>IF(OR(1239054.72912="",291.30327="",362.10238=""),"-",(362.10238-291.30327)/1239054.72912*100)</f>
        <v>0.005713961485000977</v>
      </c>
      <c r="G82" s="70">
        <f>IF(OR(1427663.68281="",436.94111="",362.10238=""),"-",(436.94111-362.10238)/1427663.68281*100)</f>
        <v>0.005242042008990424</v>
      </c>
    </row>
    <row r="83" spans="1:7" ht="15.75">
      <c r="A83" s="22" t="s">
        <v>174</v>
      </c>
      <c r="B83" s="36">
        <f>IF(410.44875="","-",410.44875)</f>
        <v>410.44875</v>
      </c>
      <c r="C83" s="70" t="str">
        <f>IF(OR(""="",410.44875=""),"-",410.44875/""*100)</f>
        <v>-</v>
      </c>
      <c r="D83" s="70" t="str">
        <f>IF(""="","-",""/1427663.68281*100)</f>
        <v>-</v>
      </c>
      <c r="E83" s="70">
        <f>IF(410.44875="","-",410.44875/1752733.24746*100)</f>
        <v>0.023417639312474276</v>
      </c>
      <c r="F83" s="70" t="str">
        <f>IF(OR(1239054.72912="",338.67923="",""=""),"-",(""-338.67923)/1239054.72912*100)</f>
        <v>-</v>
      </c>
      <c r="G83" s="70" t="str">
        <f>IF(OR(1427663.68281="",410.44875="",""=""),"-",(410.44875-"")/1427663.68281*100)</f>
        <v>-</v>
      </c>
    </row>
    <row r="84" spans="1:7" ht="15.75">
      <c r="A84" s="22" t="s">
        <v>122</v>
      </c>
      <c r="B84" s="36">
        <f>IF(396.83861="","-",396.83861)</f>
        <v>396.83861</v>
      </c>
      <c r="C84" s="70" t="s">
        <v>280</v>
      </c>
      <c r="D84" s="70">
        <f>IF(102.85156="","-",102.85156/1427663.68281*100)</f>
        <v>0.00720418689908553</v>
      </c>
      <c r="E84" s="70">
        <f>IF(396.83861="","-",396.83861/1752733.24746*100)</f>
        <v>0.022641129822526314</v>
      </c>
      <c r="F84" s="70">
        <f>IF(OR(1239054.72912="",743.58649="",102.85156=""),"-",(102.85156-743.58649)/1239054.72912*100)</f>
        <v>-0.05171159230836091</v>
      </c>
      <c r="G84" s="70">
        <f>IF(OR(1427663.68281="",396.83861="",102.85156=""),"-",(396.83861-102.85156)/1427663.68281*100)</f>
        <v>0.020592178223750836</v>
      </c>
    </row>
    <row r="85" spans="1:7" ht="15.75">
      <c r="A85" s="22" t="s">
        <v>85</v>
      </c>
      <c r="B85" s="36">
        <f>IF(360.21777="","-",360.21777)</f>
        <v>360.21777</v>
      </c>
      <c r="C85" s="70">
        <f>IF(OR(692.59016="",360.21777=""),"-",360.21777/692.59016*100)</f>
        <v>52.01023502846185</v>
      </c>
      <c r="D85" s="70">
        <f>IF(692.59016="","-",692.59016/1427663.68281*100)</f>
        <v>0.04851213688064187</v>
      </c>
      <c r="E85" s="70">
        <f>IF(360.21777="","-",360.21777/1752733.24746*100)</f>
        <v>0.020551773666758193</v>
      </c>
      <c r="F85" s="70">
        <f>IF(OR(1239054.72912="",218.71874="",692.59016=""),"-",(692.59016-218.71874)/1239054.72912*100)</f>
        <v>0.03824459153120317</v>
      </c>
      <c r="G85" s="70">
        <f>IF(OR(1427663.68281="",360.21777="",692.59016=""),"-",(360.21777-692.59016)/1427663.68281*100)</f>
        <v>-0.023280860471690912</v>
      </c>
    </row>
    <row r="86" spans="1:7" ht="15.75">
      <c r="A86" s="22" t="s">
        <v>146</v>
      </c>
      <c r="B86" s="36">
        <f>IF(353.96889="","-",353.96889)</f>
        <v>353.96889</v>
      </c>
      <c r="C86" s="70" t="s">
        <v>19</v>
      </c>
      <c r="D86" s="70">
        <f>IF(179.59211="","-",179.59211/1427663.68281*100)</f>
        <v>0.012579440953944959</v>
      </c>
      <c r="E86" s="70">
        <f>IF(353.96889="","-",353.96889/1752733.24746*100)</f>
        <v>0.020195251645563256</v>
      </c>
      <c r="F86" s="70">
        <f>IF(OR(1239054.72912="",117.22695="",179.59211=""),"-",(179.59211-117.22695)/1239054.72912*100)</f>
        <v>0.005033285337145107</v>
      </c>
      <c r="G86" s="70">
        <f>IF(OR(1427663.68281="",353.96889="",179.59211=""),"-",(353.96889-179.59211)/1427663.68281*100)</f>
        <v>0.012214135730957504</v>
      </c>
    </row>
    <row r="87" spans="1:7" ht="15.75">
      <c r="A87" s="22" t="s">
        <v>188</v>
      </c>
      <c r="B87" s="36">
        <f>IF(341.85669="","-",341.85669)</f>
        <v>341.85669</v>
      </c>
      <c r="C87" s="70" t="s">
        <v>150</v>
      </c>
      <c r="D87" s="70">
        <f>IF(154.52508="","-",154.52508/1427663.68281*100)</f>
        <v>0.010823633174996504</v>
      </c>
      <c r="E87" s="70">
        <f>IF(341.85669="","-",341.85669/1752733.24746*100)</f>
        <v>0.0195042052460297</v>
      </c>
      <c r="F87" s="70">
        <f>IF(OR(1239054.72912="",159.13025="",154.52508=""),"-",(154.52508-159.13025)/1239054.72912*100)</f>
        <v>-0.000371668005598967</v>
      </c>
      <c r="G87" s="70">
        <f>IF(OR(1427663.68281="",341.85669="",154.52508=""),"-",(341.85669-154.52508)/1427663.68281*100)</f>
        <v>0.013121550422245417</v>
      </c>
    </row>
    <row r="88" spans="1:7" ht="15.75">
      <c r="A88" s="22" t="s">
        <v>154</v>
      </c>
      <c r="B88" s="36">
        <f>IF(332.06609="","-",332.06609)</f>
        <v>332.06609</v>
      </c>
      <c r="C88" s="70">
        <f>IF(OR(615.61647="",332.06609=""),"-",332.06609/615.61647*100)</f>
        <v>53.94041683127807</v>
      </c>
      <c r="D88" s="70">
        <f>IF(615.61647="","-",615.61647/1427663.68281*100)</f>
        <v>0.04312055264922846</v>
      </c>
      <c r="E88" s="70">
        <f>IF(332.06609="","-",332.06609/1752733.24746*100)</f>
        <v>0.01894561482651274</v>
      </c>
      <c r="F88" s="70">
        <f>IF(OR(1239054.72912="",166.85426="",615.61647=""),"-",(615.61647-166.85426)/1239054.72912*100)</f>
        <v>0.03621811042347737</v>
      </c>
      <c r="G88" s="70">
        <f>IF(OR(1427663.68281="",332.06609="",615.61647=""),"-",(332.06609-615.61647)/1427663.68281*100)</f>
        <v>-0.01986114681028391</v>
      </c>
    </row>
    <row r="89" spans="1:7" ht="15.75">
      <c r="A89" s="22" t="s">
        <v>191</v>
      </c>
      <c r="B89" s="36">
        <f>IF(326.76673="","-",326.76673)</f>
        <v>326.76673</v>
      </c>
      <c r="C89" s="70" t="str">
        <f>IF(OR(""="",326.76673=""),"-",326.76673/""*100)</f>
        <v>-</v>
      </c>
      <c r="D89" s="70" t="str">
        <f>IF(""="","-",""/1427663.68281*100)</f>
        <v>-</v>
      </c>
      <c r="E89" s="70">
        <f>IF(326.76673="","-",326.76673/1752733.24746*100)</f>
        <v>0.018643266479570635</v>
      </c>
      <c r="F89" s="70" t="str">
        <f>IF(OR(1239054.72912="",""="",""=""),"-",(""-"")/1239054.72912*100)</f>
        <v>-</v>
      </c>
      <c r="G89" s="70" t="str">
        <f>IF(OR(1427663.68281="",326.76673="",""=""),"-",(326.76673-"")/1427663.68281*100)</f>
        <v>-</v>
      </c>
    </row>
    <row r="90" spans="1:7" ht="15.75">
      <c r="A90" s="22" t="s">
        <v>134</v>
      </c>
      <c r="B90" s="36">
        <f>IF(318.69283="","-",318.69283)</f>
        <v>318.69283</v>
      </c>
      <c r="C90" s="70" t="s">
        <v>209</v>
      </c>
      <c r="D90" s="70">
        <f>IF(9.42962="","-",9.42962/1427663.68281*100)</f>
        <v>0.0006604930918632143</v>
      </c>
      <c r="E90" s="70">
        <f>IF(318.69283="","-",318.69283/1752733.24746*100)</f>
        <v>0.018182620228254273</v>
      </c>
      <c r="F90" s="70">
        <f>IF(OR(1239054.72912="",23.9276="",9.42962=""),"-",(9.42962-23.9276)/1239054.72912*100)</f>
        <v>-0.0011700839082626107</v>
      </c>
      <c r="G90" s="70">
        <f>IF(OR(1427663.68281="",318.69283="",9.42962=""),"-",(318.69283-9.42962)/1427663.68281*100)</f>
        <v>0.021662189332384816</v>
      </c>
    </row>
    <row r="91" spans="1:7" ht="15.75">
      <c r="A91" s="22" t="s">
        <v>163</v>
      </c>
      <c r="B91" s="36">
        <f>IF(305.91438="","-",305.91438)</f>
        <v>305.91438</v>
      </c>
      <c r="C91" s="70" t="s">
        <v>217</v>
      </c>
      <c r="D91" s="70">
        <f>IF(187.53285="","-",187.53285/1427663.68281*100)</f>
        <v>0.013135646178999828</v>
      </c>
      <c r="E91" s="70">
        <f>IF(305.91438="","-",305.91438/1752733.24746*100)</f>
        <v>0.017453561769500317</v>
      </c>
      <c r="F91" s="70">
        <f>IF(OR(1239054.72912="",39.49098="",187.53285=""),"-",(187.53285-39.49098)/1239054.72912*100)</f>
        <v>0.011947968602253922</v>
      </c>
      <c r="G91" s="70">
        <f>IF(OR(1427663.68281="",305.91438="",187.53285=""),"-",(305.91438-187.53285)/1427663.68281*100)</f>
        <v>0.008291976004250207</v>
      </c>
    </row>
    <row r="92" spans="1:7" ht="15.75">
      <c r="A92" s="22" t="s">
        <v>126</v>
      </c>
      <c r="B92" s="36">
        <f>IF(288.6137="","-",288.6137)</f>
        <v>288.6137</v>
      </c>
      <c r="C92" s="70" t="s">
        <v>281</v>
      </c>
      <c r="D92" s="70">
        <f>IF(38.1008="","-",38.1008/1427663.68281*100)</f>
        <v>0.002668751783683961</v>
      </c>
      <c r="E92" s="70">
        <f>IF(288.6137="","-",288.6137/1752733.24746*100)</f>
        <v>0.016466493142538886</v>
      </c>
      <c r="F92" s="70">
        <f>IF(OR(1239054.72912="",477.34092="",38.1008=""),"-",(38.1008-477.34092)/1239054.72912*100)</f>
        <v>-0.03544961410316044</v>
      </c>
      <c r="G92" s="70">
        <f>IF(OR(1427663.68281="",288.6137="",38.1008=""),"-",(288.6137-38.1008)/1427663.68281*100)</f>
        <v>0.01754705278395314</v>
      </c>
    </row>
    <row r="93" spans="1:7" ht="15.75">
      <c r="A93" s="22" t="s">
        <v>249</v>
      </c>
      <c r="B93" s="36">
        <f>IF(284.83325="","-",284.83325)</f>
        <v>284.83325</v>
      </c>
      <c r="C93" s="70" t="str">
        <f>IF(OR(""="",284.83325=""),"-",284.83325/""*100)</f>
        <v>-</v>
      </c>
      <c r="D93" s="70" t="str">
        <f>IF(""="","-",""/1427663.68281*100)</f>
        <v>-</v>
      </c>
      <c r="E93" s="70">
        <f>IF(284.83325="","-",284.83325/1752733.24746*100)</f>
        <v>0.016250804303094637</v>
      </c>
      <c r="F93" s="70" t="str">
        <f>IF(OR(1239054.72912="",""="",""=""),"-",(""-"")/1239054.72912*100)</f>
        <v>-</v>
      </c>
      <c r="G93" s="70" t="str">
        <f>IF(OR(1427663.68281="",284.83325="",""=""),"-",(284.83325-"")/1427663.68281*100)</f>
        <v>-</v>
      </c>
    </row>
    <row r="94" spans="1:7" ht="15.75">
      <c r="A94" s="22" t="s">
        <v>84</v>
      </c>
      <c r="B94" s="36">
        <f>IF(258.48513="","-",258.48513)</f>
        <v>258.48513</v>
      </c>
      <c r="C94" s="70">
        <f>IF(OR(235.12523="",258.48513=""),"-",258.48513/235.12523*100)</f>
        <v>109.93508863340612</v>
      </c>
      <c r="D94" s="70">
        <f>IF(235.12523="","-",235.12523/1427663.68281*100)</f>
        <v>0.016469231012251753</v>
      </c>
      <c r="E94" s="70">
        <f>IF(258.48513="","-",258.48513/1752733.24746*100)</f>
        <v>0.014747545319550916</v>
      </c>
      <c r="F94" s="70">
        <f>IF(OR(1239054.72912="",258.29377="",235.12523=""),"-",(235.12523-258.29377)/1239054.72912*100)</f>
        <v>-0.0018698560649096378</v>
      </c>
      <c r="G94" s="70">
        <f>IF(OR(1427663.68281="",258.48513="",235.12523=""),"-",(258.48513-235.12523)/1427663.68281*100)</f>
        <v>0.0016362326983076225</v>
      </c>
    </row>
    <row r="95" spans="1:7" ht="15.75">
      <c r="A95" s="22" t="s">
        <v>189</v>
      </c>
      <c r="B95" s="36">
        <f>IF(221.20633="","-",221.20633)</f>
        <v>221.20633</v>
      </c>
      <c r="C95" s="70" t="s">
        <v>282</v>
      </c>
      <c r="D95" s="70">
        <f>IF(17.03616="","-",17.03616/1427663.68281*100)</f>
        <v>0.0011932894424034495</v>
      </c>
      <c r="E95" s="70">
        <f>IF(221.20633="","-",221.20633/1752733.24746*100)</f>
        <v>0.012620650080128538</v>
      </c>
      <c r="F95" s="70">
        <f>IF(OR(1239054.72912="",26.24="",17.03616=""),"-",(17.03616-26.24)/1239054.72912*100)</f>
        <v>-0.0007428114177439716</v>
      </c>
      <c r="G95" s="70">
        <f>IF(OR(1427663.68281="",221.20633="",17.03616=""),"-",(221.20633-17.03616)/1427663.68281*100)</f>
        <v>0.01430099906990293</v>
      </c>
    </row>
    <row r="96" spans="1:7" ht="15.75">
      <c r="A96" s="22" t="s">
        <v>273</v>
      </c>
      <c r="B96" s="36">
        <f>IF(203.26985="","-",203.26985)</f>
        <v>203.26985</v>
      </c>
      <c r="C96" s="70">
        <f>IF(OR(375.16786="",203.26985=""),"-",203.26985/375.16786*100)</f>
        <v>54.181040454798016</v>
      </c>
      <c r="D96" s="70">
        <f>IF(375.16786="","-",375.16786/1427663.68281*100)</f>
        <v>0.026278448104918917</v>
      </c>
      <c r="E96" s="70">
        <f>IF(203.26985="","-",203.26985/1752733.24746*100)</f>
        <v>0.011597306680555731</v>
      </c>
      <c r="F96" s="70">
        <f>IF(OR(1239054.72912="",204.26007="",375.16786=""),"-",(375.16786-204.26007)/1239054.72912*100)</f>
        <v>0.013793401210080682</v>
      </c>
      <c r="G96" s="70">
        <f>IF(OR(1427663.68281="",203.26985="",375.16786=""),"-",(203.26985-375.16786)/1427663.68281*100)</f>
        <v>-0.012040511506299695</v>
      </c>
    </row>
    <row r="97" spans="1:7" ht="15.75">
      <c r="A97" s="22" t="s">
        <v>121</v>
      </c>
      <c r="B97" s="36">
        <f>IF(188.42651="","-",188.42651)</f>
        <v>188.42651</v>
      </c>
      <c r="C97" s="70" t="s">
        <v>283</v>
      </c>
      <c r="D97" s="70">
        <f>IF(29.44221="","-",29.44221/1427663.68281*100)</f>
        <v>0.0020622651086879477</v>
      </c>
      <c r="E97" s="70">
        <f>IF(188.42651="","-",188.42651/1752733.24746*100)</f>
        <v>0.010750438509286062</v>
      </c>
      <c r="F97" s="70">
        <f>IF(OR(1239054.72912="",895.52083="",29.44221=""),"-",(29.44221-895.52083)/1239054.72912*100)</f>
        <v>-0.06989833456469718</v>
      </c>
      <c r="G97" s="70">
        <f>IF(OR(1427663.68281="",188.42651="",29.44221=""),"-",(188.42651-29.44221)/1427663.68281*100)</f>
        <v>0.011135977045173487</v>
      </c>
    </row>
    <row r="98" spans="1:7" ht="15.75">
      <c r="A98" s="22" t="s">
        <v>137</v>
      </c>
      <c r="B98" s="36">
        <f>IF(142.83019="","-",142.83019)</f>
        <v>142.83019</v>
      </c>
      <c r="C98" s="70" t="str">
        <f>IF(OR(""="",142.83019=""),"-",142.83019/""*100)</f>
        <v>-</v>
      </c>
      <c r="D98" s="70" t="str">
        <f>IF(""="","-",""/1427663.68281*100)</f>
        <v>-</v>
      </c>
      <c r="E98" s="70">
        <f>IF(142.83019="","-",142.83019/1752733.24746*100)</f>
        <v>0.008148997584600196</v>
      </c>
      <c r="F98" s="70" t="str">
        <f>IF(OR(1239054.72912="",253.5538="",""=""),"-",(""-253.5538)/1239054.72912*100)</f>
        <v>-</v>
      </c>
      <c r="G98" s="70" t="str">
        <f>IF(OR(1427663.68281="",142.83019="",""=""),"-",(142.83019-"")/1427663.68281*100)</f>
        <v>-</v>
      </c>
    </row>
    <row r="99" spans="1:7" ht="15.75">
      <c r="A99" s="22" t="s">
        <v>256</v>
      </c>
      <c r="B99" s="36">
        <f>IF(134.90109="","-",134.90109)</f>
        <v>134.90109</v>
      </c>
      <c r="C99" s="70">
        <f>IF(OR(116.25016="",134.90109=""),"-",134.90109/116.25016*100)</f>
        <v>116.04378867091454</v>
      </c>
      <c r="D99" s="70">
        <f>IF(116.25016="","-",116.25016/1427663.68281*100)</f>
        <v>0.008142685241610303</v>
      </c>
      <c r="E99" s="70">
        <f>IF(134.90109="","-",134.90109/1752733.24746*100)</f>
        <v>0.007696612715910648</v>
      </c>
      <c r="F99" s="70">
        <f>IF(OR(1239054.72912="",0.2121="",116.25016=""),"-",(116.25016-0.2121)/1239054.72912*100)</f>
        <v>0.0093650471825738</v>
      </c>
      <c r="G99" s="70">
        <f>IF(OR(1427663.68281="",134.90109="",116.25016=""),"-",(134.90109-116.25016)/1427663.68281*100)</f>
        <v>0.0013063952123017035</v>
      </c>
    </row>
    <row r="100" spans="1:7" ht="15.75">
      <c r="A100" s="22" t="s">
        <v>157</v>
      </c>
      <c r="B100" s="36">
        <f>IF(124.93436="","-",124.93436)</f>
        <v>124.93436</v>
      </c>
      <c r="C100" s="70" t="s">
        <v>19</v>
      </c>
      <c r="D100" s="70">
        <f>IF(61.158="","-",61.158/1427663.68281*100)</f>
        <v>0.004283782009473389</v>
      </c>
      <c r="E100" s="70">
        <f>IF(124.93436="","-",124.93436/1752733.24746*100)</f>
        <v>0.007127973419860125</v>
      </c>
      <c r="F100" s="70">
        <f>IF(OR(1239054.72912="",317.7785="",61.158=""),"-",(61.158-317.7785)/1239054.72912*100)</f>
        <v>-0.020710989915857608</v>
      </c>
      <c r="G100" s="70">
        <f>IF(OR(1427663.68281="",124.93436="",61.158=""),"-",(124.93436-61.158)/1427663.68281*100)</f>
        <v>0.0044671837469782896</v>
      </c>
    </row>
    <row r="101" spans="1:7" ht="15.75">
      <c r="A101" s="22" t="s">
        <v>143</v>
      </c>
      <c r="B101" s="36">
        <f>IF(121.6579="","-",121.6579)</f>
        <v>121.6579</v>
      </c>
      <c r="C101" s="70">
        <f>IF(OR(307.0826="",121.6579=""),"-",121.6579/307.0826*100)</f>
        <v>39.617321202829466</v>
      </c>
      <c r="D101" s="70">
        <f>IF(307.0826="","-",307.0826/1427663.68281*100)</f>
        <v>0.02150944957817968</v>
      </c>
      <c r="E101" s="70">
        <f>IF(121.6579="","-",121.6579/1752733.24746*100)</f>
        <v>0.006941039098579455</v>
      </c>
      <c r="F101" s="70">
        <f>IF(OR(1239054.72912="",102.49819="",307.0826=""),"-",(307.0826-102.49819)/1239054.72912*100)</f>
        <v>0.01651132957987253</v>
      </c>
      <c r="G101" s="70">
        <f>IF(OR(1427663.68281="",121.6579="",307.0826=""),"-",(121.6579-307.0826)/1427663.68281*100)</f>
        <v>-0.01298798184983159</v>
      </c>
    </row>
    <row r="102" spans="1:7" ht="15.75">
      <c r="A102" s="22" t="s">
        <v>136</v>
      </c>
      <c r="B102" s="36">
        <f>IF(115.8512="","-",115.8512)</f>
        <v>115.8512</v>
      </c>
      <c r="C102" s="70">
        <f>IF(OR(203.86518="",115.8512=""),"-",115.8512/203.86518*100)</f>
        <v>56.827360121036854</v>
      </c>
      <c r="D102" s="70">
        <f>IF(203.86518="","-",203.86518/1427663.68281*100)</f>
        <v>0.014279636195461824</v>
      </c>
      <c r="E102" s="70">
        <f>IF(115.8512="","-",115.8512/1752733.24746*100)</f>
        <v>0.006609745103419903</v>
      </c>
      <c r="F102" s="70">
        <f>IF(OR(1239054.72912="",204.4002="",203.86518=""),"-",(203.86518-204.4002)/1239054.72912*100)</f>
        <v>-4.3179690729237134E-05</v>
      </c>
      <c r="G102" s="70">
        <f>IF(OR(1427663.68281="",115.8512="",203.86518=""),"-",(115.8512-203.86518)/1427663.68281*100)</f>
        <v>-0.006164895910692806</v>
      </c>
    </row>
    <row r="103" spans="1:7" ht="15.75">
      <c r="A103" s="22" t="s">
        <v>250</v>
      </c>
      <c r="B103" s="36">
        <f>IF(99.05="","-",99.05)</f>
        <v>99.05</v>
      </c>
      <c r="C103" s="70" t="s">
        <v>218</v>
      </c>
      <c r="D103" s="70">
        <f>IF(35.91411="","-",35.91411/1427663.68281*100)</f>
        <v>0.0025155861588712566</v>
      </c>
      <c r="E103" s="70">
        <f>IF(99.05="","-",99.05/1752733.24746*100)</f>
        <v>0.005651173682221171</v>
      </c>
      <c r="F103" s="70">
        <f>IF(OR(1239054.72912="",7.45036="",35.91411=""),"-",(35.91411-7.45036)/1239054.72912*100)</f>
        <v>0.0022972149115814675</v>
      </c>
      <c r="G103" s="70">
        <f>IF(OR(1427663.68281="",99.05="",35.91411=""),"-",(99.05-35.91411)/1427663.68281*100)</f>
        <v>0.004422322341052533</v>
      </c>
    </row>
    <row r="104" spans="1:7" ht="15.75">
      <c r="A104" s="22" t="s">
        <v>140</v>
      </c>
      <c r="B104" s="36">
        <f>IF(96.62283="","-",96.62283)</f>
        <v>96.62283</v>
      </c>
      <c r="C104" s="70" t="s">
        <v>217</v>
      </c>
      <c r="D104" s="70">
        <f>IF(59.72089="","-",59.72089/1427663.68281*100)</f>
        <v>0.00418312034683507</v>
      </c>
      <c r="E104" s="70">
        <f>IF(96.62283="","-",96.62283/1752733.24746*100)</f>
        <v>0.005512694538089149</v>
      </c>
      <c r="F104" s="70" t="str">
        <f>IF(OR(1239054.72912="",""="",59.72089=""),"-",(59.72089-"")/1239054.72912*100)</f>
        <v>-</v>
      </c>
      <c r="G104" s="70">
        <f>IF(OR(1427663.68281="",96.62283="",59.72089=""),"-",(96.62283-59.72089)/1427663.68281*100)</f>
        <v>0.0025847782250346053</v>
      </c>
    </row>
    <row r="105" spans="1:7" ht="15.75">
      <c r="A105" s="22" t="s">
        <v>206</v>
      </c>
      <c r="B105" s="36">
        <f>IF(95.45752="","-",95.45752)</f>
        <v>95.45752</v>
      </c>
      <c r="C105" s="70">
        <f>IF(OR(346.8895="",95.45752=""),"-",95.45752/346.8895*100)</f>
        <v>27.518134737430795</v>
      </c>
      <c r="D105" s="70">
        <f>IF(346.8895="","-",346.8895/1427663.68281*100)</f>
        <v>0.02429770429666142</v>
      </c>
      <c r="E105" s="70">
        <f>IF(95.45752="","-",95.45752/1752733.24746*100)</f>
        <v>0.005446209235679972</v>
      </c>
      <c r="F105" s="70">
        <f>IF(OR(1239054.72912="",98.3034="",346.8895=""),"-",(346.8895-98.3034)/1239054.72912*100)</f>
        <v>0.0200625601240835</v>
      </c>
      <c r="G105" s="70">
        <f>IF(OR(1427663.68281="",95.45752="",346.8895=""),"-",(95.45752-346.8895)/1427663.68281*100)</f>
        <v>-0.017611429290203616</v>
      </c>
    </row>
    <row r="106" spans="1:7" ht="15.75">
      <c r="A106" s="22" t="s">
        <v>149</v>
      </c>
      <c r="B106" s="36">
        <f>IF(85.68156="","-",85.68156)</f>
        <v>85.68156</v>
      </c>
      <c r="C106" s="70" t="s">
        <v>284</v>
      </c>
      <c r="D106" s="70">
        <f>IF(20.74439="","-",20.74439/1427663.68281*100)</f>
        <v>0.0014530305876500158</v>
      </c>
      <c r="E106" s="70">
        <f>IF(85.68156="","-",85.68156/1752733.24746*100)</f>
        <v>0.004888454083025283</v>
      </c>
      <c r="F106" s="70">
        <f>IF(OR(1239054.72912="",21.11389="",20.74439=""),"-",(20.74439-21.11389)/1239054.72912*100)</f>
        <v>-2.9821120190746375E-05</v>
      </c>
      <c r="G106" s="70">
        <f>IF(OR(1427663.68281="",85.68156="",20.74439=""),"-",(85.68156-20.74439)/1427663.68281*100)</f>
        <v>0.004548492112104959</v>
      </c>
    </row>
    <row r="107" spans="1:7" ht="15.75">
      <c r="A107" s="22" t="s">
        <v>199</v>
      </c>
      <c r="B107" s="36">
        <f>IF(77.69399="","-",77.69399)</f>
        <v>77.69399</v>
      </c>
      <c r="C107" s="70" t="s">
        <v>257</v>
      </c>
      <c r="D107" s="70">
        <f>IF(11.42792="","-",11.42792/1427663.68281*100)</f>
        <v>0.0008004630318470377</v>
      </c>
      <c r="E107" s="70">
        <f>IF(77.69399="","-",77.69399/1752733.24746*100)</f>
        <v>0.004432733281723926</v>
      </c>
      <c r="F107" s="70">
        <f>IF(OR(1239054.72912="",48.24954="",11.42792=""),"-",(11.42792-48.24954)/1239054.72912*100)</f>
        <v>-0.0029717508948253974</v>
      </c>
      <c r="G107" s="70">
        <f>IF(OR(1427663.68281="",77.69399="",11.42792=""),"-",(77.69399-11.42792)/1427663.68281*100)</f>
        <v>0.0046415742585516895</v>
      </c>
    </row>
    <row r="108" spans="1:7" ht="15.75">
      <c r="A108" s="22" t="s">
        <v>224</v>
      </c>
      <c r="B108" s="36">
        <f>IF(75.77917="","-",75.77917)</f>
        <v>75.77917</v>
      </c>
      <c r="C108" s="70" t="str">
        <f>IF(OR(""="",75.77917=""),"-",75.77917/""*100)</f>
        <v>-</v>
      </c>
      <c r="D108" s="70" t="str">
        <f>IF(""="","-",""/1427663.68281*100)</f>
        <v>-</v>
      </c>
      <c r="E108" s="70">
        <f>IF(75.77917="","-",75.77917/1752733.24746*100)</f>
        <v>0.004323485625083938</v>
      </c>
      <c r="F108" s="70" t="str">
        <f>IF(OR(1239054.72912="",""="",""=""),"-",(""-"")/1239054.72912*100)</f>
        <v>-</v>
      </c>
      <c r="G108" s="70" t="str">
        <f>IF(OR(1427663.68281="",75.77917="",""=""),"-",(75.77917-"")/1427663.68281*100)</f>
        <v>-</v>
      </c>
    </row>
    <row r="109" spans="1:7" ht="15.75">
      <c r="A109" s="22" t="s">
        <v>176</v>
      </c>
      <c r="B109" s="36">
        <f>IF(74.18292="","-",74.18292)</f>
        <v>74.18292</v>
      </c>
      <c r="C109" s="70" t="str">
        <f>IF(OR(""="",74.18292=""),"-",74.18292/""*100)</f>
        <v>-</v>
      </c>
      <c r="D109" s="70" t="str">
        <f>IF(""="","-",""/1427663.68281*100)</f>
        <v>-</v>
      </c>
      <c r="E109" s="70">
        <f>IF(74.18292="","-",74.18292/1752733.24746*100)</f>
        <v>0.00423241358076041</v>
      </c>
      <c r="F109" s="70" t="str">
        <f>IF(OR(1239054.72912="",66.711="",""=""),"-",(""-66.711)/1239054.72912*100)</f>
        <v>-</v>
      </c>
      <c r="G109" s="70" t="str">
        <f>IF(OR(1427663.68281="",74.18292="",""=""),"-",(74.18292-"")/1427663.68281*100)</f>
        <v>-</v>
      </c>
    </row>
    <row r="110" spans="1:7" s="1" customFormat="1" ht="15.75">
      <c r="A110" s="22" t="s">
        <v>165</v>
      </c>
      <c r="B110" s="36">
        <f>IF(69.77432="","-",69.77432)</f>
        <v>69.77432</v>
      </c>
      <c r="C110" s="70">
        <f>IF(OR(1034.90358="",69.77432=""),"-",69.77432/1034.90358*100)</f>
        <v>6.742108284135997</v>
      </c>
      <c r="D110" s="70">
        <f>IF(1034.90358="","-",1034.90358/1427663.68281*100)</f>
        <v>0.07248931190594204</v>
      </c>
      <c r="E110" s="70">
        <f>IF(69.77432="","-",69.77432/1752733.24746*100)</f>
        <v>0.003980886429872573</v>
      </c>
      <c r="F110" s="70">
        <f>IF(OR(1239054.72912="",419.56893="",1034.90358=""),"-",(1034.90358-419.56893)/1239054.72912*100)</f>
        <v>0.04966161990576656</v>
      </c>
      <c r="G110" s="70">
        <f>IF(OR(1427663.68281="",69.77432="",1034.90358=""),"-",(69.77432-1034.90358)/1427663.68281*100)</f>
        <v>-0.06760200400281834</v>
      </c>
    </row>
    <row r="111" spans="1:7" ht="15.75">
      <c r="A111" s="22" t="s">
        <v>207</v>
      </c>
      <c r="B111" s="36">
        <f>IF(65.856="","-",65.856)</f>
        <v>65.856</v>
      </c>
      <c r="C111" s="70" t="str">
        <f>IF(OR(""="",65.856=""),"-",65.856/""*100)</f>
        <v>-</v>
      </c>
      <c r="D111" s="70" t="str">
        <f>IF(""="","-",""/1427663.68281*100)</f>
        <v>-</v>
      </c>
      <c r="E111" s="70">
        <f>IF(65.856="","-",65.856/1752733.24746*100)</f>
        <v>0.00375733159027115</v>
      </c>
      <c r="F111" s="70" t="str">
        <f>IF(OR(1239054.72912="",""="",""=""),"-",(""-"")/1239054.72912*100)</f>
        <v>-</v>
      </c>
      <c r="G111" s="70" t="str">
        <f>IF(OR(1427663.68281="",65.856="",""=""),"-",(65.856-"")/1427663.68281*100)</f>
        <v>-</v>
      </c>
    </row>
    <row r="112" spans="1:7" ht="15.75">
      <c r="A112" s="22" t="s">
        <v>251</v>
      </c>
      <c r="B112" s="36">
        <f>IF(55.6754="","-",55.6754)</f>
        <v>55.6754</v>
      </c>
      <c r="C112" s="70">
        <f>IF(OR(55.15="",55.6754=""),"-",55.6754/55.15*100)</f>
        <v>100.95267452402538</v>
      </c>
      <c r="D112" s="70">
        <f>IF(55.15="","-",55.15/1427663.68281*100)</f>
        <v>0.0038629546064694294</v>
      </c>
      <c r="E112" s="70">
        <f>IF(55.6754="","-",55.6754/1752733.24746*100)</f>
        <v>0.00317649020925933</v>
      </c>
      <c r="F112" s="70" t="str">
        <f>IF(OR(1239054.72912="",""="",55.15=""),"-",(55.15-"")/1239054.72912*100)</f>
        <v>-</v>
      </c>
      <c r="G112" s="70">
        <f>IF(OR(1427663.68281="",55.6754="",55.15=""),"-",(55.6754-55.15)/1427663.68281*100)</f>
        <v>3.680138441049967E-05</v>
      </c>
    </row>
    <row r="113" spans="1:7" ht="15.75">
      <c r="A113" s="22" t="s">
        <v>208</v>
      </c>
      <c r="B113" s="36">
        <f>IF(55.11432="","-",55.11432)</f>
        <v>55.11432</v>
      </c>
      <c r="C113" s="70" t="str">
        <f>IF(OR(""="",55.11432=""),"-",55.11432/""*100)</f>
        <v>-</v>
      </c>
      <c r="D113" s="70" t="str">
        <f>IF(""="","-",""/1427663.68281*100)</f>
        <v>-</v>
      </c>
      <c r="E113" s="70">
        <f>IF(55.11432="","-",55.11432/1752733.24746*100)</f>
        <v>0.0031444784926553853</v>
      </c>
      <c r="F113" s="70" t="str">
        <f>IF(OR(1239054.72912="",""="",""=""),"-",(""-"")/1239054.72912*100)</f>
        <v>-</v>
      </c>
      <c r="G113" s="70" t="str">
        <f>IF(OR(1427663.68281="",55.11432="",""=""),"-",(55.11432-"")/1427663.68281*100)</f>
        <v>-</v>
      </c>
    </row>
    <row r="114" spans="1:7" ht="15.75">
      <c r="A114" s="22" t="s">
        <v>117</v>
      </c>
      <c r="B114" s="36">
        <f>IF(52.5428="","-",52.5428)</f>
        <v>52.5428</v>
      </c>
      <c r="C114" s="70">
        <f>IF(OR(339.27215="",52.5428=""),"-",52.5428/339.27215*100)</f>
        <v>15.48691809805196</v>
      </c>
      <c r="D114" s="70">
        <f>IF(339.27215="","-",339.27215/1427663.68281*100)</f>
        <v>0.02376415076499161</v>
      </c>
      <c r="E114" s="70">
        <f>IF(52.5428="","-",52.5428/1752733.24746*100)</f>
        <v>0.002997763640082893</v>
      </c>
      <c r="F114" s="70">
        <f>IF(OR(1239054.72912="",1727.04903="",339.27215=""),"-",(339.27215-1727.04903)/1239054.72912*100)</f>
        <v>-0.11200287181710086</v>
      </c>
      <c r="G114" s="70">
        <f>IF(OR(1427663.68281="",52.5428="",339.27215=""),"-",(52.5428-339.27215)/1427663.68281*100)</f>
        <v>-0.020083816199319773</v>
      </c>
    </row>
    <row r="115" spans="1:7" ht="15.75">
      <c r="A115" s="50" t="s">
        <v>252</v>
      </c>
      <c r="B115" s="43">
        <f>IF(51.49657="","-",51.49657)</f>
        <v>51.49657</v>
      </c>
      <c r="C115" s="71" t="s">
        <v>285</v>
      </c>
      <c r="D115" s="71">
        <f>IF(1.0506="","-",1.0506/1427663.68281*100)</f>
        <v>7.358875991943395E-05</v>
      </c>
      <c r="E115" s="71">
        <f>IF(51.49657="","-",51.49657/1752733.24746*100)</f>
        <v>0.0029380722979168127</v>
      </c>
      <c r="F115" s="71">
        <f>IF(OR(1239054.72912="",17.99841="",1.0506=""),"-",(1.0506-17.99841)/1239054.72912*100)</f>
        <v>-0.001367801566928093</v>
      </c>
      <c r="G115" s="71">
        <f>IF(OR(1427663.68281="",51.49657="",1.0506=""),"-",(51.49657-1.0506)/1427663.68281*100)</f>
        <v>0.0035334631403321605</v>
      </c>
    </row>
    <row r="116" spans="1:7" ht="15.75">
      <c r="A116" s="39" t="s">
        <v>192</v>
      </c>
      <c r="B116" s="63">
        <f>IF(48.96218="","-",48.96218)</f>
        <v>48.96218</v>
      </c>
      <c r="C116" s="72">
        <f>IF(OR(45.3129="",48.96218=""),"-",48.96218/45.3129*100)</f>
        <v>108.05351235520126</v>
      </c>
      <c r="D116" s="72">
        <f>IF(45.3129="","-",45.3129/1427663.68281*100)</f>
        <v>0.0031739197785582707</v>
      </c>
      <c r="E116" s="72">
        <f>IF(48.96218="","-",48.96218/1752733.24746*100)</f>
        <v>0.0027934758509861263</v>
      </c>
      <c r="F116" s="72">
        <f>IF(OR(1239054.72912="",50.13236="",45.3129=""),"-",(45.3129-50.13236)/1239054.72912*100)</f>
        <v>-0.0003889626411758963</v>
      </c>
      <c r="G116" s="72">
        <f>IF(OR(1427663.68281="",48.96218="",45.3129=""),"-",(48.96218-45.3129)/1427663.68281*100)</f>
        <v>0.00025561202151036717</v>
      </c>
    </row>
    <row r="117" ht="15.75">
      <c r="A117" s="37" t="s">
        <v>20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8"/>
  <sheetViews>
    <sheetView zoomScalePageLayoutView="0" workbookViewId="0" topLeftCell="A1">
      <selection activeCell="M57" sqref="M57"/>
    </sheetView>
  </sheetViews>
  <sheetFormatPr defaultColWidth="9.00390625" defaultRowHeight="15.75"/>
  <cols>
    <col min="1" max="1" width="27.75390625" style="0" customWidth="1"/>
    <col min="2" max="2" width="12.25390625" style="0" customWidth="1"/>
    <col min="3" max="3" width="11.875" style="0" customWidth="1"/>
    <col min="4" max="4" width="8.625" style="0" customWidth="1"/>
    <col min="5" max="5" width="8.875" style="0" customWidth="1"/>
    <col min="6" max="7" width="9.875" style="0" customWidth="1"/>
  </cols>
  <sheetData>
    <row r="1" spans="1:7" ht="15.75">
      <c r="A1" s="103" t="s">
        <v>201</v>
      </c>
      <c r="B1" s="103"/>
      <c r="C1" s="103"/>
      <c r="D1" s="103"/>
      <c r="E1" s="103"/>
      <c r="F1" s="103"/>
      <c r="G1" s="103"/>
    </row>
    <row r="2" ht="15.75">
      <c r="A2" s="2"/>
    </row>
    <row r="3" spans="1:7" ht="55.5" customHeight="1">
      <c r="A3" s="91"/>
      <c r="B3" s="94" t="s">
        <v>268</v>
      </c>
      <c r="C3" s="95"/>
      <c r="D3" s="94" t="s">
        <v>166</v>
      </c>
      <c r="E3" s="95"/>
      <c r="F3" s="96" t="s">
        <v>186</v>
      </c>
      <c r="G3" s="97"/>
    </row>
    <row r="4" spans="1:7" ht="22.5" customHeight="1">
      <c r="A4" s="92"/>
      <c r="B4" s="98" t="s">
        <v>151</v>
      </c>
      <c r="C4" s="100" t="s">
        <v>269</v>
      </c>
      <c r="D4" s="102" t="s">
        <v>265</v>
      </c>
      <c r="E4" s="102"/>
      <c r="F4" s="102" t="s">
        <v>265</v>
      </c>
      <c r="G4" s="94"/>
    </row>
    <row r="5" spans="1:7" ht="21" customHeight="1">
      <c r="A5" s="93"/>
      <c r="B5" s="99"/>
      <c r="C5" s="101"/>
      <c r="D5" s="28">
        <v>2017</v>
      </c>
      <c r="E5" s="28">
        <v>2018</v>
      </c>
      <c r="F5" s="28" t="s">
        <v>145</v>
      </c>
      <c r="G5" s="24" t="s">
        <v>172</v>
      </c>
    </row>
    <row r="6" spans="1:7" s="3" customFormat="1" ht="15">
      <c r="A6" s="49" t="s">
        <v>229</v>
      </c>
      <c r="B6" s="61">
        <f>IF(3707625.63971="","-",3707625.63971)</f>
        <v>3707625.63971</v>
      </c>
      <c r="C6" s="62">
        <f>IF(3007940.19782="","-",3707625.63971/3007940.19782*100)</f>
        <v>123.26128167033028</v>
      </c>
      <c r="D6" s="62">
        <v>100</v>
      </c>
      <c r="E6" s="62">
        <v>100</v>
      </c>
      <c r="F6" s="62">
        <f>IF(2533522.81179="","-",(3007940.19782-2533522.81179)/2533522.81179*100)</f>
        <v>18.725601515101868</v>
      </c>
      <c r="G6" s="62">
        <f>IF(3007940.19782="","-",(3707625.63971-3007940.19782)/3007940.19782*100)</f>
        <v>23.261281670330277</v>
      </c>
    </row>
    <row r="7" spans="1:7" ht="12.75" customHeight="1">
      <c r="A7" s="7" t="s">
        <v>2</v>
      </c>
      <c r="B7" s="59"/>
      <c r="C7" s="57"/>
      <c r="D7" s="57"/>
      <c r="E7" s="57"/>
      <c r="F7" s="60"/>
      <c r="G7" s="60"/>
    </row>
    <row r="8" spans="1:7" ht="15.75">
      <c r="A8" s="31" t="s">
        <v>271</v>
      </c>
      <c r="B8" s="33">
        <f>IF(1874514.63837="","-",1874514.63837)</f>
        <v>1874514.63837</v>
      </c>
      <c r="C8" s="69">
        <f>IF(1498530.32617="","-",1874514.63837/1498530.32617*100)</f>
        <v>125.09020375723425</v>
      </c>
      <c r="D8" s="69">
        <f>IF(1498530.32617="","-",1498530.32617/3007940.19782*100)</f>
        <v>49.81915289592717</v>
      </c>
      <c r="E8" s="69">
        <f>IF(1874514.63837="","-",1874514.63837/3707625.63971*100)</f>
        <v>50.55835784209917</v>
      </c>
      <c r="F8" s="69">
        <f>IF(2533522.81179="","-",(1498530.32617-1262238.64331)/2533522.81179*100)</f>
        <v>9.32660569545272</v>
      </c>
      <c r="G8" s="69">
        <f>IF(3007940.19782="","-",(1874514.63837-1498530.32617)/3007940.19782*100)</f>
        <v>12.499726971716196</v>
      </c>
    </row>
    <row r="9" spans="1:7" s="11" customFormat="1" ht="15.75">
      <c r="A9" s="22" t="s">
        <v>219</v>
      </c>
      <c r="B9" s="36">
        <f>IF(540902.58684="","-",540902.58684)</f>
        <v>540902.58684</v>
      </c>
      <c r="C9" s="70">
        <f>IF(OR(426244.58657="",540902.58684=""),"-",540902.58684/426244.58657*100)</f>
        <v>126.89957922812711</v>
      </c>
      <c r="D9" s="70">
        <f>IF(426244.58657="","-",426244.58657/3007940.19782*100)</f>
        <v>14.170646972267603</v>
      </c>
      <c r="E9" s="70">
        <f>IF(540902.58684="","-",540902.58684/3707625.63971*100)</f>
        <v>14.58892130442565</v>
      </c>
      <c r="F9" s="70">
        <f>IF(OR(2533522.81179="",346109.67762="",426244.58657=""),"-",(426244.58657-346109.67762)/2533522.81179*100)</f>
        <v>3.162983517538672</v>
      </c>
      <c r="G9" s="70">
        <f>IF(OR(3007940.19782="",540902.58684="",426244.58657=""),"-",(540902.58684-426244.58657)/3007940.19782*100)</f>
        <v>3.8118444094433204</v>
      </c>
    </row>
    <row r="10" spans="1:7" s="11" customFormat="1" ht="15.75">
      <c r="A10" s="22" t="s">
        <v>4</v>
      </c>
      <c r="B10" s="36">
        <f>IF(316326.5583="","-",316326.5583)</f>
        <v>316326.5583</v>
      </c>
      <c r="C10" s="70">
        <f>IF(OR(243960.15419="",316326.5583=""),"-",316326.5583/243960.15419*100)</f>
        <v>129.66320641592966</v>
      </c>
      <c r="D10" s="70">
        <f>IF(243960.15419="","-",243960.15419/3007940.19782*100)</f>
        <v>8.110538712398927</v>
      </c>
      <c r="E10" s="70">
        <f>IF(316326.5583="","-",316326.5583/3707625.63971*100)</f>
        <v>8.531782575674015</v>
      </c>
      <c r="F10" s="70">
        <f>IF(OR(2533522.81179="",203505.08326="",243960.15419=""),"-",(243960.15419-203505.08326)/2533522.81179*100)</f>
        <v>1.5967912639956623</v>
      </c>
      <c r="G10" s="70">
        <f>IF(OR(3007940.19782="",316326.5583="",243960.15419=""),"-",(316326.5583-243960.15419)/3007940.19782*100)</f>
        <v>2.405845839702778</v>
      </c>
    </row>
    <row r="11" spans="1:7" s="11" customFormat="1" ht="15.75">
      <c r="A11" s="22" t="s">
        <v>3</v>
      </c>
      <c r="B11" s="36">
        <f>IF(262514.26418="","-",262514.26418)</f>
        <v>262514.26418</v>
      </c>
      <c r="C11" s="70">
        <f>IF(OR(216869.2081="",262514.26418=""),"-",262514.26418/216869.2081*100)</f>
        <v>121.04727382918867</v>
      </c>
      <c r="D11" s="70">
        <f>IF(216869.2081="","-",216869.2081/3007940.19782*100)</f>
        <v>7.209890949865813</v>
      </c>
      <c r="E11" s="70">
        <f>IF(262514.26418="","-",262514.26418/3707625.63971*100)</f>
        <v>7.080387549605281</v>
      </c>
      <c r="F11" s="70">
        <f>IF(OR(2533522.81179="",186028.05975="",216869.2081=""),"-",(216869.2081-186028.05975)/2533522.81179*100)</f>
        <v>1.2173227020683475</v>
      </c>
      <c r="G11" s="70">
        <f>IF(OR(3007940.19782="",262514.26418="",216869.2081=""),"-",(262514.26418-216869.2081)/3007940.19782*100)</f>
        <v>1.5174854910041495</v>
      </c>
    </row>
    <row r="12" spans="1:7" s="11" customFormat="1" ht="15.75">
      <c r="A12" s="22" t="s">
        <v>5</v>
      </c>
      <c r="B12" s="36">
        <f>IF(129319.96537="","-",129319.96537)</f>
        <v>129319.96537</v>
      </c>
      <c r="C12" s="70">
        <f>IF(OR(99425.62872="",129319.96537=""),"-",129319.96537/99425.62872*100)</f>
        <v>130.06703305260228</v>
      </c>
      <c r="D12" s="70">
        <f>IF(99425.62872="","-",99425.62872/3007940.19782*100)</f>
        <v>3.305439010790792</v>
      </c>
      <c r="E12" s="70">
        <f>IF(129319.96537="","-",129319.96537/3707625.63971*100)</f>
        <v>3.4879456001419564</v>
      </c>
      <c r="F12" s="70">
        <f>IF(OR(2533522.81179="",80828.50916="",99425.62872=""),"-",(99425.62872-80828.50916)/2533522.81179*100)</f>
        <v>0.7340419227115875</v>
      </c>
      <c r="G12" s="70">
        <f>IF(OR(3007940.19782="",129319.96537="",99425.62872=""),"-",(129319.96537-99425.62872)/3007940.19782*100)</f>
        <v>0.9938474399080769</v>
      </c>
    </row>
    <row r="13" spans="1:7" s="11" customFormat="1" ht="15.75">
      <c r="A13" s="22" t="s">
        <v>221</v>
      </c>
      <c r="B13" s="36">
        <f>IF(95262.02417="","-",95262.02417)</f>
        <v>95262.02417</v>
      </c>
      <c r="C13" s="70">
        <f>IF(OR(77331.48602="",95262.02417=""),"-",95262.02417/77331.48602*100)</f>
        <v>123.18659458498276</v>
      </c>
      <c r="D13" s="70">
        <f>IF(77331.48602="","-",77331.48602/3007940.19782*100)</f>
        <v>2.570911684881431</v>
      </c>
      <c r="E13" s="70">
        <f>IF(95262.02417="","-",95262.02417/3707625.63971*100)</f>
        <v>2.5693539053595265</v>
      </c>
      <c r="F13" s="70">
        <f>IF(OR(2533522.81179="",62361.12496="",77331.48602=""),"-",(77331.48602-62361.12496)/2533522.81179*100)</f>
        <v>0.5908911098149159</v>
      </c>
      <c r="G13" s="70">
        <f>IF(OR(3007940.19782="",95262.02417="",77331.48602=""),"-",(95262.02417-77331.48602)/3007940.19782*100)</f>
        <v>0.5961068695114065</v>
      </c>
    </row>
    <row r="14" spans="1:7" s="11" customFormat="1" ht="15.75">
      <c r="A14" s="22" t="s">
        <v>89</v>
      </c>
      <c r="B14" s="36">
        <f>IF(77673.37147="","-",77673.37147)</f>
        <v>77673.37147</v>
      </c>
      <c r="C14" s="70">
        <f>IF(OR(62908.3974="",77673.37147=""),"-",77673.37147/62908.3974*100)</f>
        <v>123.47059324388383</v>
      </c>
      <c r="D14" s="70">
        <f>IF(62908.3974="","-",62908.3974/3007940.19782*100)</f>
        <v>2.0914111738522183</v>
      </c>
      <c r="E14" s="70">
        <f>IF(77673.37147="","-",77673.37147/3707625.63971*100)</f>
        <v>2.0949626261640426</v>
      </c>
      <c r="F14" s="70">
        <f>IF(OR(2533522.81179="",52251.85487="",62908.3974=""),"-",(62908.3974-52251.85487)/2533522.81179*100)</f>
        <v>0.4206215345845208</v>
      </c>
      <c r="G14" s="70">
        <f>IF(OR(3007940.19782="",77673.37147="",62908.3974=""),"-",(77673.37147-62908.3974)/3007940.19782*100)</f>
        <v>0.4908666096719905</v>
      </c>
    </row>
    <row r="15" spans="1:7" s="11" customFormat="1" ht="15.75">
      <c r="A15" s="22" t="s">
        <v>7</v>
      </c>
      <c r="B15" s="36">
        <f>IF(70089.04772="","-",70089.04772)</f>
        <v>70089.04772</v>
      </c>
      <c r="C15" s="70">
        <f>IF(OR(50411.08263="",70089.04772=""),"-",70089.04772/50411.08263*100)</f>
        <v>139.03499798730667</v>
      </c>
      <c r="D15" s="70">
        <f>IF(50411.08263="","-",50411.08263/3007940.19782*100)</f>
        <v>1.6759336727018495</v>
      </c>
      <c r="E15" s="70">
        <f>IF(70089.04772="","-",70089.04772/3707625.63971*100)</f>
        <v>1.8904024982814116</v>
      </c>
      <c r="F15" s="70">
        <f>IF(OR(2533522.81179="",49772.39572="",50411.08263=""),"-",(50411.08263-49772.39572)/2533522.81179*100)</f>
        <v>0.025209439876673054</v>
      </c>
      <c r="G15" s="70">
        <f>IF(OR(3007940.19782="",70089.04772="",50411.08263=""),"-",(70089.04772-50411.08263)/3007940.19782*100)</f>
        <v>0.6542006754077617</v>
      </c>
    </row>
    <row r="16" spans="1:7" s="11" customFormat="1" ht="15.75">
      <c r="A16" s="22" t="s">
        <v>222</v>
      </c>
      <c r="B16" s="36">
        <f>IF(54346.45307="","-",54346.45307)</f>
        <v>54346.45307</v>
      </c>
      <c r="C16" s="70">
        <f>IF(OR(41959.47456="",54346.45307=""),"-",54346.45307/41959.47456*100)</f>
        <v>129.52129081665984</v>
      </c>
      <c r="D16" s="70">
        <f>IF(41959.47456="","-",41959.47456/3007940.19782*100)</f>
        <v>1.3949570736283277</v>
      </c>
      <c r="E16" s="70">
        <f>IF(54346.45307="","-",54346.45307/3707625.63971*100)</f>
        <v>1.4658020617812653</v>
      </c>
      <c r="F16" s="70">
        <f>IF(OR(2533522.81179="",34390.58399="",41959.47456=""),"-",(41959.47456-34390.58399)/2533522.81179*100)</f>
        <v>0.2987496514646491</v>
      </c>
      <c r="G16" s="70">
        <f>IF(OR(3007940.19782="",54346.45307="",41959.47456=""),"-",(54346.45307-41959.47456)/3007940.19782*100)</f>
        <v>0.4118093344733863</v>
      </c>
    </row>
    <row r="17" spans="1:7" s="11" customFormat="1" ht="15.75">
      <c r="A17" s="22" t="s">
        <v>87</v>
      </c>
      <c r="B17" s="36">
        <f>IF(51840.82442="","-",51840.82442)</f>
        <v>51840.82442</v>
      </c>
      <c r="C17" s="70">
        <f>IF(OR(38819.29269="",51840.82442=""),"-",51840.82442/38819.29269*100)</f>
        <v>133.54396957715406</v>
      </c>
      <c r="D17" s="70">
        <f>IF(38819.29269="","-",38819.29269/3007940.19782*100)</f>
        <v>1.2905606540360817</v>
      </c>
      <c r="E17" s="70">
        <f>IF(51840.82442="","-",51840.82442/3707625.63971*100)</f>
        <v>1.398221650664139</v>
      </c>
      <c r="F17" s="70">
        <f>IF(OR(2533522.81179="",32896.38315="",38819.29269=""),"-",(38819.29269-32896.38315)/2533522.81179*100)</f>
        <v>0.23378157530049276</v>
      </c>
      <c r="G17" s="70">
        <f>IF(OR(3007940.19782="",51840.82442="",38819.29269=""),"-",(51840.82442-38819.29269)/3007940.19782*100)</f>
        <v>0.4329052731645838</v>
      </c>
    </row>
    <row r="18" spans="1:7" s="11" customFormat="1" ht="15.75">
      <c r="A18" s="22" t="s">
        <v>6</v>
      </c>
      <c r="B18" s="36">
        <f>IF(41933.35741="","-",41933.35741)</f>
        <v>41933.35741</v>
      </c>
      <c r="C18" s="70">
        <f>IF(OR(46267.42269="",41933.35741=""),"-",41933.35741/46267.42269*100)</f>
        <v>90.63257681535663</v>
      </c>
      <c r="D18" s="70">
        <f>IF(46267.42269="","-",46267.42269/3007940.19782*100)</f>
        <v>1.5381762816804752</v>
      </c>
      <c r="E18" s="70">
        <f>IF(41933.35741="","-",41933.35741/3707625.63971*100)</f>
        <v>1.131003005289388</v>
      </c>
      <c r="F18" s="70">
        <f>IF(OR(2533522.81179="",35673.19616="",46267.42269=""),"-",(46267.42269-35673.19616)/2533522.81179*100)</f>
        <v>0.41816187644724234</v>
      </c>
      <c r="G18" s="70">
        <f>IF(OR(3007940.19782="",41933.35741="",46267.42269=""),"-",(41933.35741-46267.42269)/3007940.19782*100)</f>
        <v>-0.14408748163082197</v>
      </c>
    </row>
    <row r="19" spans="1:7" s="11" customFormat="1" ht="15.75" customHeight="1">
      <c r="A19" s="22" t="s">
        <v>9</v>
      </c>
      <c r="B19" s="36">
        <f>IF(39480.53999="","-",39480.53999)</f>
        <v>39480.53999</v>
      </c>
      <c r="C19" s="70">
        <f>IF(OR(30319.40197="",39480.53999=""),"-",39480.53999/30319.40197*100)</f>
        <v>130.21543112580065</v>
      </c>
      <c r="D19" s="70">
        <f>IF(30319.40197="","-",30319.40197/3007940.19782*100)</f>
        <v>1.0079788817601474</v>
      </c>
      <c r="E19" s="70">
        <f>IF(39480.53999="","-",39480.53999/3707625.63971*100)</f>
        <v>1.0648469890581524</v>
      </c>
      <c r="F19" s="70">
        <f>IF(OR(2533522.81179="",26809.67025="",30319.40197=""),"-",(30319.40197-26809.67025)/2533522.81179*100)</f>
        <v>0.13853168022277573</v>
      </c>
      <c r="G19" s="70">
        <f>IF(OR(3007940.19782="",39480.53999="",30319.40197=""),"-",(39480.53999-30319.40197)/3007940.19782*100)</f>
        <v>0.30456516478085305</v>
      </c>
    </row>
    <row r="20" spans="1:7" s="11" customFormat="1" ht="25.5">
      <c r="A20" s="22" t="s">
        <v>220</v>
      </c>
      <c r="B20" s="36">
        <f>IF(39338.34836="","-",39338.34836)</f>
        <v>39338.34836</v>
      </c>
      <c r="C20" s="70">
        <f>IF(OR(37881.92864="",39338.34836=""),"-",39338.34836/37881.92864*100)</f>
        <v>103.84462927914961</v>
      </c>
      <c r="D20" s="70">
        <f>IF(37881.92864="","-",37881.92864/3007940.19782*100)</f>
        <v>1.2593976657998343</v>
      </c>
      <c r="E20" s="70">
        <f>IF(39338.34836="","-",39338.34836/3707625.63971*100)</f>
        <v>1.0610118761363658</v>
      </c>
      <c r="F20" s="70">
        <f>IF(OR(2533522.81179="",40253.92422="",37881.92864=""),"-",(37881.92864-40253.92422)/2533522.81179*100)</f>
        <v>-0.0936244019182178</v>
      </c>
      <c r="G20" s="70">
        <f>IF(OR(3007940.19782="",39338.34836="",37881.92864=""),"-",(39338.34836-37881.92864)/3007940.19782*100)</f>
        <v>0.04841917140026731</v>
      </c>
    </row>
    <row r="21" spans="1:7" s="11" customFormat="1" ht="15.75">
      <c r="A21" s="22" t="s">
        <v>88</v>
      </c>
      <c r="B21" s="36">
        <f>IF(31551.95558="","-",31551.95558)</f>
        <v>31551.95558</v>
      </c>
      <c r="C21" s="70">
        <f>IF(OR(24192.0483="",31551.95558=""),"-",31551.95558/24192.0483*100)</f>
        <v>130.4228364160467</v>
      </c>
      <c r="D21" s="70">
        <f>IF(24192.0483="","-",24192.0483/3007940.19782*100)</f>
        <v>0.8042729146521312</v>
      </c>
      <c r="E21" s="70">
        <f>IF(31551.95558="","-",31551.95558/3707625.63971*100)</f>
        <v>0.8510016556706061</v>
      </c>
      <c r="F21" s="70">
        <f>IF(OR(2533522.81179="",20578.24586="",24192.0483=""),"-",(24192.0483-20578.24586)/2533522.81179*100)</f>
        <v>0.14263942772422694</v>
      </c>
      <c r="G21" s="70">
        <f>IF(OR(3007940.19782="",31551.95558="",24192.0483=""),"-",(31551.95558-24192.0483)/3007940.19782*100)</f>
        <v>0.2446826331631887</v>
      </c>
    </row>
    <row r="22" spans="1:7" s="11" customFormat="1" ht="15.75">
      <c r="A22" s="22" t="s">
        <v>91</v>
      </c>
      <c r="B22" s="36">
        <f>IF(19610.25676="","-",19610.25676)</f>
        <v>19610.25676</v>
      </c>
      <c r="C22" s="70">
        <f>IF(OR(14564.18371="",19610.25676=""),"-",19610.25676/14564.18371*100)</f>
        <v>134.647139520324</v>
      </c>
      <c r="D22" s="70">
        <f>IF(14564.18371="","-",14564.18371/3007940.19782*100)</f>
        <v>0.4841912655230104</v>
      </c>
      <c r="E22" s="70">
        <f>IF(19610.25676="","-",19610.25676/3707625.63971*100)</f>
        <v>0.5289168504491695</v>
      </c>
      <c r="F22" s="70">
        <f>IF(OR(2533522.81179="",12234.07188="",14564.18371=""),"-",(14564.18371-12234.07188)/2533522.81179*100)</f>
        <v>0.09197121964549097</v>
      </c>
      <c r="G22" s="70">
        <f>IF(OR(3007940.19782="",19610.25676="",14564.18371=""),"-",(19610.25676-14564.18371)/3007940.19782*100)</f>
        <v>0.16775842331097987</v>
      </c>
    </row>
    <row r="23" spans="1:7" s="11" customFormat="1" ht="15.75">
      <c r="A23" s="22" t="s">
        <v>8</v>
      </c>
      <c r="B23" s="36">
        <f>IF(16828.49405="","-",16828.49405)</f>
        <v>16828.49405</v>
      </c>
      <c r="C23" s="70">
        <f>IF(OR(15364.08385="",16828.49405=""),"-",16828.49405/15364.08385*100)</f>
        <v>109.53138640934976</v>
      </c>
      <c r="D23" s="70">
        <f>IF(15364.08385="","-",15364.08385/3007940.19782*100)</f>
        <v>0.5107842190857085</v>
      </c>
      <c r="E23" s="70">
        <f>IF(16828.49405="","-",16828.49405/3707625.63971*100)</f>
        <v>0.453888706285791</v>
      </c>
      <c r="F23" s="70">
        <f>IF(OR(2533522.81179="",12504.14236="",15364.08385=""),"-",(15364.08385-12504.14236)/2533522.81179*100)</f>
        <v>0.112883984177722</v>
      </c>
      <c r="G23" s="70">
        <f>IF(OR(3007940.19782="",16828.49405="",15364.08385=""),"-",(16828.49405-15364.08385)/3007940.19782*100)</f>
        <v>0.04868481763903848</v>
      </c>
    </row>
    <row r="24" spans="1:8" s="11" customFormat="1" ht="15.75">
      <c r="A24" s="22" t="s">
        <v>97</v>
      </c>
      <c r="B24" s="36">
        <f>IF(15566.77795="","-",15566.77795)</f>
        <v>15566.77795</v>
      </c>
      <c r="C24" s="70">
        <f>IF(OR(11817.78769="",15566.77795=""),"-",15566.77795/11817.78769*100)</f>
        <v>131.7232832264564</v>
      </c>
      <c r="D24" s="70">
        <f>IF(11817.78769="","-",11817.78769/3007940.19782*100)</f>
        <v>0.39288639111126356</v>
      </c>
      <c r="E24" s="70">
        <f>IF(15566.77795="","-",15566.77795/3707625.63971*100)</f>
        <v>0.4198584070428856</v>
      </c>
      <c r="F24" s="70">
        <f>IF(OR(2533522.81179="",11162.61451="",11817.78769=""),"-",(11817.78769-11162.61451)/2533522.81179*100)</f>
        <v>0.025860165022043073</v>
      </c>
      <c r="G24" s="70">
        <f>IF(OR(3007940.19782="",15566.77795="",11817.78769=""),"-",(15566.77795-11817.78769)/3007940.19782*100)</f>
        <v>0.1246364626104294</v>
      </c>
      <c r="H24" s="48"/>
    </row>
    <row r="25" spans="1:8" s="11" customFormat="1" ht="15.75">
      <c r="A25" s="22" t="s">
        <v>99</v>
      </c>
      <c r="B25" s="36">
        <f>IF(14155.38721="","-",14155.38721)</f>
        <v>14155.38721</v>
      </c>
      <c r="C25" s="70">
        <f>IF(OR(9911.66615="",14155.38721=""),"-",14155.38721/9911.66615*100)</f>
        <v>142.8154156503748</v>
      </c>
      <c r="D25" s="70">
        <f>IF(9911.66615="","-",9911.66615/3007940.19782*100)</f>
        <v>0.32951672899559187</v>
      </c>
      <c r="E25" s="70">
        <f>IF(14155.38721="","-",14155.38721/3707625.63971*100)</f>
        <v>0.3817911673279721</v>
      </c>
      <c r="F25" s="70">
        <f>IF(OR(2533522.81179="",9100.70131="",9911.66615=""),"-",(9911.66615-9100.70131)/2533522.81179*100)</f>
        <v>0.03200937588665447</v>
      </c>
      <c r="G25" s="70">
        <f>IF(OR(3007940.19782="",14155.38721="",9911.66615=""),"-",(14155.38721-9911.66615)/3007940.19782*100)</f>
        <v>0.14108395715698177</v>
      </c>
      <c r="H25" s="48"/>
    </row>
    <row r="26" spans="1:8" s="11" customFormat="1" ht="15.75">
      <c r="A26" s="22" t="s">
        <v>98</v>
      </c>
      <c r="B26" s="36">
        <f>IF(11212.71927="","-",11212.71927)</f>
        <v>11212.71927</v>
      </c>
      <c r="C26" s="70">
        <f>IF(OR(8036.30951="",11212.71927=""),"-",11212.71927/8036.30951*100)</f>
        <v>139.52572702740514</v>
      </c>
      <c r="D26" s="70">
        <f>IF(8036.30951="","-",8036.30951/3007940.19782*100)</f>
        <v>0.26716985649596037</v>
      </c>
      <c r="E26" s="70">
        <f>IF(11212.71927="","-",11212.71927/3707625.63971*100)</f>
        <v>0.30242317751575987</v>
      </c>
      <c r="F26" s="70">
        <f>IF(OR(2533522.81179="",8424.78401="",8036.30951=""),"-",(8036.30951-8424.78401)/2533522.81179*100)</f>
        <v>-0.015333372890593078</v>
      </c>
      <c r="G26" s="70">
        <f>IF(OR(3007940.19782="",11212.71927="",8036.30951=""),"-",(11212.71927-8036.30951)/3007940.19782*100)</f>
        <v>0.10560082817810335</v>
      </c>
      <c r="H26" s="48"/>
    </row>
    <row r="27" spans="1:8" s="11" customFormat="1" ht="15.75">
      <c r="A27" s="22" t="s">
        <v>95</v>
      </c>
      <c r="B27" s="36">
        <f>IF(10638.6668="","-",10638.6668)</f>
        <v>10638.6668</v>
      </c>
      <c r="C27" s="70">
        <f>IF(OR(9753.1721="",10638.6668=""),"-",10638.6668/9753.1721*100)</f>
        <v>109.07904311459859</v>
      </c>
      <c r="D27" s="70">
        <f>IF(9753.1721="","-",9753.1721/3007940.19782*100)</f>
        <v>0.32424754012957424</v>
      </c>
      <c r="E27" s="70">
        <f>IF(10638.6668="","-",10638.6668/3707625.63971*100)</f>
        <v>0.28694015614888585</v>
      </c>
      <c r="F27" s="70">
        <f>IF(OR(2533522.81179="",7374.60855="",9753.1721=""),"-",(9753.1721-7374.60855)/2533522.81179*100)</f>
        <v>0.093883644502079</v>
      </c>
      <c r="G27" s="70">
        <f>IF(OR(3007940.19782="",10638.6668="",9753.1721=""),"-",(10638.6668-9753.1721)/3007940.19782*100)</f>
        <v>0.029438573966389422</v>
      </c>
      <c r="H27" s="48"/>
    </row>
    <row r="28" spans="1:8" s="11" customFormat="1" ht="15.75">
      <c r="A28" s="22" t="s">
        <v>96</v>
      </c>
      <c r="B28" s="36">
        <f>IF(8875.99749="","-",8875.99749)</f>
        <v>8875.99749</v>
      </c>
      <c r="C28" s="70">
        <f>IF(OR(8492.17658="",8875.99749=""),"-",8875.99749/8492.17658*100)</f>
        <v>104.51970006021708</v>
      </c>
      <c r="D28" s="70">
        <f>IF(8492.17658="","-",8492.17658/3007940.19782*100)</f>
        <v>0.2823253130549168</v>
      </c>
      <c r="E28" s="70">
        <f>IF(8875.99749="","-",8875.99749/3707625.63971*100)</f>
        <v>0.23939842779526835</v>
      </c>
      <c r="F28" s="70">
        <f>IF(OR(2533522.81179="",6937.60582="",8492.17658=""),"-",(8492.17658-6937.60582)/2533522.81179*100)</f>
        <v>0.06136004589205395</v>
      </c>
      <c r="G28" s="70">
        <f>IF(OR(3007940.19782="",8875.99749="",8492.17658=""),"-",(8875.99749-8492.17658)/3007940.19782*100)</f>
        <v>0.012760257344151123</v>
      </c>
      <c r="H28" s="48"/>
    </row>
    <row r="29" spans="1:8" s="11" customFormat="1" ht="15.75">
      <c r="A29" s="22" t="s">
        <v>90</v>
      </c>
      <c r="B29" s="36">
        <f>IF(8301.83304="","-",8301.83304)</f>
        <v>8301.83304</v>
      </c>
      <c r="C29" s="70">
        <f>IF(OR(7394.89161="",8301.83304=""),"-",8301.83304/7394.89161*100)</f>
        <v>112.26443168921578</v>
      </c>
      <c r="D29" s="70">
        <f>IF(7394.89161="","-",7394.89161/3007940.19782*100)</f>
        <v>0.24584569917179325</v>
      </c>
      <c r="E29" s="70">
        <f>IF(8301.83304="","-",8301.83304/3707625.63971*100)</f>
        <v>0.2239123861666181</v>
      </c>
      <c r="F29" s="70">
        <f>IF(OR(2533522.81179="",8621.41914="",7394.89161=""),"-",(7394.89161-8621.41914)/2533522.81179*100)</f>
        <v>-0.04841193946595754</v>
      </c>
      <c r="G29" s="70">
        <f>IF(OR(3007940.19782="",8301.83304="",7394.89161=""),"-",(8301.83304-7394.89161)/3007940.19782*100)</f>
        <v>0.03015157783579954</v>
      </c>
      <c r="H29" s="48"/>
    </row>
    <row r="30" spans="1:8" s="11" customFormat="1" ht="15.75">
      <c r="A30" s="22" t="s">
        <v>92</v>
      </c>
      <c r="B30" s="36">
        <f>IF(7417.71699="","-",7417.71699)</f>
        <v>7417.71699</v>
      </c>
      <c r="C30" s="70">
        <f>IF(OR(5008.0445="",7417.71699=""),"-",7417.71699/5008.0445*100)</f>
        <v>148.11603590982466</v>
      </c>
      <c r="D30" s="70">
        <f>IF(5008.0445="","-",5008.0445/3007940.19782*100)</f>
        <v>0.1664941511679512</v>
      </c>
      <c r="E30" s="70">
        <f>IF(7417.71699="","-",7417.71699/3707625.63971*100)</f>
        <v>0.20006650376331397</v>
      </c>
      <c r="F30" s="70">
        <f>IF(OR(2533522.81179="",5292.93492="",5008.0445=""),"-",(5008.0445-5292.93492)/2533522.81179*100)</f>
        <v>-0.011244833426177726</v>
      </c>
      <c r="G30" s="70">
        <f>IF(OR(3007940.19782="",7417.71699="",5008.0445=""),"-",(7417.71699-5008.0445)/3007940.19782*100)</f>
        <v>0.08011038556372918</v>
      </c>
      <c r="H30" s="48"/>
    </row>
    <row r="31" spans="1:8" s="11" customFormat="1" ht="15.75">
      <c r="A31" s="22" t="s">
        <v>100</v>
      </c>
      <c r="B31" s="36">
        <f>IF(4454.46026="","-",4454.46026)</f>
        <v>4454.46026</v>
      </c>
      <c r="C31" s="70">
        <f>IF(OR(4536.71105="",4454.46026=""),"-",4454.46026/4536.71105*100)</f>
        <v>98.18699518013165</v>
      </c>
      <c r="D31" s="70">
        <f>IF(4536.71105="","-",4536.71105/3007940.19782*100)</f>
        <v>0.15082450951943707</v>
      </c>
      <c r="E31" s="70">
        <f>IF(4454.46026="","-",4454.46026/3707625.63971*100)</f>
        <v>0.1201432046507375</v>
      </c>
      <c r="F31" s="70">
        <f>IF(OR(2533522.81179="",3452.29913="",4536.71105=""),"-",(4536.71105-3452.29913)/2533522.81179*100)</f>
        <v>0.042802532306146265</v>
      </c>
      <c r="G31" s="70">
        <f>IF(OR(3007940.19782="",4454.46026="",4536.71105=""),"-",(4454.46026-4536.71105)/3007940.19782*100)</f>
        <v>-0.002734455627130193</v>
      </c>
      <c r="H31" s="48"/>
    </row>
    <row r="32" spans="1:7" s="11" customFormat="1" ht="15.75">
      <c r="A32" s="22" t="s">
        <v>93</v>
      </c>
      <c r="B32" s="36">
        <f>IF(3219.13026="","-",3219.13026)</f>
        <v>3219.13026</v>
      </c>
      <c r="C32" s="70">
        <f>IF(OR(3148.56159="",3219.13026=""),"-",3219.13026/3148.56159*100)</f>
        <v>102.24129870046468</v>
      </c>
      <c r="D32" s="70">
        <f>IF(3148.56159="","-",3148.56159/3007940.19782*100)</f>
        <v>0.10467500624786075</v>
      </c>
      <c r="E32" s="70">
        <f>IF(3219.13026="","-",3219.13026/3707625.63971*100)</f>
        <v>0.08682457650313885</v>
      </c>
      <c r="F32" s="70">
        <f>IF(OR(2533522.81179="",2597.3963="",3148.56159=""),"-",(3148.56159-2597.3963)/2533522.81179*100)</f>
        <v>0.021754897466685418</v>
      </c>
      <c r="G32" s="70">
        <f>IF(OR(3007940.19782="",3219.13026="",3148.56159=""),"-",(3219.13026-3148.56159)/3007940.19782*100)</f>
        <v>0.002346079554744627</v>
      </c>
    </row>
    <row r="33" spans="1:7" s="11" customFormat="1" ht="15.75">
      <c r="A33" s="22" t="s">
        <v>223</v>
      </c>
      <c r="B33" s="36">
        <f>IF(2281.36452="","-",2281.36452)</f>
        <v>2281.36452</v>
      </c>
      <c r="C33" s="70" t="s">
        <v>159</v>
      </c>
      <c r="D33" s="70">
        <f>IF(1322.92434="","-",1322.92434/3007940.19782*100)</f>
        <v>0.04398107186302398</v>
      </c>
      <c r="E33" s="70">
        <f>IF(2281.36452="","-",2281.36452/3707625.63971*100)</f>
        <v>0.06153168474092336</v>
      </c>
      <c r="F33" s="70">
        <f>IF(OR(2533522.81179="",1016.72278="",1322.92434=""),"-",(1322.92434-1016.72278)/2533522.81179*100)</f>
        <v>0.012085999722404737</v>
      </c>
      <c r="G33" s="70">
        <f>IF(OR(3007940.19782="",2281.36452="",1322.92434=""),"-",(2281.36452-1322.92434)/3007940.19782*100)</f>
        <v>0.03186367138198519</v>
      </c>
    </row>
    <row r="34" spans="1:7" s="11" customFormat="1" ht="15.75">
      <c r="A34" s="22" t="s">
        <v>101</v>
      </c>
      <c r="B34" s="36">
        <f>IF(658.90515="","-",658.90515)</f>
        <v>658.90515</v>
      </c>
      <c r="C34" s="70">
        <f>IF(OR(1720.91964="",658.90515=""),"-",658.90515/1720.91964*100)</f>
        <v>38.28796735680232</v>
      </c>
      <c r="D34" s="70">
        <f>IF(1720.91964="","-",1720.91964/3007940.19782*100)</f>
        <v>0.05721256164757644</v>
      </c>
      <c r="E34" s="70">
        <f>IF(658.90515="","-",658.90515/3707625.63971*100)</f>
        <v>0.017771620277486747</v>
      </c>
      <c r="F34" s="70">
        <f>IF(OR(2533522.81179="",1443.2252="",1720.91964=""),"-",(1720.91964-1443.2252)/2533522.81179*100)</f>
        <v>0.010960802827893293</v>
      </c>
      <c r="G34" s="70">
        <f>IF(OR(3007940.19782="",658.90515="",1720.91964=""),"-",(658.90515-1720.91964)/3007940.19782*100)</f>
        <v>-0.035307034719961966</v>
      </c>
    </row>
    <row r="35" spans="1:7" s="11" customFormat="1" ht="15.75">
      <c r="A35" s="22" t="s">
        <v>94</v>
      </c>
      <c r="B35" s="36">
        <f>IF(651.83773="","-",651.83773)</f>
        <v>651.83773</v>
      </c>
      <c r="C35" s="70">
        <f>IF(OR(647.41559="",651.83773=""),"-",651.83773/647.41559*100)</f>
        <v>100.68304502831018</v>
      </c>
      <c r="D35" s="70">
        <f>IF(647.41559="","-",647.41559/3007940.19782*100)</f>
        <v>0.021523552578246515</v>
      </c>
      <c r="E35" s="70">
        <f>IF(651.83773="","-",651.83773/3707625.63971*100)</f>
        <v>0.017581001787736715</v>
      </c>
      <c r="F35" s="70">
        <f>IF(OR(2533522.81179="",376.83504="",647.41559=""),"-",(647.41559-376.83504)/2533522.81179*100)</f>
        <v>0.010680012382001319</v>
      </c>
      <c r="G35" s="70">
        <f>IF(OR(3007940.19782="",651.83773="",647.41559=""),"-",(651.83773-647.41559)/3007940.19782*100)</f>
        <v>0.0001470155558014402</v>
      </c>
    </row>
    <row r="36" spans="1:7" s="11" customFormat="1" ht="15.75">
      <c r="A36" s="22" t="s">
        <v>102</v>
      </c>
      <c r="B36" s="36">
        <f>IF(61.79401="","-",61.79401)</f>
        <v>61.79401</v>
      </c>
      <c r="C36" s="70">
        <f>IF(OR(221.36578="",61.79401=""),"-",61.79401/221.36578*100)</f>
        <v>27.91488819997382</v>
      </c>
      <c r="D36" s="70">
        <f>IF(221.36578="","-",221.36578/3007940.19782*100)</f>
        <v>0.007359381019623811</v>
      </c>
      <c r="E36" s="70">
        <f>IF(61.79401="","-",61.79401/3707625.63971*100)</f>
        <v>0.0016666733916759016</v>
      </c>
      <c r="F36" s="70">
        <f>IF(OR(2533522.81179="",240.57339="",221.36578=""),"-",(221.36578-240.57339)/2533522.81179*100)</f>
        <v>-0.0007581384272766547</v>
      </c>
      <c r="G36" s="70">
        <f>IF(OR(3007940.19782="",61.79401="",221.36578=""),"-",(61.79401-221.36578)/3007940.19782*100)</f>
        <v>-0.005305018035785732</v>
      </c>
    </row>
    <row r="37" spans="1:7" s="11" customFormat="1" ht="15.75">
      <c r="A37" s="31" t="s">
        <v>235</v>
      </c>
      <c r="B37" s="33">
        <f>IF(889742.03797="","-",889742.03797)</f>
        <v>889742.03797</v>
      </c>
      <c r="C37" s="69">
        <f>IF(742112.97767="","-",889742.03797/742112.97767*100)</f>
        <v>119.89307083181706</v>
      </c>
      <c r="D37" s="69">
        <f>IF(742112.97767="","-",742112.97767/3007940.19782*100)</f>
        <v>24.671799599202316</v>
      </c>
      <c r="E37" s="69">
        <f>IF(889742.03797="","-",889742.03797/3707625.63971*100)</f>
        <v>23.997623396508637</v>
      </c>
      <c r="F37" s="69">
        <f>IF(2533522.81179="","-",(742112.97767-632002.87833)/2533522.81179*100)</f>
        <v>4.346126225017268</v>
      </c>
      <c r="G37" s="69">
        <f>IF(3007940.19782="","-",(889742.03797-742112.97767)/3007940.19782*100)</f>
        <v>4.9079785697532765</v>
      </c>
    </row>
    <row r="38" spans="1:7" s="11" customFormat="1" ht="15.75">
      <c r="A38" s="22" t="s">
        <v>225</v>
      </c>
      <c r="B38" s="36">
        <f>IF(433785.85281="","-",433785.85281)</f>
        <v>433785.85281</v>
      </c>
      <c r="C38" s="70">
        <f>IF(OR(343234.51466="",433785.85281=""),"-",433785.85281/343234.51466*100)</f>
        <v>126.38176939743313</v>
      </c>
      <c r="D38" s="70">
        <f>IF(343234.51466="","-",343234.51466/3007940.19782*100)</f>
        <v>11.410948758514504</v>
      </c>
      <c r="E38" s="70">
        <f>IF(433785.85281="","-",433785.85281/3707625.63971*100)</f>
        <v>11.699828811301712</v>
      </c>
      <c r="F38" s="70">
        <f>IF(OR(2533522.81179="",323697.06704="",343234.51466=""),"-",(343234.51466-323697.06704)/2533522.81179*100)</f>
        <v>0.7711573595896014</v>
      </c>
      <c r="G38" s="70">
        <f>IF(OR(3007940.19782="",433785.85281="",343234.51466=""),"-",(433785.85281-343234.51466)/3007940.19782*100)</f>
        <v>3.0104101875305553</v>
      </c>
    </row>
    <row r="39" spans="1:7" s="11" customFormat="1" ht="15.75">
      <c r="A39" s="22" t="s">
        <v>11</v>
      </c>
      <c r="B39" s="36">
        <f>IF(363394.33293="","-",363394.33293)</f>
        <v>363394.33293</v>
      </c>
      <c r="C39" s="70">
        <f>IF(OR(321407.75468="",363394.33293=""),"-",363394.33293/321407.75468*100)</f>
        <v>113.06333703485238</v>
      </c>
      <c r="D39" s="70">
        <f>IF(321407.75468="","-",321407.75468/3007940.19782*100)</f>
        <v>10.685310662523802</v>
      </c>
      <c r="E39" s="70">
        <f>IF(363394.33293="","-",363394.33293/3707625.63971*100)</f>
        <v>9.80126820350783</v>
      </c>
      <c r="F39" s="70">
        <f>IF(OR(2533522.81179="",240571.44359="",321407.75468=""),"-",(321407.75468-240571.44359)/2533522.81179*100)</f>
        <v>3.190668373452972</v>
      </c>
      <c r="G39" s="70">
        <f>IF(OR(3007940.19782="",363394.33293="",321407.75468=""),"-",(363394.33293-321407.75468)/3007940.19782*100)</f>
        <v>1.3958581450665035</v>
      </c>
    </row>
    <row r="40" spans="1:7" s="11" customFormat="1" ht="15.75">
      <c r="A40" s="22" t="s">
        <v>10</v>
      </c>
      <c r="B40" s="36">
        <f>IF(74657.09036="","-",74657.09036)</f>
        <v>74657.09036</v>
      </c>
      <c r="C40" s="70">
        <f>IF(OR(73468.9844="",74657.09036=""),"-",74657.09036/73468.9844*100)</f>
        <v>101.61715310168356</v>
      </c>
      <c r="D40" s="70">
        <f>IF(73468.9844="","-",73468.9844/3007940.19782*100)</f>
        <v>2.4425014983092597</v>
      </c>
      <c r="E40" s="70">
        <f>IF(74657.09036="","-",74657.09036/3707625.63971*100)</f>
        <v>2.013609183203282</v>
      </c>
      <c r="F40" s="70">
        <f>IF(OR(2533522.81179="",62817.98427="",73468.9844=""),"-",(73468.9844-62817.98427)/2533522.81179*100)</f>
        <v>0.4204027719993091</v>
      </c>
      <c r="G40" s="70">
        <f>IF(OR(3007940.19782="",74657.09036="",73468.9844=""),"-",(74657.09036-73468.9844)/3007940.19782*100)</f>
        <v>0.03949898873857528</v>
      </c>
    </row>
    <row r="41" spans="1:7" s="11" customFormat="1" ht="15.75">
      <c r="A41" s="22" t="s">
        <v>15</v>
      </c>
      <c r="B41" s="36">
        <f>IF(10948.01084="","-",10948.01084)</f>
        <v>10948.01084</v>
      </c>
      <c r="C41" s="70" t="s">
        <v>291</v>
      </c>
      <c r="D41" s="70">
        <f>IF(4.47522="","-",4.47522/3007940.19782*100)</f>
        <v>0.00014878021854435166</v>
      </c>
      <c r="E41" s="70">
        <f>IF(10948.01084="","-",10948.01084/3707625.63971*100)</f>
        <v>0.2952836101558604</v>
      </c>
      <c r="F41" s="70">
        <f>IF(OR(2533522.81179="",4.78116="",4.47522=""),"-",(4.47522-4.78116)/2533522.81179*100)</f>
        <v>-1.2075675757734546E-05</v>
      </c>
      <c r="G41" s="70">
        <f>IF(OR(3007940.19782="",10948.01084="",4.47522=""),"-",(10948.01084-4.47522)/3007940.19782*100)</f>
        <v>0.3638215822219907</v>
      </c>
    </row>
    <row r="42" spans="1:7" s="11" customFormat="1" ht="15.75">
      <c r="A42" s="22" t="s">
        <v>12</v>
      </c>
      <c r="B42" s="36">
        <f>IF(3203.16749="","-",3203.16749)</f>
        <v>3203.16749</v>
      </c>
      <c r="C42" s="70" t="s">
        <v>193</v>
      </c>
      <c r="D42" s="70">
        <f>IF(935.62049="","-",935.62049/3007940.19782*100)</f>
        <v>0.031105022988092968</v>
      </c>
      <c r="E42" s="70">
        <f>IF(3203.16749="","-",3203.16749/3707625.63971*100)</f>
        <v>0.0863940376205442</v>
      </c>
      <c r="F42" s="70">
        <f>IF(OR(2533522.81179="",2210.3078="",935.62049=""),"-",(935.62049-2210.3078)/2533522.81179*100)</f>
        <v>-0.05031284123703627</v>
      </c>
      <c r="G42" s="70">
        <f>IF(OR(3007940.19782="",3203.16749="",935.62049=""),"-",(3203.16749-935.62049)/3007940.19782*100)</f>
        <v>0.07538537506973712</v>
      </c>
    </row>
    <row r="43" spans="1:7" s="11" customFormat="1" ht="15.75">
      <c r="A43" s="22" t="s">
        <v>14</v>
      </c>
      <c r="B43" s="36">
        <f>IF(2572.05355="","-",2572.05355)</f>
        <v>2572.05355</v>
      </c>
      <c r="C43" s="70">
        <f>IF(OR(2528.73629="",2572.05355=""),"-",2572.05355/2528.73629*100)</f>
        <v>101.71300029074999</v>
      </c>
      <c r="D43" s="70">
        <f>IF(2528.73629="","-",2528.73629/3007940.19782*100)</f>
        <v>0.08406870229111263</v>
      </c>
      <c r="E43" s="70">
        <f>IF(2572.05355="","-",2572.05355/3707625.63971*100)</f>
        <v>0.06937198627748131</v>
      </c>
      <c r="F43" s="70">
        <f>IF(OR(2533522.81179="",1871.60972="",2528.73629=""),"-",(2528.73629-1871.60972)/2533522.81179*100)</f>
        <v>0.025937266755286202</v>
      </c>
      <c r="G43" s="70">
        <f>IF(OR(3007940.19782="",2572.05355="",2528.73629=""),"-",(2572.05355-2528.73629)/3007940.19782*100)</f>
        <v>0.0014400971146764944</v>
      </c>
    </row>
    <row r="44" spans="1:7" s="11" customFormat="1" ht="15.75">
      <c r="A44" s="22" t="s">
        <v>16</v>
      </c>
      <c r="B44" s="36">
        <f>IF(673.66779="","-",673.66779)</f>
        <v>673.66779</v>
      </c>
      <c r="C44" s="70" t="s">
        <v>158</v>
      </c>
      <c r="D44" s="70">
        <f>IF(375.92217="","-",375.92217/3007940.19782*100)</f>
        <v>0.012497661033036796</v>
      </c>
      <c r="E44" s="70">
        <f>IF(673.66779="","-",673.66779/3707625.63971*100)</f>
        <v>0.01816978992659821</v>
      </c>
      <c r="F44" s="70">
        <f>IF(OR(2533522.81179="",149.15931="",375.92217=""),"-",(375.92217-149.15931)/2533522.81179*100)</f>
        <v>0.008950496081769482</v>
      </c>
      <c r="G44" s="70">
        <f>IF(OR(3007940.19782="",673.66779="",375.92217=""),"-",(673.66779-375.92217)/3007940.19782*100)</f>
        <v>0.009898654907294722</v>
      </c>
    </row>
    <row r="45" spans="1:7" s="11" customFormat="1" ht="15.75">
      <c r="A45" s="22" t="s">
        <v>13</v>
      </c>
      <c r="B45" s="36">
        <f>IF(371.81016="","-",371.81016)</f>
        <v>371.81016</v>
      </c>
      <c r="C45" s="70" t="s">
        <v>193</v>
      </c>
      <c r="D45" s="70">
        <f>IF(109.24334="","-",109.24334/3007940.19782*100)</f>
        <v>0.0036318321780191625</v>
      </c>
      <c r="E45" s="70">
        <f>IF(371.81016="","-",371.81016/3707625.63971*100)</f>
        <v>0.010028255172738582</v>
      </c>
      <c r="F45" s="70">
        <f>IF(OR(2533522.81179="",590.08284="",109.24334=""),"-",(109.24334-590.08284)/2533522.81179*100)</f>
        <v>-0.01897908705468787</v>
      </c>
      <c r="G45" s="70">
        <f>IF(OR(3007940.19782="",371.81016="",109.24334=""),"-",(371.81016-109.24334)/3007940.19782*100)</f>
        <v>0.008729123677069609</v>
      </c>
    </row>
    <row r="46" spans="1:7" s="11" customFormat="1" ht="15.75">
      <c r="A46" s="22" t="s">
        <v>226</v>
      </c>
      <c r="B46" s="36">
        <f>IF(135.81213="","-",135.81213)</f>
        <v>135.81213</v>
      </c>
      <c r="C46" s="70" t="s">
        <v>292</v>
      </c>
      <c r="D46" s="70">
        <f>IF(45.15425="","-",45.15425/3007940.19782*100)</f>
        <v>0.0015011684751154784</v>
      </c>
      <c r="E46" s="70">
        <f>IF(135.81213="","-",135.81213/3707625.63971*100)</f>
        <v>0.00366304862458074</v>
      </c>
      <c r="F46" s="70">
        <f>IF(OR(2533522.81179="",90.26525="",45.15425=""),"-",(45.15425-90.26525)/2533522.81179*100)</f>
        <v>-0.0017805641926755692</v>
      </c>
      <c r="G46" s="70">
        <f>IF(OR(3007940.19782="",135.81213="",45.15425=""),"-",(135.81213-45.15425)/3007940.19782*100)</f>
        <v>0.0030139522077501464</v>
      </c>
    </row>
    <row r="47" spans="1:7" s="11" customFormat="1" ht="15.75">
      <c r="A47" s="22" t="s">
        <v>17</v>
      </c>
      <c r="B47" s="36">
        <f>IF(0.23991="","-",0.23991)</f>
        <v>0.23991</v>
      </c>
      <c r="C47" s="70">
        <f>IF(OR(2.57217="",0.23991=""),"-",0.23991/2.57217*100)</f>
        <v>9.32714400681137</v>
      </c>
      <c r="D47" s="70">
        <f>IF(2.57217="","-",2.57217/3007940.19782*100)</f>
        <v>8.551267082584208E-05</v>
      </c>
      <c r="E47" s="70">
        <f>IF(0.23991="","-",0.23991/3707625.63971*100)</f>
        <v>6.470718009673843E-06</v>
      </c>
      <c r="F47" s="70">
        <f>IF(OR(2533522.81179="",0.17735="",2.57217=""),"-",(2.57217-0.17735)/2533522.81179*100)</f>
        <v>9.45252984838134E-05</v>
      </c>
      <c r="G47" s="70">
        <f>IF(OR(3007940.19782="",0.23991="",2.57217=""),"-",(0.23991-2.57217)/3007940.19782*100)</f>
        <v>-7.753678087384522E-05</v>
      </c>
    </row>
    <row r="48" spans="1:7" s="11" customFormat="1" ht="15.75">
      <c r="A48" s="31" t="s">
        <v>234</v>
      </c>
      <c r="B48" s="33">
        <f>IF(943368.96337="","-",943368.96337)</f>
        <v>943368.96337</v>
      </c>
      <c r="C48" s="69">
        <f>IF(767296.89398="","-",943368.96337/767296.89398*100)</f>
        <v>122.94705879450483</v>
      </c>
      <c r="D48" s="69">
        <f>IF(767296.89398="","-",767296.89398/3007940.19782*100)</f>
        <v>25.50904750487052</v>
      </c>
      <c r="E48" s="69">
        <f>IF(943368.96337="","-",943368.96337/3707625.63971*100)</f>
        <v>25.4440187613922</v>
      </c>
      <c r="F48" s="69">
        <f>IF(2533522.81179="","-",(767296.89398-639281.29015)/2533522.81179*100)</f>
        <v>5.052869594631897</v>
      </c>
      <c r="G48" s="69">
        <f>IF(3007940.19782="","-",(943368.96337-767296.89398)/3007940.19782*100)</f>
        <v>5.853576128860804</v>
      </c>
    </row>
    <row r="49" spans="1:7" s="11" customFormat="1" ht="15.75">
      <c r="A49" s="22" t="s">
        <v>106</v>
      </c>
      <c r="B49" s="36">
        <f>IF(387217.08078="","-",387217.08078)</f>
        <v>387217.08078</v>
      </c>
      <c r="C49" s="70">
        <f>IF(OR(305362.71555="",387217.08078=""),"-",387217.08078/305362.71555*100)</f>
        <v>126.80561871562122</v>
      </c>
      <c r="D49" s="70">
        <f>IF(305362.71555="","-",305362.71555/3007940.19782*100)</f>
        <v>10.151887852401826</v>
      </c>
      <c r="E49" s="70">
        <f>IF(387217.08078="","-",387217.08078/3707625.63971*100)</f>
        <v>10.44380200181934</v>
      </c>
      <c r="F49" s="70">
        <f>IF(OR(2533522.81179="",239953.3821="",305362.71555=""),"-",(305362.71555-239953.3821)/2533522.81179*100)</f>
        <v>2.581754272967711</v>
      </c>
      <c r="G49" s="70">
        <f>IF(OR(3007940.19782="",387217.08078="",305362.71555=""),"-",(387217.08078-305362.71555)/3007940.19782*100)</f>
        <v>2.721276350152301</v>
      </c>
    </row>
    <row r="50" spans="1:7" s="11" customFormat="1" ht="15.75">
      <c r="A50" s="22" t="s">
        <v>103</v>
      </c>
      <c r="B50" s="36">
        <f>IF(213524.81554="","-",213524.81554)</f>
        <v>213524.81554</v>
      </c>
      <c r="C50" s="70">
        <f>IF(OR(193978.45636="",213524.81554=""),"-",213524.81554/193978.45636*100)</f>
        <v>110.07656187536845</v>
      </c>
      <c r="D50" s="70">
        <f>IF(193978.45636="","-",193978.45636/3007940.19782*100)</f>
        <v>6.448880084138161</v>
      </c>
      <c r="E50" s="70">
        <f>IF(213524.81554="","-",213524.81554/3707625.63971*100)</f>
        <v>5.759071607798606</v>
      </c>
      <c r="F50" s="70">
        <f>IF(OR(2533522.81179="",176891.02938="",193978.45636=""),"-",(193978.45636-176891.02938)/2533522.81179*100)</f>
        <v>0.6744532514363786</v>
      </c>
      <c r="G50" s="70">
        <f>IF(OR(3007940.19782="",213524.81554="",193978.45636=""),"-",(213524.81554-193978.45636)/3007940.19782*100)</f>
        <v>0.6498253919464952</v>
      </c>
    </row>
    <row r="51" spans="1:7" s="11" customFormat="1" ht="15.75">
      <c r="A51" s="22" t="s">
        <v>18</v>
      </c>
      <c r="B51" s="36">
        <f>IF(52375.28368="","-",52375.28368)</f>
        <v>52375.28368</v>
      </c>
      <c r="C51" s="70">
        <f>IF(OR(50310.47986="",52375.28368=""),"-",52375.28368/50310.47986*100)</f>
        <v>104.10412269122808</v>
      </c>
      <c r="D51" s="70">
        <f>IF(50310.47986="","-",50310.47986/3007940.19782*100)</f>
        <v>1.6725890992268546</v>
      </c>
      <c r="E51" s="70">
        <f>IF(52375.28368="","-",52375.28368/3707625.63971*100)</f>
        <v>1.4126367861696159</v>
      </c>
      <c r="F51" s="70">
        <f>IF(OR(2533522.81179="",36831.05767="",50310.47986=""),"-",(50310.47986-36831.05767)/2533522.81179*100)</f>
        <v>0.5320426612017135</v>
      </c>
      <c r="G51" s="70">
        <f>IF(OR(3007940.19782="",52375.28368="",50310.47986=""),"-",(52375.28368-50310.47986)/3007940.19782*100)</f>
        <v>0.06864510875237693</v>
      </c>
    </row>
    <row r="52" spans="1:7" s="11" customFormat="1" ht="15.75">
      <c r="A52" s="22" t="s">
        <v>124</v>
      </c>
      <c r="B52" s="36">
        <f>IF(36460.84549="","-",36460.84549)</f>
        <v>36460.84549</v>
      </c>
      <c r="C52" s="70" t="s">
        <v>159</v>
      </c>
      <c r="D52" s="70">
        <f>IF(20968.0532="","-",20968.0532/3007940.19782*100)</f>
        <v>0.6970900955809083</v>
      </c>
      <c r="E52" s="70">
        <f>IF(36460.84549="","-",36460.84549/3707625.63971*100)</f>
        <v>0.9834014820560973</v>
      </c>
      <c r="F52" s="70">
        <f>IF(OR(2533522.81179="",17461.95067="",20968.0532=""),"-",(20968.0532-17461.95067)/2533522.81179*100)</f>
        <v>0.13838843343679413</v>
      </c>
      <c r="G52" s="70">
        <f>IF(OR(3007940.19782="",36460.84549="",20968.0532=""),"-",(36460.84549-20968.0532)/3007940.19782*100)</f>
        <v>0.5150631751664604</v>
      </c>
    </row>
    <row r="53" spans="1:7" s="11" customFormat="1" ht="15.75">
      <c r="A53" s="22" t="s">
        <v>84</v>
      </c>
      <c r="B53" s="36">
        <f>IF(25126.01221="","-",25126.01221)</f>
        <v>25126.01221</v>
      </c>
      <c r="C53" s="70">
        <f>IF(OR(16731.17555="",25126.01221=""),"-",25126.01221/16731.17555*100)</f>
        <v>150.1748166762855</v>
      </c>
      <c r="D53" s="70">
        <f>IF(16731.17555="","-",16731.17555/3007940.19782*100)</f>
        <v>0.5562336499284758</v>
      </c>
      <c r="E53" s="70">
        <f>IF(25126.01221="","-",25126.01221/3707625.63971*100)</f>
        <v>0.6776847139282727</v>
      </c>
      <c r="F53" s="70">
        <f>IF(OR(2533522.81179="",14425.14288="",16731.17555=""),"-",(16731.17555-14425.14288)/2533522.81179*100)</f>
        <v>0.09102079757358601</v>
      </c>
      <c r="G53" s="70">
        <f>IF(OR(3007940.19782="",25126.01221="",16731.17555=""),"-",(25126.01221-16731.17555)/3007940.19782*100)</f>
        <v>0.27908921414342436</v>
      </c>
    </row>
    <row r="54" spans="1:7" s="11" customFormat="1" ht="15.75">
      <c r="A54" s="22" t="s">
        <v>120</v>
      </c>
      <c r="B54" s="36">
        <f>IF(23670.90264="","-",23670.90264)</f>
        <v>23670.90264</v>
      </c>
      <c r="C54" s="70">
        <f>IF(OR(21746.85911="",23670.90264=""),"-",23670.90264/21746.85911*100)</f>
        <v>108.84745479918641</v>
      </c>
      <c r="D54" s="70">
        <f>IF(21746.85911="","-",21746.85911/3007940.19782*100)</f>
        <v>0.7229817642571819</v>
      </c>
      <c r="E54" s="70">
        <f>IF(23670.90264="","-",23670.90264/3707625.63971*100)</f>
        <v>0.6384383144424332</v>
      </c>
      <c r="F54" s="70">
        <f>IF(OR(2533522.81179="",12523.19391="",21746.85911=""),"-",(21746.85911-12523.19391)/2533522.81179*100)</f>
        <v>0.36406481745799796</v>
      </c>
      <c r="G54" s="70">
        <f>IF(OR(3007940.19782="",23670.90264="",21746.85911=""),"-",(23670.90264-21746.85911)/3007940.19782*100)</f>
        <v>0.06396548479901451</v>
      </c>
    </row>
    <row r="55" spans="1:7" s="11" customFormat="1" ht="15.75">
      <c r="A55" s="22" t="s">
        <v>227</v>
      </c>
      <c r="B55" s="36">
        <f>IF(20478.83746="","-",20478.83746)</f>
        <v>20478.83746</v>
      </c>
      <c r="C55" s="70">
        <f>IF(OR(19987.65699="",20478.83746=""),"-",20478.83746/19987.65699*100)</f>
        <v>102.45741894733204</v>
      </c>
      <c r="D55" s="70">
        <f>IF(19987.65699="","-",19987.65699/3007940.19782*100)</f>
        <v>0.6644964884769327</v>
      </c>
      <c r="E55" s="70">
        <f>IF(20478.83746="","-",20478.83746/3707625.63971*100)</f>
        <v>0.5523437221024773</v>
      </c>
      <c r="F55" s="70">
        <f>IF(OR(2533522.81179="",17338.53034="",19987.65699=""),"-",(19987.65699-17338.53034)/2533522.81179*100)</f>
        <v>0.10456296811980632</v>
      </c>
      <c r="G55" s="70">
        <f>IF(OR(3007940.19782="",20478.83746="",19987.65699=""),"-",(20478.83746-19987.65699)/3007940.19782*100)</f>
        <v>0.01632946261218829</v>
      </c>
    </row>
    <row r="56" spans="1:7" s="11" customFormat="1" ht="15.75">
      <c r="A56" s="22" t="s">
        <v>117</v>
      </c>
      <c r="B56" s="36">
        <f>IF(19680.52281="","-",19680.52281)</f>
        <v>19680.52281</v>
      </c>
      <c r="C56" s="70">
        <f>IF(OR(17863.08975="",19680.52281=""),"-",19680.52281/17863.08975*100)</f>
        <v>110.17423685059859</v>
      </c>
      <c r="D56" s="70">
        <f>IF(17863.08975="","-",17863.08975/3007940.19782*100)</f>
        <v>0.5938645243993297</v>
      </c>
      <c r="E56" s="70">
        <f>IF(19680.52281="","-",19680.52281/3707625.63971*100)</f>
        <v>0.5308120269537071</v>
      </c>
      <c r="F56" s="70">
        <f>IF(OR(2533522.81179="",15422.37904="",17863.08975=""),"-",(17863.08975-15422.37904)/2533522.81179*100)</f>
        <v>0.09633663840096128</v>
      </c>
      <c r="G56" s="70">
        <f>IF(OR(3007940.19782="",19680.52281="",17863.08975=""),"-",(19680.52281-17863.08975)/3007940.19782*100)</f>
        <v>0.06042118328406865</v>
      </c>
    </row>
    <row r="57" spans="1:7" s="11" customFormat="1" ht="15.75">
      <c r="A57" s="22" t="s">
        <v>114</v>
      </c>
      <c r="B57" s="36">
        <f>IF(19155.59793="","-",19155.59793)</f>
        <v>19155.59793</v>
      </c>
      <c r="C57" s="70" t="s">
        <v>158</v>
      </c>
      <c r="D57" s="70">
        <f>IF(10410.87795="","-",10410.87795/3007940.19782*100)</f>
        <v>0.3461131959187642</v>
      </c>
      <c r="E57" s="70">
        <f>IF(19155.59793="","-",19155.59793/3707625.63971*100)</f>
        <v>0.5166540473999499</v>
      </c>
      <c r="F57" s="70">
        <f>IF(OR(2533522.81179="",11618.7014="",10410.87795=""),"-",(10410.87795-11618.7014)/2533522.81179*100)</f>
        <v>-0.04767367573638072</v>
      </c>
      <c r="G57" s="70">
        <f>IF(OR(3007940.19782="",19155.59793="",10410.87795=""),"-",(19155.59793-10410.87795)/3007940.19782*100)</f>
        <v>0.2907212047080498</v>
      </c>
    </row>
    <row r="58" spans="1:7" s="11" customFormat="1" ht="15.75">
      <c r="A58" s="22" t="s">
        <v>118</v>
      </c>
      <c r="B58" s="36">
        <f>IF(13725.42656="","-",13725.42656)</f>
        <v>13725.42656</v>
      </c>
      <c r="C58" s="70">
        <f>IF(OR(11823.02695="",13725.42656=""),"-",13725.42656/11823.02695*100)</f>
        <v>116.09063075002126</v>
      </c>
      <c r="D58" s="70">
        <f>IF(11823.02695="","-",11823.02695/3007940.19782*100)</f>
        <v>0.39306057210075923</v>
      </c>
      <c r="E58" s="70">
        <f>IF(13725.42656="","-",13725.42656/3707625.63971*100)</f>
        <v>0.37019450974218543</v>
      </c>
      <c r="F58" s="70">
        <f>IF(OR(2533522.81179="",9308.89868="",11823.02695=""),"-",(11823.02695-9308.89868)/2533522.81179*100)</f>
        <v>0.09923448323813204</v>
      </c>
      <c r="G58" s="70">
        <f>IF(OR(3007940.19782="",13725.42656="",11823.02695=""),"-",(13725.42656-11823.02695)/3007940.19782*100)</f>
        <v>0.06324592528065423</v>
      </c>
    </row>
    <row r="59" spans="1:7" s="11" customFormat="1" ht="15.75">
      <c r="A59" s="22" t="s">
        <v>109</v>
      </c>
      <c r="B59" s="36">
        <f>IF(10003.21444="","-",10003.21444)</f>
        <v>10003.21444</v>
      </c>
      <c r="C59" s="70" t="s">
        <v>217</v>
      </c>
      <c r="D59" s="70">
        <f>IF(6169.95902="","-",6169.95902/3007940.19782*100)</f>
        <v>0.2051223965314094</v>
      </c>
      <c r="E59" s="70">
        <f>IF(10003.21444="","-",10003.21444/3707625.63971*100)</f>
        <v>0.2698010913740046</v>
      </c>
      <c r="F59" s="70">
        <f>IF(OR(2533522.81179="",8762.28365="",6169.95902=""),"-",(6169.95902-8762.28365)/2533522.81179*100)</f>
        <v>-0.1023209508095352</v>
      </c>
      <c r="G59" s="70">
        <f>IF(OR(3007940.19782="",10003.21444="",6169.95902=""),"-",(10003.21444-6169.95902)/3007940.19782*100)</f>
        <v>0.12743788665672762</v>
      </c>
    </row>
    <row r="60" spans="1:7" s="11" customFormat="1" ht="15.75">
      <c r="A60" s="22" t="s">
        <v>129</v>
      </c>
      <c r="B60" s="36">
        <f>IF(9795.06453="","-",9795.06453)</f>
        <v>9795.06453</v>
      </c>
      <c r="C60" s="70">
        <f>IF(OR(8108.88464="",9795.06453=""),"-",9795.06453/8108.88464*100)</f>
        <v>120.7942271330672</v>
      </c>
      <c r="D60" s="70">
        <f>IF(8108.88464="","-",8108.88464/3007940.19782*100)</f>
        <v>0.26958264149921934</v>
      </c>
      <c r="E60" s="70">
        <f>IF(9795.06453="","-",9795.06453/3707625.63971*100)</f>
        <v>0.26418698870488294</v>
      </c>
      <c r="F60" s="70">
        <f>IF(OR(2533522.81179="",6398.6458="",8108.88464=""),"-",(8108.88464-6398.6458)/2533522.81179*100)</f>
        <v>0.06750437896360094</v>
      </c>
      <c r="G60" s="70">
        <f>IF(OR(3007940.19782="",9795.06453="",8108.88464=""),"-",(9795.06453-8108.88464)/3007940.19782*100)</f>
        <v>0.05605762678466998</v>
      </c>
    </row>
    <row r="61" spans="1:7" s="11" customFormat="1" ht="15.75">
      <c r="A61" s="22" t="s">
        <v>119</v>
      </c>
      <c r="B61" s="36">
        <f>IF(7659.85719="","-",7659.85719)</f>
        <v>7659.85719</v>
      </c>
      <c r="C61" s="70">
        <f>IF(OR(6074.98994="",7659.85719=""),"-",7659.85719/6074.98994*100)</f>
        <v>126.0883929957586</v>
      </c>
      <c r="D61" s="70">
        <f>IF(6074.98994="","-",6074.98994/3007940.19782*100)</f>
        <v>0.20196511700607744</v>
      </c>
      <c r="E61" s="70">
        <f>IF(7659.85719="","-",7659.85719/3707625.63971*100)</f>
        <v>0.2065973734769817</v>
      </c>
      <c r="F61" s="70">
        <f>IF(OR(2533522.81179="",3675.71789="",6074.98994=""),"-",(6074.98994-3675.71789)/2533522.81179*100)</f>
        <v>0.09470102415635454</v>
      </c>
      <c r="G61" s="70">
        <f>IF(OR(3007940.19782="",7659.85719="",6074.98994=""),"-",(7659.85719-6074.98994)/3007940.19782*100)</f>
        <v>0.05268945343888916</v>
      </c>
    </row>
    <row r="62" spans="1:7" s="11" customFormat="1" ht="15.75">
      <c r="A62" s="22" t="s">
        <v>133</v>
      </c>
      <c r="B62" s="36">
        <f>IF(7572.59838="","-",7572.59838)</f>
        <v>7572.59838</v>
      </c>
      <c r="C62" s="70" t="s">
        <v>169</v>
      </c>
      <c r="D62" s="70">
        <f>IF(3324.31294="","-",3324.31294/3007940.19782*100)</f>
        <v>0.11051791995097811</v>
      </c>
      <c r="E62" s="70">
        <f>IF(7572.59838="","-",7572.59838/3707625.63971*100)</f>
        <v>0.20424387777705377</v>
      </c>
      <c r="F62" s="70">
        <f>IF(OR(2533522.81179="",2691.2615="",3324.31294=""),"-",(3324.31294-2691.2615)/2533522.81179*100)</f>
        <v>0.024987003750431294</v>
      </c>
      <c r="G62" s="70">
        <f>IF(OR(3007940.19782="",7572.59838="",3324.31294=""),"-",(7572.59838-3324.31294)/3007940.19782*100)</f>
        <v>0.14123570153020126</v>
      </c>
    </row>
    <row r="63" spans="1:7" s="11" customFormat="1" ht="15.75">
      <c r="A63" s="22" t="s">
        <v>108</v>
      </c>
      <c r="B63" s="36">
        <f>IF(6451.53299="","-",6451.53299)</f>
        <v>6451.53299</v>
      </c>
      <c r="C63" s="70">
        <f>IF(OR(5543.57354="",6451.53299=""),"-",6451.53299/5543.57354*100)</f>
        <v>116.37859484407596</v>
      </c>
      <c r="D63" s="70">
        <f>IF(5543.57354="","-",5543.57354/3007940.19782*100)</f>
        <v>0.184297997148271</v>
      </c>
      <c r="E63" s="70">
        <f>IF(6451.53299="","-",6451.53299/3707625.63971*100)</f>
        <v>0.1740071306256427</v>
      </c>
      <c r="F63" s="70">
        <f>IF(OR(2533522.81179="",3960.87948="",5543.57354=""),"-",(5543.57354-3960.87948)/2533522.81179*100)</f>
        <v>0.06247009313019706</v>
      </c>
      <c r="G63" s="70">
        <f>IF(OR(3007940.19782="",6451.53299="",5543.57354=""),"-",(6451.53299-5543.57354)/3007940.19782*100)</f>
        <v>0.030185422258661977</v>
      </c>
    </row>
    <row r="64" spans="1:7" s="11" customFormat="1" ht="15.75">
      <c r="A64" s="22" t="s">
        <v>132</v>
      </c>
      <c r="B64" s="36">
        <f>IF(6070.92789="","-",6070.92789)</f>
        <v>6070.92789</v>
      </c>
      <c r="C64" s="70">
        <f>IF(OR(4077.76961="",6070.92789=""),"-",6070.92789/4077.76961*100)</f>
        <v>148.87863883021092</v>
      </c>
      <c r="D64" s="70">
        <f>IF(4077.76961="","-",4077.76961/3007940.19782*100)</f>
        <v>0.1355668444790012</v>
      </c>
      <c r="E64" s="70">
        <f>IF(6070.92789="","-",6070.92789/3707625.63971*100)</f>
        <v>0.16374166326228262</v>
      </c>
      <c r="F64" s="70">
        <f>IF(OR(2533522.81179="",3181.84775="",4077.76961=""),"-",(4077.76961-3181.84775)/2533522.81179*100)</f>
        <v>0.03536269165727415</v>
      </c>
      <c r="G64" s="70">
        <f>IF(OR(3007940.19782="",6070.92789="",4077.76961=""),"-",(6070.92789-4077.76961)/3007940.19782*100)</f>
        <v>0.06626322828640473</v>
      </c>
    </row>
    <row r="65" spans="1:7" s="11" customFormat="1" ht="15.75">
      <c r="A65" s="22" t="s">
        <v>116</v>
      </c>
      <c r="B65" s="36">
        <f>IF(5556.42349="","-",5556.42349)</f>
        <v>5556.42349</v>
      </c>
      <c r="C65" s="70">
        <f>IF(OR(3913.0066="",5556.42349=""),"-",5556.42349/3913.0066*100)</f>
        <v>141.99882744894936</v>
      </c>
      <c r="D65" s="70">
        <f>IF(3913.0066="","-",3913.0066/3007940.19782*100)</f>
        <v>0.1300892418950332</v>
      </c>
      <c r="E65" s="70">
        <f>IF(5556.42349="","-",5556.42349/3707625.63971*100)</f>
        <v>0.14986473905263553</v>
      </c>
      <c r="F65" s="70">
        <f>IF(OR(2533522.81179="",2057.3585="",3913.0066=""),"-",(3913.0066-2057.3585)/2533522.81179*100)</f>
        <v>0.07324378889996797</v>
      </c>
      <c r="G65" s="70">
        <f>IF(OR(3007940.19782="",5556.42349="",3913.0066=""),"-",(5556.42349-3913.0066)/3007940.19782*100)</f>
        <v>0.05463595623314134</v>
      </c>
    </row>
    <row r="66" spans="1:7" s="11" customFormat="1" ht="15.75">
      <c r="A66" s="22" t="s">
        <v>110</v>
      </c>
      <c r="B66" s="36">
        <f>IF(5489.07896="","-",5489.07896)</f>
        <v>5489.07896</v>
      </c>
      <c r="C66" s="70">
        <f>IF(OR(6071.9766="",5489.07896=""),"-",5489.07896/6071.9766*100)</f>
        <v>90.40019950011006</v>
      </c>
      <c r="D66" s="70">
        <f>IF(6071.9766="","-",6071.9766/3007940.19782*100)</f>
        <v>0.2018649374878083</v>
      </c>
      <c r="E66" s="70">
        <f>IF(5489.07896="","-",5489.07896/3707625.63971*100)</f>
        <v>0.14804836014752934</v>
      </c>
      <c r="F66" s="70">
        <f>IF(OR(2533522.81179="",3003.81054="",6071.9766=""),"-",(6071.9766-3003.81054)/2533522.81179*100)</f>
        <v>0.12110276038257814</v>
      </c>
      <c r="G66" s="70">
        <f>IF(OR(3007940.19782="",5489.07896="",6071.9766=""),"-",(5489.07896-6071.9766)/3007940.19782*100)</f>
        <v>-0.019378631278057133</v>
      </c>
    </row>
    <row r="67" spans="1:7" s="11" customFormat="1" ht="15.75">
      <c r="A67" s="22" t="s">
        <v>126</v>
      </c>
      <c r="B67" s="36">
        <f>IF(5227.39939="","-",5227.39939)</f>
        <v>5227.39939</v>
      </c>
      <c r="C67" s="70">
        <f>IF(OR(4679.69306="",5227.39939=""),"-",5227.39939/4679.69306*100)</f>
        <v>111.70389431481217</v>
      </c>
      <c r="D67" s="70">
        <f>IF(4679.69306="","-",4679.69306/3007940.19782*100)</f>
        <v>0.15557799531359034</v>
      </c>
      <c r="E67" s="70">
        <f>IF(5227.39939="","-",5227.39939/3707625.63971*100)</f>
        <v>0.1409904855013591</v>
      </c>
      <c r="F67" s="70">
        <f>IF(OR(2533522.81179="",3708.98386="",4679.69306=""),"-",(4679.69306-3708.98386)/2533522.81179*100)</f>
        <v>0.03831460271376709</v>
      </c>
      <c r="G67" s="70">
        <f>IF(OR(3007940.19782="",5227.39939="",4679.69306=""),"-",(5227.39939-4679.69306)/3007940.19782*100)</f>
        <v>0.018208684148606057</v>
      </c>
    </row>
    <row r="68" spans="1:7" s="11" customFormat="1" ht="15.75">
      <c r="A68" s="22" t="s">
        <v>130</v>
      </c>
      <c r="B68" s="36">
        <f>IF(4131.11247="","-",4131.11247)</f>
        <v>4131.11247</v>
      </c>
      <c r="C68" s="70">
        <f>IF(OR(4131.79836="",4131.11247=""),"-",4131.11247/4131.79836*100)</f>
        <v>99.9833997223427</v>
      </c>
      <c r="D68" s="70">
        <f>IF(4131.79836="","-",4131.79836/3007940.19782*100)</f>
        <v>0.13736304873994884</v>
      </c>
      <c r="E68" s="70">
        <f>IF(4131.11247="","-",4131.11247/3707625.63971*100)</f>
        <v>0.11142204935024466</v>
      </c>
      <c r="F68" s="70">
        <f>IF(OR(2533522.81179="",3041.26821="",4131.79836=""),"-",(4131.79836-3041.26821)/2533522.81179*100)</f>
        <v>0.04304402332298368</v>
      </c>
      <c r="G68" s="70">
        <f>IF(OR(3007940.19782="",4131.11247="",4131.79836=""),"-",(4131.11247-4131.79836)/3007940.19782*100)</f>
        <v>-2.280264748936307E-05</v>
      </c>
    </row>
    <row r="69" spans="1:7" s="11" customFormat="1" ht="15.75">
      <c r="A69" s="22" t="s">
        <v>134</v>
      </c>
      <c r="B69" s="36">
        <f>IF(3895.3735="","-",3895.3735)</f>
        <v>3895.3735</v>
      </c>
      <c r="C69" s="70" t="s">
        <v>217</v>
      </c>
      <c r="D69" s="70">
        <f>IF(2503.60375="","-",2503.60375/3007940.19782*100)</f>
        <v>0.08323316240843097</v>
      </c>
      <c r="E69" s="70">
        <f>IF(3895.3735="","-",3895.3735/3707625.63971*100)</f>
        <v>0.10506383002315965</v>
      </c>
      <c r="F69" s="70">
        <f>IF(OR(2533522.81179="",2392.40713="",2503.60375=""),"-",(2503.60375-2392.40713)/2533522.81179*100)</f>
        <v>0.004389011990834882</v>
      </c>
      <c r="G69" s="70">
        <f>IF(OR(3007940.19782="",3895.3735="",2503.60375=""),"-",(3895.3735-2503.60375)/3007940.19782*100)</f>
        <v>0.04626986105005289</v>
      </c>
    </row>
    <row r="70" spans="1:7" s="11" customFormat="1" ht="15.75">
      <c r="A70" s="22" t="s">
        <v>135</v>
      </c>
      <c r="B70" s="36">
        <f>IF(3849.76864="","-",3849.76864)</f>
        <v>3849.76864</v>
      </c>
      <c r="C70" s="70" t="s">
        <v>159</v>
      </c>
      <c r="D70" s="70">
        <f>IF(2277.16641="","-",2277.16641/3007940.19782*100)</f>
        <v>0.0757051756431319</v>
      </c>
      <c r="E70" s="70">
        <f>IF(3849.76864="","-",3849.76864/3707625.63971*100)</f>
        <v>0.10383380130851393</v>
      </c>
      <c r="F70" s="70">
        <f>IF(OR(2533522.81179="",2030.66792="",2277.16641=""),"-",(2277.16641-2030.66792)/2533522.81179*100)</f>
        <v>0.00972947584497343</v>
      </c>
      <c r="G70" s="70">
        <f>IF(OR(3007940.19782="",3849.76864="",2277.16641=""),"-",(3849.76864-2277.16641)/3007940.19782*100)</f>
        <v>0.05228169865676655</v>
      </c>
    </row>
    <row r="71" spans="1:7" s="11" customFormat="1" ht="15.75">
      <c r="A71" s="22" t="s">
        <v>131</v>
      </c>
      <c r="B71" s="36">
        <f>IF(3534.10433="","-",3534.10433)</f>
        <v>3534.10433</v>
      </c>
      <c r="C71" s="70">
        <f>IF(OR(3571.17355="",3534.10433=""),"-",3534.10433/3571.17355*100)</f>
        <v>98.96198771969512</v>
      </c>
      <c r="D71" s="70">
        <f>IF(3571.17355="","-",3571.17355/3007940.19782*100)</f>
        <v>0.11872488530816545</v>
      </c>
      <c r="E71" s="70">
        <f>IF(3534.10433="","-",3534.10433/3707625.63971*100)</f>
        <v>0.09531988052268481</v>
      </c>
      <c r="F71" s="70">
        <f>IF(OR(2533522.81179="",4117.3746="",3571.17355=""),"-",(3571.17355-4117.3746)/2533522.81179*100)</f>
        <v>-0.02155895527990509</v>
      </c>
      <c r="G71" s="70">
        <f>IF(OR(3007940.19782="",3534.10433="",3571.17355=""),"-",(3534.10433-3571.17355)/3007940.19782*100)</f>
        <v>-0.001232378889276646</v>
      </c>
    </row>
    <row r="72" spans="1:7" s="11" customFormat="1" ht="15.75">
      <c r="A72" s="22" t="s">
        <v>113</v>
      </c>
      <c r="B72" s="36">
        <f>IF(3450.22351="","-",3450.22351)</f>
        <v>3450.22351</v>
      </c>
      <c r="C72" s="70">
        <f>IF(OR(3363.018="",3450.22351=""),"-",3450.22351/3363.018*100)</f>
        <v>102.59307294816738</v>
      </c>
      <c r="D72" s="70">
        <f>IF(3363.018="","-",3363.018/3007940.19782*100)</f>
        <v>0.11180468290019005</v>
      </c>
      <c r="E72" s="70">
        <f>IF(3450.22351="","-",3450.22351/3707625.63971*100)</f>
        <v>0.09305749407509942</v>
      </c>
      <c r="F72" s="70">
        <f>IF(OR(2533522.81179="",2958.32095="",3363.018=""),"-",(3363.018-2958.32095)/2533522.81179*100)</f>
        <v>0.015973688814511645</v>
      </c>
      <c r="G72" s="70">
        <f>IF(OR(3007940.19782="",3450.22351="",3363.018=""),"-",(3450.22351-3363.018)/3007940.19782*100)</f>
        <v>0.0028991769870691524</v>
      </c>
    </row>
    <row r="73" spans="1:7" s="11" customFormat="1" ht="15.75">
      <c r="A73" s="22" t="s">
        <v>112</v>
      </c>
      <c r="B73" s="36">
        <f>IF(3448.45744="","-",3448.45744)</f>
        <v>3448.45744</v>
      </c>
      <c r="C73" s="70">
        <f>IF(OR(5998.99732="",3448.45744=""),"-",3448.45744/5998.99732*100)</f>
        <v>57.483896992306036</v>
      </c>
      <c r="D73" s="70">
        <f>IF(5998.99732="","-",5998.99732/3007940.19782*100)</f>
        <v>0.19943871637965954</v>
      </c>
      <c r="E73" s="70">
        <f>IF(3448.45744="","-",3448.45744/3707625.63971*100)</f>
        <v>0.09300986062524179</v>
      </c>
      <c r="F73" s="70">
        <f>IF(OR(2533522.81179="",3771.42396="",5998.99732=""),"-",(5998.99732-3771.42396)/2533522.81179*100)</f>
        <v>0.08792395117319514</v>
      </c>
      <c r="G73" s="70">
        <f>IF(OR(3007940.19782="",3448.45744="",5998.99732=""),"-",(3448.45744-5998.99732)/3007940.19782*100)</f>
        <v>-0.08479357009319867</v>
      </c>
    </row>
    <row r="74" spans="1:7" s="11" customFormat="1" ht="15.75">
      <c r="A74" s="22" t="s">
        <v>123</v>
      </c>
      <c r="B74" s="36">
        <f>IF(3303.22254="","-",3303.22254)</f>
        <v>3303.22254</v>
      </c>
      <c r="C74" s="70" t="s">
        <v>156</v>
      </c>
      <c r="D74" s="70">
        <f>IF(1067.07626="","-",1067.07626/3007940.19782*100)</f>
        <v>0.035475314993740965</v>
      </c>
      <c r="E74" s="70">
        <f>IF(3303.22254="","-",3303.22254/3707625.63971*100)</f>
        <v>0.08909266633128497</v>
      </c>
      <c r="F74" s="70">
        <f>IF(OR(2533522.81179="",697.68852="",1067.07626=""),"-",(1067.07626-697.68852)/2533522.81179*100)</f>
        <v>0.014580004501282462</v>
      </c>
      <c r="G74" s="70">
        <f>IF(OR(3007940.19782="",3303.22254="",1067.07626=""),"-",(3303.22254-1067.07626)/3007940.19782*100)</f>
        <v>0.0743414474004717</v>
      </c>
    </row>
    <row r="75" spans="1:7" s="11" customFormat="1" ht="15.75">
      <c r="A75" s="22" t="s">
        <v>122</v>
      </c>
      <c r="B75" s="36">
        <f>IF(3292.89366="","-",3292.89366)</f>
        <v>3292.89366</v>
      </c>
      <c r="C75" s="70" t="s">
        <v>160</v>
      </c>
      <c r="D75" s="70">
        <f>IF(1733.94759="","-",1733.94759/3007940.19782*100)</f>
        <v>0.057645680298320956</v>
      </c>
      <c r="E75" s="70">
        <f>IF(3292.89366="","-",3292.89366/3707625.63971*100)</f>
        <v>0.08881408157101754</v>
      </c>
      <c r="F75" s="70">
        <f>IF(OR(2533522.81179="",1476.47099="",1733.94759=""),"-",(1733.94759-1476.47099)/2533522.81179*100)</f>
        <v>0.010162789882996395</v>
      </c>
      <c r="G75" s="70">
        <f>IF(OR(3007940.19782="",3292.89366="",1733.94759=""),"-",(3292.89366-1733.94759)/3007940.19782*100)</f>
        <v>0.051827694949847875</v>
      </c>
    </row>
    <row r="76" spans="1:7" s="11" customFormat="1" ht="15.75">
      <c r="A76" s="22" t="s">
        <v>86</v>
      </c>
      <c r="B76" s="36">
        <f>IF(3237.87586="","-",3237.87586)</f>
        <v>3237.87586</v>
      </c>
      <c r="C76" s="70" t="s">
        <v>19</v>
      </c>
      <c r="D76" s="70">
        <f>IF(1643.92418="","-",1643.92418/3007940.19782*100)</f>
        <v>0.05465282126258466</v>
      </c>
      <c r="E76" s="70">
        <f>IF(3237.87586="","-",3237.87586/3707625.63971*100)</f>
        <v>0.08733017231624436</v>
      </c>
      <c r="F76" s="70">
        <f>IF(OR(2533522.81179="",2109.16468="",1643.92418=""),"-",(1643.92418-2109.16468)/2533522.81179*100)</f>
        <v>-0.018363383105727604</v>
      </c>
      <c r="G76" s="70">
        <f>IF(OR(3007940.19782="",3237.87586="",1643.92418=""),"-",(3237.87586-1643.92418)/3007940.19782*100)</f>
        <v>0.0529914684193261</v>
      </c>
    </row>
    <row r="77" spans="1:7" s="11" customFormat="1" ht="15.75">
      <c r="A77" s="22" t="s">
        <v>138</v>
      </c>
      <c r="B77" s="36">
        <f>IF(3223.2364="","-",3223.2364)</f>
        <v>3223.2364</v>
      </c>
      <c r="C77" s="70" t="s">
        <v>218</v>
      </c>
      <c r="D77" s="70">
        <f>IF(1149.46315="","-",1149.46315/3007940.19782*100)</f>
        <v>0.038214295311890564</v>
      </c>
      <c r="E77" s="70">
        <f>IF(3223.2364="","-",3223.2364/3707625.63971*100)</f>
        <v>0.08693532500902956</v>
      </c>
      <c r="F77" s="70">
        <f>IF(OR(2533522.81179="",1016.27894="",1149.46315=""),"-",(1149.46315-1016.27894)/2533522.81179*100)</f>
        <v>0.005256878263744619</v>
      </c>
      <c r="G77" s="70">
        <f>IF(OR(3007940.19782="",3223.2364="",1149.46315=""),"-",(3223.2364-1149.46315)/3007940.19782*100)</f>
        <v>0.06894330051850645</v>
      </c>
    </row>
    <row r="78" spans="1:7" s="11" customFormat="1" ht="15.75">
      <c r="A78" s="22" t="s">
        <v>105</v>
      </c>
      <c r="B78" s="36">
        <f>IF(2106.43802="","-",2106.43802)</f>
        <v>2106.43802</v>
      </c>
      <c r="C78" s="70">
        <f>IF(OR(1416.86226="",2106.43802=""),"-",2106.43802/1416.86226*100)</f>
        <v>148.66921644168855</v>
      </c>
      <c r="D78" s="70">
        <f>IF(1416.86226="","-",1416.86226/3007940.19782*100)</f>
        <v>0.04710407012170218</v>
      </c>
      <c r="E78" s="70">
        <f>IF(2106.43802="","-",2106.43802/3707625.63971*100)</f>
        <v>0.05681366525895424</v>
      </c>
      <c r="F78" s="70">
        <f>IF(OR(2533522.81179="",878.6552="",1416.86226=""),"-",(1416.86226-878.6552)/2533522.81179*100)</f>
        <v>0.021243426642752142</v>
      </c>
      <c r="G78" s="70">
        <f>IF(OR(3007940.19782="",2106.43802="",1416.86226=""),"-",(2106.43802-1416.86226)/3007940.19782*100)</f>
        <v>0.02292518184037598</v>
      </c>
    </row>
    <row r="79" spans="1:7" s="11" customFormat="1" ht="15.75">
      <c r="A79" s="22" t="s">
        <v>137</v>
      </c>
      <c r="B79" s="36">
        <f>IF(1807.3851="","-",1807.3851)</f>
        <v>1807.3851</v>
      </c>
      <c r="C79" s="70">
        <f>IF(OR(2430.66609="",1807.3851=""),"-",1807.3851/2430.66609*100)</f>
        <v>74.3576054084829</v>
      </c>
      <c r="D79" s="70">
        <f>IF(2430.66609="","-",2430.66609/3007940.19782*100)</f>
        <v>0.08080832497140807</v>
      </c>
      <c r="E79" s="70">
        <f>IF(1807.3851="","-",1807.3851/3707625.63971*100)</f>
        <v>0.048747777570698016</v>
      </c>
      <c r="F79" s="70">
        <f>IF(OR(2533522.81179="",961.9937="",2430.66609=""),"-",(2430.66609-961.9937)/2533522.81179*100)</f>
        <v>0.057969574347836436</v>
      </c>
      <c r="G79" s="70">
        <f>IF(OR(3007940.19782="",1807.3851="",2430.66609=""),"-",(1807.3851-2430.66609)/3007940.19782*100)</f>
        <v>-0.020721189551963906</v>
      </c>
    </row>
    <row r="80" spans="1:7" s="11" customFormat="1" ht="15.75">
      <c r="A80" s="22" t="s">
        <v>121</v>
      </c>
      <c r="B80" s="36">
        <f>IF(1424.45718="","-",1424.45718)</f>
        <v>1424.45718</v>
      </c>
      <c r="C80" s="70">
        <f>IF(OR(1201.44956="",1424.45718=""),"-",1424.45718/1201.44956*100)</f>
        <v>118.56154660375422</v>
      </c>
      <c r="D80" s="70">
        <f>IF(1201.44956="","-",1201.44956/3007940.19782*100)</f>
        <v>0.03994260128145994</v>
      </c>
      <c r="E80" s="70">
        <f>IF(1424.45718="","-",1424.45718/3707625.63971*100)</f>
        <v>0.0384196604086333</v>
      </c>
      <c r="F80" s="70">
        <f>IF(OR(2533522.81179="",999.71612="",1201.44956=""),"-",(1201.44956-999.71612)/2533522.81179*100)</f>
        <v>0.007962566552044189</v>
      </c>
      <c r="G80" s="70">
        <f>IF(OR(3007940.19782="",1424.45718="",1201.44956=""),"-",(1424.45718-1201.44956)/3007940.19782*100)</f>
        <v>0.0074139645516099195</v>
      </c>
    </row>
    <row r="81" spans="1:7" s="11" customFormat="1" ht="15.75">
      <c r="A81" s="22" t="s">
        <v>85</v>
      </c>
      <c r="B81" s="36">
        <f>IF(1341.89203="","-",1341.89203)</f>
        <v>1341.89203</v>
      </c>
      <c r="C81" s="70" t="s">
        <v>150</v>
      </c>
      <c r="D81" s="70">
        <f>IF(596.89138="","-",596.89138/3007940.19782*100)</f>
        <v>0.019843857947461727</v>
      </c>
      <c r="E81" s="70">
        <f>IF(1341.89203="","-",1341.89203/3707625.63971*100)</f>
        <v>0.03619275947463129</v>
      </c>
      <c r="F81" s="70">
        <f>IF(OR(2533522.81179="",2231.66234="",596.89138=""),"-",(596.89138-2231.66234)/2533522.81179*100)</f>
        <v>-0.06452560649513123</v>
      </c>
      <c r="G81" s="70">
        <f>IF(OR(3007940.19782="",1341.89203="",596.89138=""),"-",(1341.89203-596.89138)/3007940.19782*100)</f>
        <v>0.024767801252828698</v>
      </c>
    </row>
    <row r="82" spans="1:7" s="11" customFormat="1" ht="15.75">
      <c r="A82" s="22" t="s">
        <v>272</v>
      </c>
      <c r="B82" s="36">
        <f>IF(1320.03167="","-",1320.03167)</f>
        <v>1320.03167</v>
      </c>
      <c r="C82" s="70" t="s">
        <v>160</v>
      </c>
      <c r="D82" s="70">
        <f>IF(688.16165="","-",688.16165/3007940.19782*100)</f>
        <v>0.022878169270078713</v>
      </c>
      <c r="E82" s="70">
        <f>IF(1320.03167="","-",1320.03167/3707625.63971*100)</f>
        <v>0.0356031541011581</v>
      </c>
      <c r="F82" s="70">
        <f>IF(OR(2533522.81179="",725.44552="",688.16165=""),"-",(688.16165-725.44552)/2533522.81179*100)</f>
        <v>-0.0014716216418694074</v>
      </c>
      <c r="G82" s="70">
        <f>IF(OR(3007940.19782="",1320.03167="",688.16165=""),"-",(1320.03167-688.16165)/3007940.19782*100)</f>
        <v>0.02100673479007152</v>
      </c>
    </row>
    <row r="83" spans="1:7" s="11" customFormat="1" ht="15.75">
      <c r="A83" s="22" t="s">
        <v>141</v>
      </c>
      <c r="B83" s="36">
        <f>IF(1307.20285="","-",1307.20285)</f>
        <v>1307.20285</v>
      </c>
      <c r="C83" s="70">
        <f>IF(OR(1265.49422="",1307.20285=""),"-",1307.20285/1265.49422*100)</f>
        <v>103.29583725795285</v>
      </c>
      <c r="D83" s="70">
        <f>IF(1265.49422="","-",1265.49422/3007940.19782*100)</f>
        <v>0.04207178789382731</v>
      </c>
      <c r="E83" s="70">
        <f>IF(1307.20285="","-",1307.20285/3707625.63971*100)</f>
        <v>0.03525714236085188</v>
      </c>
      <c r="F83" s="70">
        <f>IF(OR(2533522.81179="",579.90475="",1265.49422=""),"-",(1265.49422-579.90475)/2533522.81179*100)</f>
        <v>0.02706071825402721</v>
      </c>
      <c r="G83" s="70">
        <f>IF(OR(3007940.19782="",1307.20285="",1265.49422=""),"-",(1307.20285-1265.49422)/3007940.19782*100)</f>
        <v>0.0013866176604916587</v>
      </c>
    </row>
    <row r="84" spans="1:7" s="11" customFormat="1" ht="15.75">
      <c r="A84" s="22" t="s">
        <v>115</v>
      </c>
      <c r="B84" s="36">
        <f>IF(1302.43895="","-",1302.43895)</f>
        <v>1302.43895</v>
      </c>
      <c r="C84" s="70">
        <f>IF(OR(1057.88765="",1302.43895=""),"-",1302.43895/1057.88765*100)</f>
        <v>123.11694441276444</v>
      </c>
      <c r="D84" s="70">
        <f>IF(1057.88765="","-",1057.88765/3007940.19782*100)</f>
        <v>0.035169836513594996</v>
      </c>
      <c r="E84" s="70">
        <f>IF(1302.43895="","-",1302.43895/3707625.63971*100)</f>
        <v>0.03512865312102743</v>
      </c>
      <c r="F84" s="70">
        <f>IF(OR(2533522.81179="",1502.49678="",1057.88765=""),"-",(1057.88765-1502.49678)/2533522.81179*100)</f>
        <v>-0.017549047829013707</v>
      </c>
      <c r="G84" s="70">
        <f>IF(OR(3007940.19782="",1302.43895="",1057.88765=""),"-",(1302.43895-1057.88765)/3007940.19782*100)</f>
        <v>0.008130191556907888</v>
      </c>
    </row>
    <row r="85" spans="1:7" s="11" customFormat="1" ht="15.75">
      <c r="A85" s="22" t="s">
        <v>136</v>
      </c>
      <c r="B85" s="36">
        <f>IF(1152.93236="","-",1152.93236)</f>
        <v>1152.93236</v>
      </c>
      <c r="C85" s="70">
        <f>IF(OR(1103.9834="",1152.93236=""),"-",1152.93236/1103.9834*100)</f>
        <v>104.43384927708152</v>
      </c>
      <c r="D85" s="70">
        <f>IF(1103.9834="","-",1103.9834/3007940.19782*100)</f>
        <v>0.03670230547801816</v>
      </c>
      <c r="E85" s="70">
        <f>IF(1152.93236="","-",1152.93236/3707625.63971*100)</f>
        <v>0.031096245199398805</v>
      </c>
      <c r="F85" s="70">
        <f>IF(OR(2533522.81179="",951.24537="",1103.9834=""),"-",(1103.9834-951.24537)/2533522.81179*100)</f>
        <v>0.006028681853157923</v>
      </c>
      <c r="G85" s="70">
        <f>IF(OR(3007940.19782="",1152.93236="",1103.9834=""),"-",(1152.93236-1103.9834)/3007940.19782*100)</f>
        <v>0.001627324906109358</v>
      </c>
    </row>
    <row r="86" spans="1:7" s="11" customFormat="1" ht="15.75">
      <c r="A86" s="22" t="s">
        <v>155</v>
      </c>
      <c r="B86" s="36">
        <f>IF(1023.5334="","-",1023.5334)</f>
        <v>1023.5334</v>
      </c>
      <c r="C86" s="70" t="s">
        <v>153</v>
      </c>
      <c r="D86" s="70">
        <f>IF(396.65052="","-",396.65052/3007940.19782*100)</f>
        <v>0.01318678211380239</v>
      </c>
      <c r="E86" s="70">
        <f>IF(1023.5334="","-",1023.5334/3707625.63971*100)</f>
        <v>0.027606169000386403</v>
      </c>
      <c r="F86" s="70">
        <f>IF(OR(2533522.81179="",5.24822="",396.65052=""),"-",(396.65052-5.24822)/2533522.81179*100)</f>
        <v>0.015448935299835093</v>
      </c>
      <c r="G86" s="70">
        <f>IF(OR(3007940.19782="",1023.5334="",396.65052=""),"-",(1023.5334-396.65052)/3007940.19782*100)</f>
        <v>0.020840935616151298</v>
      </c>
    </row>
    <row r="87" spans="1:7" s="11" customFormat="1" ht="15.75">
      <c r="A87" s="22" t="s">
        <v>228</v>
      </c>
      <c r="B87" s="36">
        <f>IF(1001.71952="","-",1001.71952)</f>
        <v>1001.71952</v>
      </c>
      <c r="C87" s="70" t="s">
        <v>144</v>
      </c>
      <c r="D87" s="70">
        <f>IF(468.78064="","-",468.78064/3007940.19782*100)</f>
        <v>0.015584772607505563</v>
      </c>
      <c r="E87" s="70">
        <f>IF(1001.71952="","-",1001.71952/3707625.63971*100)</f>
        <v>0.02701781725941327</v>
      </c>
      <c r="F87" s="70">
        <f>IF(OR(2533522.81179="",182.84037="",468.78064=""),"-",(468.78064-182.84037)/2533522.81179*100)</f>
        <v>0.011286271774201067</v>
      </c>
      <c r="G87" s="70">
        <f>IF(OR(3007940.19782="",1001.71952="",468.78064=""),"-",(1001.71952-468.78064)/3007940.19782*100)</f>
        <v>0.017717735225794933</v>
      </c>
    </row>
    <row r="88" spans="1:7" ht="15.75">
      <c r="A88" s="22" t="s">
        <v>140</v>
      </c>
      <c r="B88" s="36">
        <f>IF(980.28577="","-",980.28577)</f>
        <v>980.28577</v>
      </c>
      <c r="C88" s="70" t="s">
        <v>169</v>
      </c>
      <c r="D88" s="70">
        <f>IF(422.53671="","-",422.53671/3007940.19782*100)</f>
        <v>0.014047377348334016</v>
      </c>
      <c r="E88" s="70">
        <f>IF(980.28577="","-",980.28577/3707625.63971*100)</f>
        <v>0.02643971817167267</v>
      </c>
      <c r="F88" s="70">
        <f>IF(OR(2533522.81179="",555.94834="",422.53671=""),"-",(422.53671-555.94834)/2533522.81179*100)</f>
        <v>-0.005265854697623235</v>
      </c>
      <c r="G88" s="70">
        <f>IF(OR(3007940.19782="",980.28577="",422.53671=""),"-",(980.28577-422.53671)/3007940.19782*100)</f>
        <v>0.01854255814009293</v>
      </c>
    </row>
    <row r="89" spans="1:7" ht="15.75">
      <c r="A89" s="22" t="s">
        <v>194</v>
      </c>
      <c r="B89" s="36">
        <f>IF(975.74485="","-",975.74485)</f>
        <v>975.74485</v>
      </c>
      <c r="C89" s="70">
        <f>IF(OR(877.64584="",975.74485=""),"-",975.74485/877.64584*100)</f>
        <v>111.17751666207407</v>
      </c>
      <c r="D89" s="70">
        <f>IF(877.64584="","-",877.64584/3007940.19782*100)</f>
        <v>0.029177635932924214</v>
      </c>
      <c r="E89" s="70">
        <f>IF(975.74485="","-",975.74485/3707625.63971*100)</f>
        <v>0.026317243023390037</v>
      </c>
      <c r="F89" s="70">
        <f>IF(OR(2533522.81179="",552.18107="",877.64584=""),"-",(877.64584-552.18107)/2533522.81179*100)</f>
        <v>0.012846332722382343</v>
      </c>
      <c r="G89" s="70">
        <f>IF(OR(3007940.19782="",975.74485="",877.64584=""),"-",(975.74485-877.64584)/3007940.19782*100)</f>
        <v>0.0032613351180019183</v>
      </c>
    </row>
    <row r="90" spans="1:7" ht="15.75">
      <c r="A90" s="22" t="s">
        <v>139</v>
      </c>
      <c r="B90" s="36">
        <f>IF(919.70882="","-",919.70882)</f>
        <v>919.70882</v>
      </c>
      <c r="C90" s="70">
        <f>IF(OR(690.54367="",919.70882=""),"-",919.70882/690.54367*100)</f>
        <v>133.18619226500186</v>
      </c>
      <c r="D90" s="70">
        <f>IF(690.54367="","-",690.54367/3007940.19782*100)</f>
        <v>0.022957360339160682</v>
      </c>
      <c r="E90" s="70">
        <f>IF(919.70882="","-",919.70882/3707625.63971*100)</f>
        <v>0.024805870639947807</v>
      </c>
      <c r="F90" s="70">
        <f>IF(OR(2533522.81179="",792.43231="",690.54367=""),"-",(690.54367-792.43231)/2533522.81179*100)</f>
        <v>-0.004021619206499783</v>
      </c>
      <c r="G90" s="70">
        <f>IF(OR(3007940.19782="",919.70882="",690.54367=""),"-",(919.70882-690.54367)/3007940.19782*100)</f>
        <v>0.007618673741123145</v>
      </c>
    </row>
    <row r="91" spans="1:7" ht="15.75">
      <c r="A91" s="22" t="s">
        <v>154</v>
      </c>
      <c r="B91" s="36">
        <f>IF(874.95651="","-",874.95651)</f>
        <v>874.95651</v>
      </c>
      <c r="C91" s="70" t="s">
        <v>293</v>
      </c>
      <c r="D91" s="70">
        <f>IF(31.40523="","-",31.40523/3007940.19782*100)</f>
        <v>0.0010440776057569527</v>
      </c>
      <c r="E91" s="70">
        <f>IF(874.95651="","-",874.95651/3707625.63971*100)</f>
        <v>0.023598836425902932</v>
      </c>
      <c r="F91" s="70">
        <f>IF(OR(2533522.81179="",10.44382="",31.40523=""),"-",(31.40523-10.44382)/2533522.81179*100)</f>
        <v>0.0008273621971135999</v>
      </c>
      <c r="G91" s="70">
        <f>IF(OR(3007940.19782="",874.95651="",31.40523=""),"-",(874.95651-31.40523)/3007940.19782*100)</f>
        <v>0.028044150632095765</v>
      </c>
    </row>
    <row r="92" spans="1:7" ht="15.75">
      <c r="A92" s="22" t="s">
        <v>142</v>
      </c>
      <c r="B92" s="36">
        <f>IF(826.19052="","-",826.19052)</f>
        <v>826.19052</v>
      </c>
      <c r="C92" s="70">
        <f>IF(OR(722.81582="",826.19052=""),"-",826.19052/722.81582*100)</f>
        <v>114.30166539520398</v>
      </c>
      <c r="D92" s="70">
        <f>IF(722.81582="","-",722.81582/3007940.19782*100)</f>
        <v>0.024030258996633632</v>
      </c>
      <c r="E92" s="70">
        <f>IF(826.19052="","-",826.19052/3707625.63971*100)</f>
        <v>0.022283547485247794</v>
      </c>
      <c r="F92" s="70">
        <f>IF(OR(2533522.81179="",495.96921="",722.81582=""),"-",(722.81582-495.96921)/2533522.81179*100)</f>
        <v>0.008953801755577128</v>
      </c>
      <c r="G92" s="70">
        <f>IF(OR(3007940.19782="",826.19052="",722.81582=""),"-",(826.19052-722.81582)/3007940.19782*100)</f>
        <v>0.003436727235299446</v>
      </c>
    </row>
    <row r="93" spans="1:7" ht="15.75">
      <c r="A93" s="22" t="s">
        <v>148</v>
      </c>
      <c r="B93" s="36">
        <f>IF(818.35621="","-",818.35621)</f>
        <v>818.35621</v>
      </c>
      <c r="C93" s="70" t="s">
        <v>160</v>
      </c>
      <c r="D93" s="70">
        <f>IF(439.61138="","-",439.61138/3007940.19782*100)</f>
        <v>0.01461503058866023</v>
      </c>
      <c r="E93" s="70">
        <f>IF(818.35621="","-",818.35621/3707625.63971*100)</f>
        <v>0.022072244868389938</v>
      </c>
      <c r="F93" s="70">
        <f>IF(OR(2533522.81179="",308.03459="",439.61138=""),"-",(439.61138-308.03459)/2533522.81179*100)</f>
        <v>0.005193432219662454</v>
      </c>
      <c r="G93" s="70">
        <f>IF(OR(3007940.19782="",818.35621="",439.61138=""),"-",(818.35621-439.61138)/3007940.19782*100)</f>
        <v>0.012591501329530913</v>
      </c>
    </row>
    <row r="94" spans="1:7" ht="15.75">
      <c r="A94" s="22" t="s">
        <v>128</v>
      </c>
      <c r="B94" s="36">
        <f>IF(662.98541="","-",662.98541)</f>
        <v>662.98541</v>
      </c>
      <c r="C94" s="70">
        <f>IF(OR(468.08473="",662.98541=""),"-",662.98541/468.08473*100)</f>
        <v>141.63790602611627</v>
      </c>
      <c r="D94" s="70">
        <f>IF(468.08473="","-",468.08473/3007940.19782*100)</f>
        <v>0.015561636841691324</v>
      </c>
      <c r="E94" s="70">
        <f>IF(662.98541="","-",662.98541/3707625.63971*100)</f>
        <v>0.017881670762527602</v>
      </c>
      <c r="F94" s="70">
        <f>IF(OR(2533522.81179="",631.12549="",468.08473=""),"-",(468.08473-631.12549)/2533522.81179*100)</f>
        <v>-0.006435338148181404</v>
      </c>
      <c r="G94" s="70">
        <f>IF(OR(3007940.19782="",662.98541="",468.08473=""),"-",(662.98541-468.08473)/3007940.19782*100)</f>
        <v>0.00647953972426892</v>
      </c>
    </row>
    <row r="95" spans="1:7" ht="15.75">
      <c r="A95" s="22" t="s">
        <v>286</v>
      </c>
      <c r="B95" s="36">
        <f>IF(658.62223="","-",658.62223)</f>
        <v>658.62223</v>
      </c>
      <c r="C95" s="70">
        <f>IF(OR(465.67483="",658.62223=""),"-",658.62223/465.67483*100)</f>
        <v>141.4339336313281</v>
      </c>
      <c r="D95" s="70">
        <f>IF(465.67483="","-",465.67483/3007940.19782*100)</f>
        <v>0.015481518892479881</v>
      </c>
      <c r="E95" s="70">
        <f>IF(658.62223="","-",658.62223/3707625.63971*100)</f>
        <v>0.017763989517871483</v>
      </c>
      <c r="F95" s="70">
        <f>IF(OR(2533522.81179="",611.50179="",465.67483=""),"-",(465.67483-611.50179)/2533522.81179*100)</f>
        <v>-0.005755896861136588</v>
      </c>
      <c r="G95" s="70">
        <f>IF(OR(3007940.19782="",658.62223="",465.67483=""),"-",(658.62223-465.67483)/3007940.19782*100)</f>
        <v>0.006414602263031636</v>
      </c>
    </row>
    <row r="96" spans="1:7" ht="15.75">
      <c r="A96" s="22" t="s">
        <v>210</v>
      </c>
      <c r="B96" s="36">
        <f>IF(631.62479="","-",631.62479)</f>
        <v>631.62479</v>
      </c>
      <c r="C96" s="70" t="str">
        <f>IF(OR(""="",631.62479=""),"-",631.62479/""*100)</f>
        <v>-</v>
      </c>
      <c r="D96" s="70" t="str">
        <f>IF(""="","-",""/3007940.19782*100)</f>
        <v>-</v>
      </c>
      <c r="E96" s="70">
        <f>IF(631.62479="","-",631.62479/3707625.63971*100)</f>
        <v>0.017035829702844646</v>
      </c>
      <c r="F96" s="70" t="str">
        <f>IF(OR(2533522.81179="",""="",""=""),"-",(""-"")/2533522.81179*100)</f>
        <v>-</v>
      </c>
      <c r="G96" s="70" t="str">
        <f>IF(OR(3007940.19782="",631.62479="",""=""),"-",(631.62479-"")/3007940.19782*100)</f>
        <v>-</v>
      </c>
    </row>
    <row r="97" spans="1:7" ht="15.75">
      <c r="A97" s="22" t="s">
        <v>149</v>
      </c>
      <c r="B97" s="36">
        <f>IF(527.62566="","-",527.62566)</f>
        <v>527.62566</v>
      </c>
      <c r="C97" s="70" t="s">
        <v>292</v>
      </c>
      <c r="D97" s="70">
        <f>IF(177.41364="","-",177.41364/3007940.19782*100)</f>
        <v>0.005898177102343333</v>
      </c>
      <c r="E97" s="70">
        <f>IF(527.62566="","-",527.62566/3707625.63971*100)</f>
        <v>0.014230823477670993</v>
      </c>
      <c r="F97" s="70">
        <f>IF(OR(2533522.81179="",58.13389="",177.41364=""),"-",(177.41364-58.13389)/2533522.81179*100)</f>
        <v>0.004708059049041114</v>
      </c>
      <c r="G97" s="70">
        <f>IF(OR(3007940.19782="",527.62566="",177.41364=""),"-",(527.62566-177.41364)/3007940.19782*100)</f>
        <v>0.011642918308476203</v>
      </c>
    </row>
    <row r="98" spans="1:7" ht="15.75">
      <c r="A98" s="22" t="s">
        <v>143</v>
      </c>
      <c r="B98" s="36">
        <f>IF(481.04754="","-",481.04754)</f>
        <v>481.04754</v>
      </c>
      <c r="C98" s="70">
        <f>IF(OR(636.3605="",481.04754=""),"-",481.04754/636.3605*100)</f>
        <v>75.59355742539017</v>
      </c>
      <c r="D98" s="70">
        <f>IF(636.3605="","-",636.3605/3007940.19782*100)</f>
        <v>0.02115602233253179</v>
      </c>
      <c r="E98" s="70">
        <f>IF(481.04754="","-",481.04754/3707625.63971*100)</f>
        <v>0.012974544539982903</v>
      </c>
      <c r="F98" s="70">
        <f>IF(OR(2533522.81179="",287.26091="",636.3605=""),"-",(636.3605-287.26091)/2533522.81179*100)</f>
        <v>0.013779216369216425</v>
      </c>
      <c r="G98" s="70">
        <f>IF(OR(3007940.19782="",481.04754="",636.3605=""),"-",(481.04754-636.3605)/3007940.19782*100)</f>
        <v>-0.005163432441661001</v>
      </c>
    </row>
    <row r="99" spans="1:7" ht="15.75">
      <c r="A99" s="22" t="s">
        <v>157</v>
      </c>
      <c r="B99" s="36">
        <f>IF(472.45919="","-",472.45919)</f>
        <v>472.45919</v>
      </c>
      <c r="C99" s="70" t="s">
        <v>159</v>
      </c>
      <c r="D99" s="70">
        <f>IF(285.63783="","-",285.63783/3007940.19782*100)</f>
        <v>0.009496127290263801</v>
      </c>
      <c r="E99" s="70">
        <f>IF(472.45919="","-",472.45919/3707625.63971*100)</f>
        <v>0.012742904379012612</v>
      </c>
      <c r="F99" s="70">
        <f>IF(OR(2533522.81179="",163.62183="",285.63783=""),"-",(285.63783-163.62183)/2533522.81179*100)</f>
        <v>0.004816060839562463</v>
      </c>
      <c r="G99" s="70">
        <f>IF(OR(3007940.19782="",472.45919="",285.63783=""),"-",(472.45919-285.63783)/3007940.19782*100)</f>
        <v>0.006210939969331785</v>
      </c>
    </row>
    <row r="100" spans="1:7" ht="15.75">
      <c r="A100" s="22" t="s">
        <v>287</v>
      </c>
      <c r="B100" s="36">
        <f>IF(411.05289="","-",411.05289)</f>
        <v>411.05289</v>
      </c>
      <c r="C100" s="70">
        <f>IF(OR(579.63207="",411.05289=""),"-",411.05289/579.63207*100)</f>
        <v>70.91617446218945</v>
      </c>
      <c r="D100" s="70">
        <f>IF(579.63207="","-",579.63207/3007940.19782*100)</f>
        <v>0.019270066287224972</v>
      </c>
      <c r="E100" s="70">
        <f>IF(411.05289="","-",411.05289/3707625.63971*100)</f>
        <v>0.011086688084079368</v>
      </c>
      <c r="F100" s="70">
        <f>IF(OR(2533522.81179="",770.47359="",579.63207=""),"-",(579.63207-770.47359)/2533522.81179*100)</f>
        <v>-0.0075326544964150295</v>
      </c>
      <c r="G100" s="70">
        <f>IF(OR(3007940.19782="",411.05289="",579.63207=""),"-",(411.05289-579.63207)/3007940.19782*100)</f>
        <v>-0.005604472459996962</v>
      </c>
    </row>
    <row r="101" spans="1:7" ht="15.75">
      <c r="A101" s="22" t="s">
        <v>230</v>
      </c>
      <c r="B101" s="36">
        <f>IF(392.17804="","-",392.17804)</f>
        <v>392.17804</v>
      </c>
      <c r="C101" s="70">
        <f>IF(OR(452.00982="",392.17804=""),"-",392.17804/452.00982*100)</f>
        <v>86.76316810993178</v>
      </c>
      <c r="D101" s="70">
        <f>IF(452.00982="","-",452.00982/3007940.19782*100)</f>
        <v>0.015027220964286239</v>
      </c>
      <c r="E101" s="70">
        <f>IF(392.17804="","-",392.17804/3707625.63971*100)</f>
        <v>0.010577606212440452</v>
      </c>
      <c r="F101" s="70">
        <f>IF(OR(2533522.81179="",371.24805="",452.00982=""),"-",(452.00982-371.24805)/2533522.81179*100)</f>
        <v>0.0031877261820642423</v>
      </c>
      <c r="G101" s="70">
        <f>IF(OR(3007940.19782="",392.17804="",452.00982=""),"-",(392.17804-452.00982)/3007940.19782*100)</f>
        <v>-0.0019891279767916587</v>
      </c>
    </row>
    <row r="102" spans="1:7" ht="15.75">
      <c r="A102" s="22" t="s">
        <v>107</v>
      </c>
      <c r="B102" s="36">
        <f>IF(387.82032="","-",387.82032)</f>
        <v>387.82032</v>
      </c>
      <c r="C102" s="70">
        <f>IF(OR(472.13211="",387.82032=""),"-",387.82032/472.13211*100)</f>
        <v>82.14233088276922</v>
      </c>
      <c r="D102" s="70">
        <f>IF(472.13211="","-",472.13211/3007940.19782*100)</f>
        <v>0.01569619337319861</v>
      </c>
      <c r="E102" s="70">
        <f>IF(387.82032="","-",387.82032/3707625.63971*100)</f>
        <v>0.010460072231843079</v>
      </c>
      <c r="F102" s="70">
        <f>IF(OR(2533522.81179="",883.68974="",472.13211=""),"-",(472.13211-883.68974)/2533522.81179*100)</f>
        <v>-0.0162444809292727</v>
      </c>
      <c r="G102" s="70">
        <f>IF(OR(3007940.19782="",387.82032="",472.13211=""),"-",(387.82032-472.13211)/3007940.19782*100)</f>
        <v>-0.0028029742765865117</v>
      </c>
    </row>
    <row r="103" spans="1:7" ht="15.75">
      <c r="A103" s="22" t="s">
        <v>288</v>
      </c>
      <c r="B103" s="36">
        <f>IF(314.62829="","-",314.62829)</f>
        <v>314.62829</v>
      </c>
      <c r="C103" s="70" t="s">
        <v>294</v>
      </c>
      <c r="D103" s="70">
        <f>IF(34.10485="","-",34.10485/3007940.19782*100)</f>
        <v>0.0011338273953956078</v>
      </c>
      <c r="E103" s="70">
        <f>IF(314.62829="","-",314.62829/3707625.63971*100)</f>
        <v>0.008485977835254408</v>
      </c>
      <c r="F103" s="70">
        <f>IF(OR(2533522.81179="",18.46659="",34.10485=""),"-",(34.10485-18.46659)/2533522.81179*100)</f>
        <v>0.000617253569899817</v>
      </c>
      <c r="G103" s="70">
        <f>IF(OR(3007940.19782="",314.62829="",34.10485=""),"-",(314.62829-34.10485)/3007940.19782*100)</f>
        <v>0.009326097646599122</v>
      </c>
    </row>
    <row r="104" spans="1:7" ht="15.75">
      <c r="A104" s="22" t="s">
        <v>111</v>
      </c>
      <c r="B104" s="36">
        <f>IF(239.60847="","-",239.60847)</f>
        <v>239.60847</v>
      </c>
      <c r="C104" s="70" t="s">
        <v>196</v>
      </c>
      <c r="D104" s="70">
        <f>IF(89.79033="","-",89.79033/3007940.19782*100)</f>
        <v>0.002985110211468812</v>
      </c>
      <c r="E104" s="70">
        <f>IF(239.60847="","-",239.60847/3707625.63971*100)</f>
        <v>0.006462585311572651</v>
      </c>
      <c r="F104" s="70">
        <f>IF(OR(2533522.81179="",52.64672="",89.79033=""),"-",(89.79033-52.64672)/2533522.81179*100)</f>
        <v>0.0014660854769946619</v>
      </c>
      <c r="G104" s="70">
        <f>IF(OR(3007940.19782="",239.60847="",89.79033=""),"-",(239.60847-89.79033)/3007940.19782*100)</f>
        <v>0.0049807552726141464</v>
      </c>
    </row>
    <row r="105" spans="1:7" ht="15.75">
      <c r="A105" s="22" t="s">
        <v>167</v>
      </c>
      <c r="B105" s="36">
        <f>IF(151.52212="","-",151.52212)</f>
        <v>151.52212</v>
      </c>
      <c r="C105" s="70" t="s">
        <v>295</v>
      </c>
      <c r="D105" s="70">
        <f>IF(33.41895="","-",33.41895/3007940.19782*100)</f>
        <v>0.0011110244154528184</v>
      </c>
      <c r="E105" s="70">
        <f>IF(151.52212="","-",151.52212/3707625.63971*100)</f>
        <v>0.004086769666741533</v>
      </c>
      <c r="F105" s="70">
        <f>IF(OR(2533522.81179="",8.72261="",33.41895=""),"-",(33.41895-8.72261)/2533522.81179*100)</f>
        <v>0.0009747826183002233</v>
      </c>
      <c r="G105" s="70">
        <f>IF(OR(3007940.19782="",151.52212="",33.41895=""),"-",(151.52212-33.41895)/3007940.19782*100)</f>
        <v>0.0039263802546870815</v>
      </c>
    </row>
    <row r="106" spans="1:7" ht="15.75">
      <c r="A106" s="22" t="s">
        <v>127</v>
      </c>
      <c r="B106" s="36">
        <f>IF(138.13696="","-",138.13696)</f>
        <v>138.13696</v>
      </c>
      <c r="C106" s="70">
        <f>IF(OR(380.89392="",138.13696=""),"-",138.13696/380.89392*100)</f>
        <v>36.266517459769375</v>
      </c>
      <c r="D106" s="70">
        <f>IF(380.89392="","-",380.89392/3007940.19782*100)</f>
        <v>0.012662948561146671</v>
      </c>
      <c r="E106" s="70">
        <f>IF(138.13696="","-",138.13696/3707625.63971*100)</f>
        <v>0.0037257526358784343</v>
      </c>
      <c r="F106" s="70">
        <f>IF(OR(2533522.81179="",769.08905="",380.89392=""),"-",(380.89392-769.08905)/2533522.81179*100)</f>
        <v>-0.015322345952185448</v>
      </c>
      <c r="G106" s="70">
        <f>IF(OR(3007940.19782="",138.13696="",380.89392=""),"-",(138.13696-380.89392)/3007940.19782*100)</f>
        <v>-0.008070538110296798</v>
      </c>
    </row>
    <row r="107" spans="1:7" ht="15.75">
      <c r="A107" s="22" t="s">
        <v>187</v>
      </c>
      <c r="B107" s="36">
        <f>IF(118.30146="","-",118.30146)</f>
        <v>118.30146</v>
      </c>
      <c r="C107" s="70" t="s">
        <v>19</v>
      </c>
      <c r="D107" s="70">
        <f>IF(58.34258="","-",58.34258/3007940.19782*100)</f>
        <v>0.0019396190137783887</v>
      </c>
      <c r="E107" s="70">
        <f>IF(118.30146="","-",118.30146/3707625.63971*100)</f>
        <v>0.0031907606510471003</v>
      </c>
      <c r="F107" s="70">
        <f>IF(OR(2533522.81179="",44.07383="",58.34258=""),"-",(58.34258-44.07383)/2533522.81179*100)</f>
        <v>0.0005631980076752792</v>
      </c>
      <c r="G107" s="70">
        <f>IF(OR(3007940.19782="",118.30146="",58.34258=""),"-",(118.30146-58.34258)/3007940.19782*100)</f>
        <v>0.0019933534597348416</v>
      </c>
    </row>
    <row r="108" spans="1:7" ht="15.75">
      <c r="A108" s="22" t="s">
        <v>170</v>
      </c>
      <c r="B108" s="36">
        <f>IF(99.90948="","-",99.90948)</f>
        <v>99.90948</v>
      </c>
      <c r="C108" s="70" t="s">
        <v>215</v>
      </c>
      <c r="D108" s="70">
        <f>IF(27.53915="","-",27.53915/3007940.19782*100)</f>
        <v>0.0009155484547185798</v>
      </c>
      <c r="E108" s="70">
        <f>IF(99.90948="","-",99.90948/3707625.63971*100)</f>
        <v>0.0026947024783174887</v>
      </c>
      <c r="F108" s="70">
        <f>IF(OR(2533522.81179="",14.63979="",27.53915=""),"-",(27.53915-14.63979)/2533522.81179*100)</f>
        <v>0.0005091471819385856</v>
      </c>
      <c r="G108" s="70">
        <f>IF(OR(3007940.19782="",99.90948="",27.53915=""),"-",(99.90948-27.53915)/3007940.19782*100)</f>
        <v>0.00240597635725771</v>
      </c>
    </row>
    <row r="109" spans="1:7" ht="15.75">
      <c r="A109" s="22" t="s">
        <v>195</v>
      </c>
      <c r="B109" s="36">
        <f>IF(92.09193="","-",92.09193)</f>
        <v>92.09193</v>
      </c>
      <c r="C109" s="70">
        <f>IF(OR(216.38946="",92.09193=""),"-",92.09193/216.38946*100)</f>
        <v>42.55841758651277</v>
      </c>
      <c r="D109" s="70">
        <f>IF(216.38946="","-",216.38946/3007940.19782*100)</f>
        <v>0.007193941560301895</v>
      </c>
      <c r="E109" s="70">
        <f>IF(92.09193="","-",92.09193/3707625.63971*100)</f>
        <v>0.002483851902782806</v>
      </c>
      <c r="F109" s="70">
        <f>IF(OR(2533522.81179="",121.76609="",216.38946=""),"-",(216.38946-121.76609)/2533522.81179*100)</f>
        <v>0.003734853681192873</v>
      </c>
      <c r="G109" s="70">
        <f>IF(OR(3007940.19782="",92.09193="",216.38946=""),"-",(92.09193-216.38946)/3007940.19782*100)</f>
        <v>-0.004132313870138923</v>
      </c>
    </row>
    <row r="110" spans="1:7" ht="15.75">
      <c r="A110" s="22" t="s">
        <v>211</v>
      </c>
      <c r="B110" s="36">
        <f>IF(80.34004="","-",80.34004)</f>
        <v>80.34004</v>
      </c>
      <c r="C110" s="70">
        <f>IF(OR(76.51369="",80.34004=""),"-",80.34004/76.51369*100)</f>
        <v>105.00086977898988</v>
      </c>
      <c r="D110" s="70">
        <f>IF(76.51369="","-",76.51369/3007940.19782*100)</f>
        <v>0.0025437237766712645</v>
      </c>
      <c r="E110" s="70">
        <f>IF(80.34004="","-",80.34004/3707625.63971*100)</f>
        <v>0.0021668865146343085</v>
      </c>
      <c r="F110" s="70">
        <f>IF(OR(2533522.81179="",37.57779="",76.51369=""),"-",(76.51369-37.57779)/2533522.81179*100)</f>
        <v>0.0015368284753075013</v>
      </c>
      <c r="G110" s="70">
        <f>IF(OR(3007940.19782="",80.34004="",76.51369=""),"-",(80.34004-76.51369)/3007940.19782*100)</f>
        <v>0.00012720831360853337</v>
      </c>
    </row>
    <row r="111" spans="1:7" ht="15.75">
      <c r="A111" s="22" t="s">
        <v>232</v>
      </c>
      <c r="B111" s="36">
        <f>IF(73.51023="","-",73.51023)</f>
        <v>73.51023</v>
      </c>
      <c r="C111" s="70" t="s">
        <v>217</v>
      </c>
      <c r="D111" s="70">
        <f>IF(44.8019="","-",44.8019/3007940.19782*100)</f>
        <v>0.0014894544789311342</v>
      </c>
      <c r="E111" s="70">
        <f>IF(73.51023="","-",73.51023/3707625.63971*100)</f>
        <v>0.0019826767085834958</v>
      </c>
      <c r="F111" s="70">
        <f>IF(OR(2533522.81179="",45.01995="",44.8019=""),"-",(44.8019-45.01995)/2533522.81179*100)</f>
        <v>-8.606593119480935E-06</v>
      </c>
      <c r="G111" s="70">
        <f>IF(OR(3007940.19782="",73.51023="",44.8019=""),"-",(73.51023-44.8019)/3007940.19782*100)</f>
        <v>0.0009544182434480021</v>
      </c>
    </row>
    <row r="112" spans="1:7" ht="15.75">
      <c r="A112" s="22" t="s">
        <v>233</v>
      </c>
      <c r="B112" s="36">
        <f>IF(70.54167="","-",70.54167)</f>
        <v>70.54167</v>
      </c>
      <c r="C112" s="70">
        <f>IF(OR(76.2305="",70.54167=""),"-",70.54167/76.2305*100)</f>
        <v>92.53733085838344</v>
      </c>
      <c r="D112" s="70">
        <f>IF(76.2305="","-",76.2305/3007940.19782*100)</f>
        <v>0.0025343090283260266</v>
      </c>
      <c r="E112" s="70">
        <f>IF(70.54167="","-",70.54167/3707625.63971*100)</f>
        <v>0.0019026103726458633</v>
      </c>
      <c r="F112" s="70">
        <f>IF(OR(2533522.81179="",62.61605="",76.2305=""),"-",(76.2305-62.61605)/2533522.81179*100)</f>
        <v>0.0005373723077070319</v>
      </c>
      <c r="G112" s="70">
        <f>IF(OR(3007940.19782="",70.54167="",76.2305=""),"-",(70.54167-76.2305)/3007940.19782*100)</f>
        <v>-0.0001891270978100888</v>
      </c>
    </row>
    <row r="113" spans="1:7" ht="15.75">
      <c r="A113" s="22" t="s">
        <v>212</v>
      </c>
      <c r="B113" s="36">
        <f>IF(70.16857="","-",70.16857)</f>
        <v>70.16857</v>
      </c>
      <c r="C113" s="70">
        <f>IF(OR(57.08404="",70.16857=""),"-",70.16857/57.08404*100)</f>
        <v>122.92152062117539</v>
      </c>
      <c r="D113" s="70">
        <f>IF(57.08404="","-",57.08404/3007940.19782*100)</f>
        <v>0.001897778421305436</v>
      </c>
      <c r="E113" s="70">
        <f>IF(70.16857="","-",70.16857/3707625.63971*100)</f>
        <v>0.0018925473286318193</v>
      </c>
      <c r="F113" s="70">
        <f>IF(OR(2533522.81179="",69.57702="",57.08404=""),"-",(57.08404-69.57702)/2533522.81179*100)</f>
        <v>-0.0004931070658556015</v>
      </c>
      <c r="G113" s="70">
        <f>IF(OR(3007940.19782="",70.16857="",57.08404=""),"-",(70.16857-57.08404)/3007940.19782*100)</f>
        <v>0.00043499967218374203</v>
      </c>
    </row>
    <row r="114" spans="1:7" ht="15.75">
      <c r="A114" s="22" t="s">
        <v>289</v>
      </c>
      <c r="B114" s="36">
        <f>IF(60.6802="","-",60.6802)</f>
        <v>60.6802</v>
      </c>
      <c r="C114" s="70" t="s">
        <v>217</v>
      </c>
      <c r="D114" s="70">
        <f>IF(37.97437="","-",37.97437/3007940.19782*100)</f>
        <v>0.0012624709104097837</v>
      </c>
      <c r="E114" s="70">
        <f>IF(60.6802="","-",60.6802/3707625.63971*100)</f>
        <v>0.0016366323328356916</v>
      </c>
      <c r="F114" s="70">
        <f>IF(OR(2533522.81179="",45.22953="",37.97437=""),"-",(37.97437-45.22953)/2533522.81179*100)</f>
        <v>-0.0002863664762060712</v>
      </c>
      <c r="G114" s="70">
        <f>IF(OR(3007940.19782="",60.6802="",37.97437=""),"-",(60.6802-37.97437)/3007940.19782*100)</f>
        <v>0.0007548630792745154</v>
      </c>
    </row>
    <row r="115" spans="1:7" ht="18.75" customHeight="1">
      <c r="A115" s="22" t="s">
        <v>163</v>
      </c>
      <c r="B115" s="36">
        <f>IF(56.53527="","-",56.53527)</f>
        <v>56.53527</v>
      </c>
      <c r="C115" s="70">
        <f>IF(OR(63.43256="",56.53527=""),"-",56.53527/63.43256*100)</f>
        <v>89.12657789627282</v>
      </c>
      <c r="D115" s="70">
        <f>IF(63.43256="","-",63.43256/3007940.19782*100)</f>
        <v>0.002108837138649653</v>
      </c>
      <c r="E115" s="70">
        <f>IF(56.53527="","-",56.53527/3707625.63971*100)</f>
        <v>0.0015248376048133604</v>
      </c>
      <c r="F115" s="70">
        <f>IF(OR(2533522.81179="",163.49492="",63.43256=""),"-",(63.43256-163.49492)/2533522.81179*100)</f>
        <v>-0.003949534598005192</v>
      </c>
      <c r="G115" s="70">
        <f>IF(OR(3007940.19782="",56.53527="",63.43256=""),"-",(56.53527-63.43256)/3007940.19782*100)</f>
        <v>-0.00022930276356553916</v>
      </c>
    </row>
    <row r="116" spans="1:7" ht="13.5" customHeight="1">
      <c r="A116" s="50" t="s">
        <v>162</v>
      </c>
      <c r="B116" s="43">
        <f>IF(56.38749="","-",56.38749)</f>
        <v>56.38749</v>
      </c>
      <c r="C116" s="71" t="s">
        <v>168</v>
      </c>
      <c r="D116" s="71">
        <f>IF(19.23759="","-",19.23759/3007940.19782*100)</f>
        <v>0.0006395602550191129</v>
      </c>
      <c r="E116" s="71">
        <f>IF(56.38749="","-",56.38749/3707625.63971*100)</f>
        <v>0.0015208517655091649</v>
      </c>
      <c r="F116" s="71">
        <f>IF(OR(2533522.81179="",15.34342="",19.23759=""),"-",(19.23759-15.34342)/2533522.81179*100)</f>
        <v>0.0001537057405553285</v>
      </c>
      <c r="G116" s="71">
        <f>IF(OR(3007940.19782="",56.38749="",19.23759=""),"-",(56.38749-19.23759)/3007940.19782*100)</f>
        <v>0.0012350611234533298</v>
      </c>
    </row>
    <row r="117" spans="1:7" ht="15.75">
      <c r="A117" s="39" t="s">
        <v>290</v>
      </c>
      <c r="B117" s="63">
        <f>IF(54.59364="","-",54.59364)</f>
        <v>54.59364</v>
      </c>
      <c r="C117" s="72">
        <f>IF(OR(43.23141="",54.59364=""),"-",54.59364/43.23141*100)</f>
        <v>126.28234887550511</v>
      </c>
      <c r="D117" s="72">
        <f>IF(43.23141="","-",43.23141/3007940.19782*100)</f>
        <v>0.0014372430020826842</v>
      </c>
      <c r="E117" s="72">
        <f>IF(54.59364="","-",54.59364/3707625.63971*100)</f>
        <v>0.0014724690490669431</v>
      </c>
      <c r="F117" s="72">
        <f>IF(OR(2533522.81179="",39.46442="",43.23141=""),"-",(43.23141-39.46442)/2533522.81179*100)</f>
        <v>0.00014868585285555502</v>
      </c>
      <c r="G117" s="72">
        <f>IF(OR(3007940.19782="",54.59364="",43.23141=""),"-",(54.59364-43.23141)/3007940.19782*100)</f>
        <v>0.0003777412199961543</v>
      </c>
    </row>
    <row r="118" ht="15.75">
      <c r="A118" s="37" t="s">
        <v>20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5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2.75390625" style="0" customWidth="1"/>
    <col min="2" max="3" width="13.875" style="0" customWidth="1"/>
    <col min="4" max="4" width="17.125" style="0" customWidth="1"/>
  </cols>
  <sheetData>
    <row r="1" spans="1:4" ht="15.75">
      <c r="A1" s="103" t="s">
        <v>202</v>
      </c>
      <c r="B1" s="103"/>
      <c r="C1" s="103"/>
      <c r="D1" s="103"/>
    </row>
    <row r="2" ht="15.75">
      <c r="A2" s="4"/>
    </row>
    <row r="3" spans="1:5" ht="21.75" customHeight="1">
      <c r="A3" s="104"/>
      <c r="B3" s="108" t="s">
        <v>266</v>
      </c>
      <c r="C3" s="109"/>
      <c r="D3" s="106" t="s">
        <v>270</v>
      </c>
      <c r="E3" s="1"/>
    </row>
    <row r="4" spans="1:5" ht="21" customHeight="1">
      <c r="A4" s="105"/>
      <c r="B4" s="26">
        <v>2017</v>
      </c>
      <c r="C4" s="25">
        <v>2018</v>
      </c>
      <c r="D4" s="107"/>
      <c r="E4" s="1"/>
    </row>
    <row r="5" spans="1:4" ht="17.25" customHeight="1">
      <c r="A5" s="51" t="s">
        <v>239</v>
      </c>
      <c r="B5" s="61">
        <f>IF(-1580276.51501="","-",-1580276.51501)</f>
        <v>-1580276.51501</v>
      </c>
      <c r="C5" s="61">
        <f>IF(-1954892.39225="","-",-1954892.39225)</f>
        <v>-1954892.39225</v>
      </c>
      <c r="D5" s="62">
        <f>IF(-1580276.51501="","-",-1954892.39225/-1580276.51501*100)</f>
        <v>123.70571692243553</v>
      </c>
    </row>
    <row r="6" spans="1:4" ht="15.75">
      <c r="A6" s="7" t="s">
        <v>21</v>
      </c>
      <c r="B6" s="47"/>
      <c r="C6" s="47"/>
      <c r="D6" s="57"/>
    </row>
    <row r="7" spans="1:4" ht="15.75">
      <c r="A7" s="31" t="s">
        <v>271</v>
      </c>
      <c r="B7" s="33">
        <f>IF(-583004.43841="","-",-583004.43841)</f>
        <v>-583004.43841</v>
      </c>
      <c r="C7" s="33">
        <f>IF(-660691.35976="","-",-660691.35976)</f>
        <v>-660691.35976</v>
      </c>
      <c r="D7" s="69">
        <f>IF(-583004.43841="","-",-660691.35976/-583004.43841*100)</f>
        <v>113.32527099825722</v>
      </c>
    </row>
    <row r="8" spans="1:4" ht="15.75">
      <c r="A8" s="22" t="s">
        <v>4</v>
      </c>
      <c r="B8" s="36">
        <f>IF(-148353.15746="","-",-148353.15746)</f>
        <v>-148353.15746</v>
      </c>
      <c r="C8" s="36">
        <f>IF(-169000.19477="","-",-169000.19477)</f>
        <v>-169000.19477</v>
      </c>
      <c r="D8" s="70">
        <f>IF(OR(-148353.15746="",-169000.19477="",-148353.15746=0),"-",-169000.19477/-148353.15746*100)</f>
        <v>113.91749098132071</v>
      </c>
    </row>
    <row r="9" spans="1:4" ht="15.75">
      <c r="A9" s="22" t="s">
        <v>89</v>
      </c>
      <c r="B9" s="36">
        <f>IF(-56622.506="","-",-56622.506)</f>
        <v>-56622.506</v>
      </c>
      <c r="C9" s="36">
        <f>IF(-72548.52654="","-",-72548.52654)</f>
        <v>-72548.52654</v>
      </c>
      <c r="D9" s="70">
        <f>IF(OR(-56622.506="",-72548.52654="",-56622.506=0),"-",-72548.52654/-56622.506*100)</f>
        <v>128.12666140209336</v>
      </c>
    </row>
    <row r="10" spans="1:4" ht="15.75">
      <c r="A10" s="22" t="s">
        <v>5</v>
      </c>
      <c r="B10" s="36">
        <f>IF(-52620.7101="","-",-52620.7101)</f>
        <v>-52620.7101</v>
      </c>
      <c r="C10" s="36">
        <f>IF(-68437.52571="","-",-68437.52571)</f>
        <v>-68437.52571</v>
      </c>
      <c r="D10" s="70">
        <f>IF(OR(-52620.7101="",-68437.52571="",-52620.7101=0),"-",-68437.52571/-52620.7101*100)</f>
        <v>130.0581569118734</v>
      </c>
    </row>
    <row r="11" spans="1:4" ht="15.75">
      <c r="A11" s="22" t="s">
        <v>221</v>
      </c>
      <c r="B11" s="36">
        <f>IF(-53329.36646="","-",-53329.36646)</f>
        <v>-53329.36646</v>
      </c>
      <c r="C11" s="36">
        <f>IF(-58514.55332="","-",-58514.55332)</f>
        <v>-58514.55332</v>
      </c>
      <c r="D11" s="70">
        <f>IF(OR(-53329.36646="",-58514.55332="",-53329.36646=0),"-",-58514.55332/-53329.36646*100)</f>
        <v>109.72294854447442</v>
      </c>
    </row>
    <row r="12" spans="1:4" ht="15.75">
      <c r="A12" s="22" t="s">
        <v>3</v>
      </c>
      <c r="B12" s="36">
        <f>IF(-84679.85969="","-",-84679.85969)</f>
        <v>-84679.85969</v>
      </c>
      <c r="C12" s="36">
        <f>IF(-56405.57286="","-",-56405.57286)</f>
        <v>-56405.57286</v>
      </c>
      <c r="D12" s="70">
        <f>IF(OR(-84679.85969="",-56405.57286="",-84679.85969=0),"-",-56405.57286/-84679.85969*100)</f>
        <v>66.61037591050831</v>
      </c>
    </row>
    <row r="13" spans="1:4" ht="15.75">
      <c r="A13" s="22" t="s">
        <v>219</v>
      </c>
      <c r="B13" s="36">
        <f>IF(-77243.84403="","-",-77243.84403)</f>
        <v>-77243.84403</v>
      </c>
      <c r="C13" s="36">
        <f>IF(-52558.12357="","-",-52558.12357)</f>
        <v>-52558.12357</v>
      </c>
      <c r="D13" s="70">
        <f>IF(OR(-77243.84403="",-52558.12357="",-77243.84403=0),"-",-52558.12357/-77243.84403*100)</f>
        <v>68.04182809647259</v>
      </c>
    </row>
    <row r="14" spans="1:4" ht="15.75">
      <c r="A14" s="22" t="s">
        <v>7</v>
      </c>
      <c r="B14" s="36">
        <f>IF(-30416.01183="","-",-30416.01183)</f>
        <v>-30416.01183</v>
      </c>
      <c r="C14" s="36">
        <f>IF(-42769.12507="","-",-42769.12507)</f>
        <v>-42769.12507</v>
      </c>
      <c r="D14" s="70">
        <f>IF(OR(-30416.01183="",-42769.12507="",-30416.01183=0),"-",-42769.12507/-30416.01183*100)</f>
        <v>140.61384940617313</v>
      </c>
    </row>
    <row r="15" spans="1:4" ht="15.75">
      <c r="A15" s="22" t="s">
        <v>87</v>
      </c>
      <c r="B15" s="36">
        <f>IF(-24388.27473="","-",-24388.27473)</f>
        <v>-24388.27473</v>
      </c>
      <c r="C15" s="36">
        <f>IF(-32759.77419="","-",-32759.77419)</f>
        <v>-32759.77419</v>
      </c>
      <c r="D15" s="70">
        <f>IF(OR(-24388.27473="",-32759.77419="",-24388.27473=0),"-",-32759.77419/-24388.27473*100)</f>
        <v>134.32591912580935</v>
      </c>
    </row>
    <row r="16" spans="1:4" ht="15.75">
      <c r="A16" s="22" t="s">
        <v>222</v>
      </c>
      <c r="B16" s="36">
        <f>IF(-22498.539="","-",-22498.539)</f>
        <v>-22498.539</v>
      </c>
      <c r="C16" s="36">
        <f>IF(-27827.03046="","-",-27827.03046)</f>
        <v>-27827.03046</v>
      </c>
      <c r="D16" s="70">
        <f>IF(OR(-22498.539="",-27827.03046="",-22498.539=0),"-",-27827.03046/-22498.539*100)</f>
        <v>123.6837221296903</v>
      </c>
    </row>
    <row r="17" spans="1:4" ht="15.75">
      <c r="A17" s="22" t="s">
        <v>88</v>
      </c>
      <c r="B17" s="36">
        <f>IF(-15985.94271="","-",-15985.94271)</f>
        <v>-15985.94271</v>
      </c>
      <c r="C17" s="36">
        <f>IF(-21376.10041="","-",-21376.10041)</f>
        <v>-21376.10041</v>
      </c>
      <c r="D17" s="70">
        <f>IF(OR(-15985.94271="",-21376.10041="",-15985.94271=0),"-",-21376.10041/-15985.94271*100)</f>
        <v>133.71810970289658</v>
      </c>
    </row>
    <row r="18" spans="1:4" ht="15.75">
      <c r="A18" s="22" t="s">
        <v>97</v>
      </c>
      <c r="B18" s="36">
        <f>IF(-10914.30264="","-",-10914.30264)</f>
        <v>-10914.30264</v>
      </c>
      <c r="C18" s="36">
        <f>IF(-14918.90068="","-",-14918.90068)</f>
        <v>-14918.90068</v>
      </c>
      <c r="D18" s="70">
        <f>IF(OR(-10914.30264="",-14918.90068="",-10914.30264=0),"-",-14918.90068/-10914.30264*100)</f>
        <v>136.69128639812027</v>
      </c>
    </row>
    <row r="19" spans="1:4" ht="15.75">
      <c r="A19" s="22" t="s">
        <v>9</v>
      </c>
      <c r="B19" s="36">
        <f>IF(-15668.33292="","-",-15668.33292)</f>
        <v>-15668.33292</v>
      </c>
      <c r="C19" s="36">
        <f>IF(-14277.57581="","-",-14277.57581)</f>
        <v>-14277.57581</v>
      </c>
      <c r="D19" s="70">
        <f>IF(OR(-15668.33292="",-14277.57581="",-15668.33292=0),"-",-14277.57581/-15668.33292*100)</f>
        <v>91.12377100294599</v>
      </c>
    </row>
    <row r="20" spans="1:4" ht="15.75">
      <c r="A20" s="22" t="s">
        <v>99</v>
      </c>
      <c r="B20" s="36">
        <f>IF(-9664.21802="","-",-9664.21802)</f>
        <v>-9664.21802</v>
      </c>
      <c r="C20" s="36">
        <f>IF(-14152.45956="","-",-14152.45956)</f>
        <v>-14152.45956</v>
      </c>
      <c r="D20" s="70">
        <f>IF(OR(-9664.21802="",-14152.45956="",-9664.21802=0),"-",-14152.45956/-9664.21802*100)</f>
        <v>146.44184900125006</v>
      </c>
    </row>
    <row r="21" spans="1:4" ht="15.75">
      <c r="A21" s="22" t="s">
        <v>95</v>
      </c>
      <c r="B21" s="36">
        <f>IF(-8689.53458="","-",-8689.53458)</f>
        <v>-8689.53458</v>
      </c>
      <c r="C21" s="36">
        <f>IF(-9377.55642="","-",-9377.55642)</f>
        <v>-9377.55642</v>
      </c>
      <c r="D21" s="70">
        <f>IF(OR(-8689.53458="",-9377.55642="",-8689.53458=0),"-",-9377.55642/-8689.53458*100)</f>
        <v>107.91782153193297</v>
      </c>
    </row>
    <row r="22" spans="1:6" ht="15.75">
      <c r="A22" s="22" t="s">
        <v>96</v>
      </c>
      <c r="B22" s="36">
        <f>IF(-8410.02777="","-",-8410.02777)</f>
        <v>-8410.02777</v>
      </c>
      <c r="C22" s="36">
        <f>IF(-8717.51237="","-",-8717.51237)</f>
        <v>-8717.51237</v>
      </c>
      <c r="D22" s="70">
        <f>IF(OR(-8410.02777="",-8717.51237="",-8410.02777=0),"-",-8717.51237/-8410.02777*100)</f>
        <v>103.65616628635699</v>
      </c>
      <c r="F22" t="s">
        <v>164</v>
      </c>
    </row>
    <row r="23" spans="1:4" ht="15.75">
      <c r="A23" s="22" t="s">
        <v>6</v>
      </c>
      <c r="B23" s="36">
        <f>IF(6239.53282="","-",6239.53282)</f>
        <v>6239.53282</v>
      </c>
      <c r="C23" s="36">
        <f>IF(-7649.86301="","-",-7649.86301)</f>
        <v>-7649.86301</v>
      </c>
      <c r="D23" s="70" t="s">
        <v>22</v>
      </c>
    </row>
    <row r="24" spans="1:4" ht="15.75">
      <c r="A24" s="22" t="s">
        <v>91</v>
      </c>
      <c r="B24" s="36">
        <f>IF(-8610.64788="","-",-8610.64788)</f>
        <v>-8610.64788</v>
      </c>
      <c r="C24" s="36">
        <f>IF(-6526.74365="","-",-6526.74365)</f>
        <v>-6526.74365</v>
      </c>
      <c r="D24" s="70">
        <f>IF(OR(-8610.64788="",-6526.74365="",-8610.64788=0),"-",-6526.74365/-8610.64788*100)</f>
        <v>75.79851993669028</v>
      </c>
    </row>
    <row r="25" spans="1:4" ht="15.75">
      <c r="A25" s="22" t="s">
        <v>100</v>
      </c>
      <c r="B25" s="36">
        <f>IF(-3923.11008="","-",-3923.11008)</f>
        <v>-3923.11008</v>
      </c>
      <c r="C25" s="36">
        <f>IF(-4137.62949="","-",-4137.62949)</f>
        <v>-4137.62949</v>
      </c>
      <c r="D25" s="70">
        <f>IF(OR(-3923.11008="",-4137.62949="",-3923.11008=0),"-",-4137.62949/-3923.11008*100)</f>
        <v>105.46809560847194</v>
      </c>
    </row>
    <row r="26" spans="1:4" ht="15.75">
      <c r="A26" s="22" t="s">
        <v>92</v>
      </c>
      <c r="B26" s="36">
        <f>IF(-1842.55604="","-",-1842.55604)</f>
        <v>-1842.55604</v>
      </c>
      <c r="C26" s="36">
        <f>IF(-3403.08453="","-",-3403.08453)</f>
        <v>-3403.08453</v>
      </c>
      <c r="D26" s="70" t="s">
        <v>158</v>
      </c>
    </row>
    <row r="27" spans="1:4" ht="15.75">
      <c r="A27" s="22" t="s">
        <v>98</v>
      </c>
      <c r="B27" s="36">
        <f>IF(-7959.22685="","-",-7959.22685)</f>
        <v>-7959.22685</v>
      </c>
      <c r="C27" s="36">
        <f>IF(-1862.4432="","-",-1862.4432)</f>
        <v>-1862.4432</v>
      </c>
      <c r="D27" s="70">
        <f>IF(OR(-7959.22685="",-1862.4432="",-7959.22685=0),"-",-1862.4432/-7959.22685*100)</f>
        <v>23.39980044669791</v>
      </c>
    </row>
    <row r="28" spans="1:4" ht="15.75">
      <c r="A28" s="22" t="s">
        <v>90</v>
      </c>
      <c r="B28" s="36">
        <f>IF(-2041.34974="","-",-2041.34974)</f>
        <v>-2041.34974</v>
      </c>
      <c r="C28" s="36">
        <f>IF(-1831.78476="","-",-1831.78476)</f>
        <v>-1831.78476</v>
      </c>
      <c r="D28" s="70">
        <f>IF(OR(-2041.34974="",-1831.78476="",-2041.34974=0),"-",-1831.78476/-2041.34974*100)</f>
        <v>89.73399923131251</v>
      </c>
    </row>
    <row r="29" spans="1:4" ht="15.75">
      <c r="A29" s="22" t="s">
        <v>223</v>
      </c>
      <c r="B29" s="36">
        <f>IF(-1093.04926="","-",-1093.04926)</f>
        <v>-1093.04926</v>
      </c>
      <c r="C29" s="36">
        <f>IF(-1817.56889="","-",-1817.56889)</f>
        <v>-1817.56889</v>
      </c>
      <c r="D29" s="70" t="s">
        <v>159</v>
      </c>
    </row>
    <row r="30" spans="1:4" ht="15.75">
      <c r="A30" s="22" t="s">
        <v>93</v>
      </c>
      <c r="B30" s="36">
        <f>IF(-1057.14199="","-",-1057.14199)</f>
        <v>-1057.14199</v>
      </c>
      <c r="C30" s="36">
        <f>IF(-997.86725="","-",-997.86725)</f>
        <v>-997.86725</v>
      </c>
      <c r="D30" s="70">
        <f>IF(OR(-1057.14199="",-997.86725="",-1057.14199=0),"-",-997.86725/-1057.14199*100)</f>
        <v>94.3929254006834</v>
      </c>
    </row>
    <row r="31" spans="1:4" ht="15.75">
      <c r="A31" s="22" t="s">
        <v>101</v>
      </c>
      <c r="B31" s="36">
        <f>IF(-1693.81527="","-",-1693.81527)</f>
        <v>-1693.81527</v>
      </c>
      <c r="C31" s="36">
        <f>IF(-631.14894="","-",-631.14894)</f>
        <v>-631.14894</v>
      </c>
      <c r="D31" s="70">
        <f>IF(OR(-1693.81527="",-631.14894="",-1693.81527=0),"-",-631.14894/-1693.81527*100)</f>
        <v>37.2619701320794</v>
      </c>
    </row>
    <row r="32" spans="1:4" ht="15.75">
      <c r="A32" s="22" t="s">
        <v>102</v>
      </c>
      <c r="B32" s="36">
        <f>IF(-205.31731="","-",-205.31731)</f>
        <v>-205.31731</v>
      </c>
      <c r="C32" s="36">
        <f>IF(511.89023="","-",511.89023)</f>
        <v>511.89023</v>
      </c>
      <c r="D32" s="70" t="s">
        <v>22</v>
      </c>
    </row>
    <row r="33" spans="1:4" ht="15.75">
      <c r="A33" s="22" t="s">
        <v>94</v>
      </c>
      <c r="B33" s="36">
        <f>IF(5081.15269="","-",5081.15269)</f>
        <v>5081.15269</v>
      </c>
      <c r="C33" s="36">
        <f>IF(5231.17046="","-",5231.17046)</f>
        <v>5231.17046</v>
      </c>
      <c r="D33" s="70">
        <f>IF(OR(5081.15269="",5231.17046="",5081.15269=0),"-",5231.17046/5081.15269*100)</f>
        <v>102.95243577889804</v>
      </c>
    </row>
    <row r="34" spans="1:4" ht="15.75">
      <c r="A34" s="22" t="s">
        <v>8</v>
      </c>
      <c r="B34" s="36">
        <f>IF(4806.35577="","-",4806.35577)</f>
        <v>4806.35577</v>
      </c>
      <c r="C34" s="36">
        <f>IF(7375.02718="","-",7375.02718)</f>
        <v>7375.02718</v>
      </c>
      <c r="D34" s="70">
        <f>IF(OR(4806.35577="",7375.02718="",4806.35577=0),"-",7375.02718/4806.35577*100)</f>
        <v>153.4432225353139</v>
      </c>
    </row>
    <row r="35" spans="1:4" ht="15.75">
      <c r="A35" s="22" t="s">
        <v>220</v>
      </c>
      <c r="B35" s="36">
        <f>IF(48779.36267="","-",48779.36267)</f>
        <v>48779.36267</v>
      </c>
      <c r="C35" s="36">
        <f>IF(18689.21783="","-",18689.21783)</f>
        <v>18689.21783</v>
      </c>
      <c r="D35" s="70">
        <f>IF(OR(48779.36267="",18689.21783="",48779.36267=0),"-",18689.21783/48779.36267*100)</f>
        <v>38.31378026899506</v>
      </c>
    </row>
    <row r="36" spans="1:4" ht="15.75">
      <c r="A36" s="31" t="s">
        <v>296</v>
      </c>
      <c r="B36" s="33">
        <f>IF(-444637.09693="","-",-444637.09693)</f>
        <v>-444637.09693</v>
      </c>
      <c r="C36" s="33">
        <f>IF(-612328.98051="","-",-612328.98051)</f>
        <v>-612328.98051</v>
      </c>
      <c r="D36" s="69">
        <f>IF(-444637.09693="","-",-612328.98051/-444637.09693*100)</f>
        <v>137.7143258486145</v>
      </c>
    </row>
    <row r="37" spans="1:4" ht="15.75">
      <c r="A37" s="22" t="s">
        <v>11</v>
      </c>
      <c r="B37" s="36">
        <f>IF(-278282.07079="","-",-278282.07079)</f>
        <v>-278282.07079</v>
      </c>
      <c r="C37" s="36">
        <f>IF(-310707.97282="","-",-310707.97282)</f>
        <v>-310707.97282</v>
      </c>
      <c r="D37" s="70">
        <f>IF(OR(-278282.07079="",-310707.97282="",-278282.07079=0),"-",-310707.97282/-278282.07079*100)</f>
        <v>111.65217074098517</v>
      </c>
    </row>
    <row r="38" spans="1:4" ht="15.75">
      <c r="A38" s="22" t="s">
        <v>225</v>
      </c>
      <c r="B38" s="36">
        <f>IF(-181010.622="","-",-181010.622)</f>
        <v>-181010.622</v>
      </c>
      <c r="C38" s="36">
        <f>IF(-289640.64865="","-",-289640.64865)</f>
        <v>-289640.64865</v>
      </c>
      <c r="D38" s="70" t="s">
        <v>217</v>
      </c>
    </row>
    <row r="39" spans="1:4" ht="15.75">
      <c r="A39" s="22" t="s">
        <v>10</v>
      </c>
      <c r="B39" s="36">
        <f>IF(91.21458="","-",91.21458)</f>
        <v>91.21458</v>
      </c>
      <c r="C39" s="36">
        <f>IF(-12283.19856="","-",-12283.19856)</f>
        <v>-12283.19856</v>
      </c>
      <c r="D39" s="70" t="s">
        <v>22</v>
      </c>
    </row>
    <row r="40" spans="1:4" ht="15.75">
      <c r="A40" s="22" t="s">
        <v>15</v>
      </c>
      <c r="B40" s="36">
        <f>IF(462.90708="","-",462.90708)</f>
        <v>462.90708</v>
      </c>
      <c r="C40" s="36">
        <f>IF(-10734.72109="","-",-10734.72109)</f>
        <v>-10734.72109</v>
      </c>
      <c r="D40" s="70" t="s">
        <v>22</v>
      </c>
    </row>
    <row r="41" spans="1:4" ht="15.75">
      <c r="A41" s="22" t="s">
        <v>14</v>
      </c>
      <c r="B41" s="36">
        <f>IF(1166.873="","-",1166.873)</f>
        <v>1166.873</v>
      </c>
      <c r="C41" s="36">
        <f>IF(-486.73866="","-",-486.73866)</f>
        <v>-486.73866</v>
      </c>
      <c r="D41" s="70" t="s">
        <v>22</v>
      </c>
    </row>
    <row r="42" spans="1:4" ht="15.75">
      <c r="A42" s="22" t="s">
        <v>17</v>
      </c>
      <c r="B42" s="36">
        <f>IF(294.17517="","-",294.17517)</f>
        <v>294.17517</v>
      </c>
      <c r="C42" s="36">
        <f>IF(254.36944="","-",254.36944)</f>
        <v>254.36944</v>
      </c>
      <c r="D42" s="70">
        <f>IF(OR(294.17517="",254.36944="",294.17517=0),"-",254.36944/294.17517*100)</f>
        <v>86.46869822493856</v>
      </c>
    </row>
    <row r="43" spans="1:4" ht="15.75">
      <c r="A43" s="22" t="s">
        <v>226</v>
      </c>
      <c r="B43" s="36">
        <f>IF(544.8609="","-",544.8609)</f>
        <v>544.8609</v>
      </c>
      <c r="C43" s="36">
        <f>IF(540.93451="","-",540.93451)</f>
        <v>540.93451</v>
      </c>
      <c r="D43" s="70">
        <f>IF(OR(544.8609="",540.93451="",544.8609=0),"-",540.93451/544.8609*100)</f>
        <v>99.27937754388323</v>
      </c>
    </row>
    <row r="44" spans="1:4" ht="15.75">
      <c r="A44" s="22" t="s">
        <v>16</v>
      </c>
      <c r="B44" s="36">
        <f>IF(255.47928="","-",255.47928)</f>
        <v>255.47928</v>
      </c>
      <c r="C44" s="36">
        <f>IF(583.36467="","-",583.36467)</f>
        <v>583.36467</v>
      </c>
      <c r="D44" s="70" t="s">
        <v>169</v>
      </c>
    </row>
    <row r="45" spans="1:4" ht="15.75">
      <c r="A45" s="22" t="s">
        <v>13</v>
      </c>
      <c r="B45" s="36">
        <f>IF(3069.66496="","-",3069.66496)</f>
        <v>3069.66496</v>
      </c>
      <c r="C45" s="36">
        <f>IF(2321.48845="","-",2321.48845)</f>
        <v>2321.48845</v>
      </c>
      <c r="D45" s="70">
        <f>IF(OR(3069.66496="",2321.48845="",3069.66496=0),"-",2321.48845/3069.66496*100)</f>
        <v>75.62676970453478</v>
      </c>
    </row>
    <row r="46" spans="1:4" ht="15.75">
      <c r="A46" s="22" t="s">
        <v>12</v>
      </c>
      <c r="B46" s="36">
        <f>IF(8770.42089="","-",8770.42089)</f>
        <v>8770.42089</v>
      </c>
      <c r="C46" s="36">
        <f>IF(7824.1422="","-",7824.1422)</f>
        <v>7824.1422</v>
      </c>
      <c r="D46" s="70">
        <f>IF(OR(8770.42089="",7824.1422="",8770.42089=0),"-",7824.1422/8770.42089*100)</f>
        <v>89.21056695147958</v>
      </c>
    </row>
    <row r="47" spans="1:4" ht="15.75">
      <c r="A47" s="31" t="s">
        <v>297</v>
      </c>
      <c r="B47" s="33">
        <f>IF(-552634.97967="","-",-552634.97967)</f>
        <v>-552634.97967</v>
      </c>
      <c r="C47" s="33">
        <f>IF(-681872.05198="","-",-681872.05198)</f>
        <v>-681872.05198</v>
      </c>
      <c r="D47" s="69">
        <f>IF(-552634.97967="","-",-681872.05198/-552634.97967*100)</f>
        <v>123.385612034036</v>
      </c>
    </row>
    <row r="48" spans="1:4" ht="15.75">
      <c r="A48" s="22" t="s">
        <v>106</v>
      </c>
      <c r="B48" s="36">
        <f>IF(-296441.08612="","-",-296441.08612)</f>
        <v>-296441.08612</v>
      </c>
      <c r="C48" s="36">
        <f>IF(-375435.27322="","-",-375435.27322)</f>
        <v>-375435.27322</v>
      </c>
      <c r="D48" s="70">
        <f>IF(OR(-296441.08612="",-375435.27322="",-296441.08612=0),"-",-375435.27322/-296441.08612*100)</f>
        <v>126.64751642018439</v>
      </c>
    </row>
    <row r="49" spans="1:4" ht="15.75">
      <c r="A49" s="22" t="s">
        <v>103</v>
      </c>
      <c r="B49" s="36">
        <f>IF(-135052.29837="","-",-135052.29837)</f>
        <v>-135052.29837</v>
      </c>
      <c r="C49" s="36">
        <f>IF(-156048.68762="","-",-156048.68762)</f>
        <v>-156048.68762</v>
      </c>
      <c r="D49" s="70">
        <f>IF(OR(-135052.29837="",-156048.68762="",-135052.29837=0),"-",-156048.68762/-135052.29837*100)</f>
        <v>115.54685814563233</v>
      </c>
    </row>
    <row r="50" spans="1:4" ht="15.75">
      <c r="A50" s="22" t="s">
        <v>18</v>
      </c>
      <c r="B50" s="36">
        <f>IF(-38418.41778="","-",-38418.41778)</f>
        <v>-38418.41778</v>
      </c>
      <c r="C50" s="36">
        <f>IF(-38152.92509="","-",-38152.92509)</f>
        <v>-38152.92509</v>
      </c>
      <c r="D50" s="70">
        <f>IF(OR(-38418.41778="",-38152.92509="",-38418.41778=0),"-",-38152.92509/-38418.41778*100)</f>
        <v>99.30894423731782</v>
      </c>
    </row>
    <row r="51" spans="1:4" ht="15.75">
      <c r="A51" s="22" t="s">
        <v>124</v>
      </c>
      <c r="B51" s="36">
        <f>IF(-20100.39024="","-",-20100.39024)</f>
        <v>-20100.39024</v>
      </c>
      <c r="C51" s="36">
        <f>IF(-35303.5226="","-",-35303.5226)</f>
        <v>-35303.5226</v>
      </c>
      <c r="D51" s="70" t="s">
        <v>158</v>
      </c>
    </row>
    <row r="52" spans="1:4" ht="15.75">
      <c r="A52" s="22" t="s">
        <v>84</v>
      </c>
      <c r="B52" s="36">
        <f>IF(-16496.05032="","-",-16496.05032)</f>
        <v>-16496.05032</v>
      </c>
      <c r="C52" s="36">
        <f>IF(-24867.52708="","-",-24867.52708)</f>
        <v>-24867.52708</v>
      </c>
      <c r="D52" s="70">
        <f>IF(OR(-16496.05032="",-24867.52708="",-16496.05032=0),"-",-24867.52708/-16496.05032*100)</f>
        <v>150.74837065603714</v>
      </c>
    </row>
    <row r="53" spans="1:4" ht="15.75">
      <c r="A53" s="22" t="s">
        <v>120</v>
      </c>
      <c r="B53" s="36">
        <f>IF(-19591.3564699999="","-",-19591.3564699999)</f>
        <v>-19591.3564699999</v>
      </c>
      <c r="C53" s="36">
        <f>IF(-23159.9049="","-",-23159.9049)</f>
        <v>-23159.9049</v>
      </c>
      <c r="D53" s="70">
        <f>IF(OR(-19591.3564699999="",-23159.9049="",-19591.3564699999=0),"-",-23159.9049/-19591.3564699999*100)</f>
        <v>118.21491245623852</v>
      </c>
    </row>
    <row r="54" spans="1:4" ht="15.75">
      <c r="A54" s="22" t="s">
        <v>117</v>
      </c>
      <c r="B54" s="36">
        <f>IF(-17523.8176="","-",-17523.8176)</f>
        <v>-17523.8176</v>
      </c>
      <c r="C54" s="36">
        <f>IF(-19627.98001="","-",-19627.98001)</f>
        <v>-19627.98001</v>
      </c>
      <c r="D54" s="70">
        <f>IF(OR(-17523.8176="",-19627.98001="",-17523.8176=0),"-",-19627.98001/-17523.8176*100)</f>
        <v>112.00744300146106</v>
      </c>
    </row>
    <row r="55" spans="1:4" ht="15.75">
      <c r="A55" s="22" t="s">
        <v>118</v>
      </c>
      <c r="B55" s="36">
        <f>IF(-11076.7163="","-",-11076.7163)</f>
        <v>-11076.7163</v>
      </c>
      <c r="C55" s="36">
        <f>IF(-12593.93009="","-",-12593.93009)</f>
        <v>-12593.93009</v>
      </c>
      <c r="D55" s="70">
        <f>IF(OR(-11076.7163="",-12593.93009="",-11076.7163=0),"-",-12593.93009/-11076.7163*100)</f>
        <v>113.69732463040513</v>
      </c>
    </row>
    <row r="56" spans="1:4" ht="15.75">
      <c r="A56" s="22" t="s">
        <v>129</v>
      </c>
      <c r="B56" s="36">
        <f>IF(-8108.88464="","-",-8108.88464)</f>
        <v>-8108.88464</v>
      </c>
      <c r="C56" s="36">
        <f>IF(-9788.76453="","-",-9788.76453)</f>
        <v>-9788.76453</v>
      </c>
      <c r="D56" s="70">
        <f>IF(OR(-8108.88464="",-9788.76453="",-8108.88464=0),"-",-9788.76453/-8108.88464*100)</f>
        <v>120.71653457385972</v>
      </c>
    </row>
    <row r="57" spans="1:4" ht="15.75">
      <c r="A57" s="22" t="s">
        <v>109</v>
      </c>
      <c r="B57" s="36">
        <f>IF(-3905.67119="","-",-3905.67119)</f>
        <v>-3905.67119</v>
      </c>
      <c r="C57" s="36">
        <f>IF(-7796.07142="","-",-7796.07142)</f>
        <v>-7796.07142</v>
      </c>
      <c r="D57" s="70" t="s">
        <v>19</v>
      </c>
    </row>
    <row r="58" spans="1:4" ht="15.75">
      <c r="A58" s="22" t="s">
        <v>133</v>
      </c>
      <c r="B58" s="36">
        <f>IF(-3323.58683="","-",-3323.58683)</f>
        <v>-3323.58683</v>
      </c>
      <c r="C58" s="36">
        <f>IF(-7572.4083="","-",-7572.4083)</f>
        <v>-7572.4083</v>
      </c>
      <c r="D58" s="70" t="s">
        <v>169</v>
      </c>
    </row>
    <row r="59" spans="1:4" ht="15.75">
      <c r="A59" s="22" t="s">
        <v>119</v>
      </c>
      <c r="B59" s="36">
        <f>IF(-6011.50994="","-",-6011.50994)</f>
        <v>-6011.50994</v>
      </c>
      <c r="C59" s="36">
        <f>IF(-5838.66546="","-",-5838.66546)</f>
        <v>-5838.66546</v>
      </c>
      <c r="D59" s="70">
        <f>IF(OR(-6011.50994="",-5838.66546="",-6011.50994=0),"-",-5838.66546/-6011.50994*100)</f>
        <v>97.12477427925538</v>
      </c>
    </row>
    <row r="60" spans="1:4" ht="15.75">
      <c r="A60" s="22" t="s">
        <v>126</v>
      </c>
      <c r="B60" s="36">
        <f>IF(-4641.59226="","-",-4641.59226)</f>
        <v>-4641.59226</v>
      </c>
      <c r="C60" s="36">
        <f>IF(-4938.78569="","-",-4938.78569)</f>
        <v>-4938.78569</v>
      </c>
      <c r="D60" s="70">
        <f>IF(OR(-4641.59226="",-4938.78569="",-4641.59226=0),"-",-4938.78569/-4641.59226*100)</f>
        <v>106.40283362589025</v>
      </c>
    </row>
    <row r="61" spans="1:7" ht="15.75">
      <c r="A61" s="22" t="s">
        <v>132</v>
      </c>
      <c r="B61" s="36">
        <f>IF(-3877.40436="","-",-3877.40436)</f>
        <v>-3877.40436</v>
      </c>
      <c r="C61" s="36">
        <f>IF(-4885.0684="","-",-4885.0684)</f>
        <v>-4885.0684</v>
      </c>
      <c r="D61" s="70">
        <f>IF(OR(-3877.40436="",-4885.0684="",-3877.40436=0),"-",-4885.0684/-3877.40436*100)</f>
        <v>125.98810818895349</v>
      </c>
      <c r="E61" s="1"/>
      <c r="F61" s="1"/>
      <c r="G61" s="1"/>
    </row>
    <row r="62" spans="1:4" ht="15.75">
      <c r="A62" s="22" t="s">
        <v>110</v>
      </c>
      <c r="B62" s="36">
        <f>IF(-4861.06907="","-",-4861.06907)</f>
        <v>-4861.06907</v>
      </c>
      <c r="C62" s="36">
        <f>IF(-4309.85478="","-",-4309.85478)</f>
        <v>-4309.85478</v>
      </c>
      <c r="D62" s="70">
        <f>IF(OR(-4861.06907="",-4309.85478="",-4861.06907=0),"-",-4309.85478/-4861.06907*100)</f>
        <v>88.66063653771535</v>
      </c>
    </row>
    <row r="63" spans="1:4" ht="15.75">
      <c r="A63" s="22" t="s">
        <v>130</v>
      </c>
      <c r="B63" s="36">
        <f>IF(-4012.16399="","-",-4012.16399)</f>
        <v>-4012.16399</v>
      </c>
      <c r="C63" s="36">
        <f>IF(-4125.32391="","-",-4125.32391)</f>
        <v>-4125.32391</v>
      </c>
      <c r="D63" s="70">
        <f>IF(OR(-4012.16399="",-4125.32391="",-4012.16399=0),"-",-4125.32391/-4012.16399*100)</f>
        <v>102.8204211064663</v>
      </c>
    </row>
    <row r="64" spans="1:4" ht="15.75">
      <c r="A64" s="22" t="s">
        <v>134</v>
      </c>
      <c r="B64" s="36">
        <f>IF(-2494.17413="","-",-2494.17413)</f>
        <v>-2494.17413</v>
      </c>
      <c r="C64" s="36">
        <f>IF(-3576.68067="","-",-3576.68067)</f>
        <v>-3576.68067</v>
      </c>
      <c r="D64" s="70">
        <f>IF(OR(-2494.17413="",-3576.68067="",-2494.17413=0),"-",-3576.68067/-2494.17413*100)</f>
        <v>143.40140197027864</v>
      </c>
    </row>
    <row r="65" spans="1:4" ht="15.75">
      <c r="A65" s="22" t="s">
        <v>131</v>
      </c>
      <c r="B65" s="36">
        <f>IF(-3525.86582="","-",-3525.86582)</f>
        <v>-3525.86582</v>
      </c>
      <c r="C65" s="36">
        <f>IF(-3534.10433="","-",-3534.10433)</f>
        <v>-3534.10433</v>
      </c>
      <c r="D65" s="70">
        <f>IF(OR(-3525.86582="",-3534.10433="",-3525.86582=0),"-",-3534.10433/-3525.86582*100)</f>
        <v>100.23365920374134</v>
      </c>
    </row>
    <row r="66" spans="1:4" ht="15.75">
      <c r="A66" s="22" t="s">
        <v>114</v>
      </c>
      <c r="B66" s="36">
        <f>IF(-5506.91739="","-",-5506.91739)</f>
        <v>-5506.91739</v>
      </c>
      <c r="C66" s="36">
        <f>IF(-3352.31224="","-",-3352.31224)</f>
        <v>-3352.31224</v>
      </c>
      <c r="D66" s="70">
        <f>IF(OR(-5506.91739="",-3352.31224="",-5506.91739=0),"-",-3352.31224/-5506.91739*100)</f>
        <v>60.874569247896424</v>
      </c>
    </row>
    <row r="67" spans="1:4" ht="15.75">
      <c r="A67" s="22" t="s">
        <v>138</v>
      </c>
      <c r="B67" s="36">
        <f>IF(-1145.97189="","-",-1145.97189)</f>
        <v>-1145.97189</v>
      </c>
      <c r="C67" s="36">
        <f>IF(-3217.4794="","-",-3217.4794)</f>
        <v>-3217.4794</v>
      </c>
      <c r="D67" s="70" t="s">
        <v>218</v>
      </c>
    </row>
    <row r="68" spans="1:7" ht="15.75">
      <c r="A68" s="22" t="s">
        <v>122</v>
      </c>
      <c r="B68" s="36">
        <f>IF(-1631.09603="","-",-1631.09603)</f>
        <v>-1631.09603</v>
      </c>
      <c r="C68" s="36">
        <f>IF(-2896.05505="","-",-2896.05505)</f>
        <v>-2896.05505</v>
      </c>
      <c r="D68" s="70" t="s">
        <v>158</v>
      </c>
      <c r="E68" s="1"/>
      <c r="F68" s="1"/>
      <c r="G68" s="1"/>
    </row>
    <row r="69" spans="1:4" ht="15.75">
      <c r="A69" s="22" t="s">
        <v>116</v>
      </c>
      <c r="B69" s="36">
        <f>IF(-739.45284="","-",-739.45284)</f>
        <v>-739.45284</v>
      </c>
      <c r="C69" s="36">
        <f>IF(-2699.12715="","-",-2699.12715)</f>
        <v>-2699.12715</v>
      </c>
      <c r="D69" s="70" t="s">
        <v>171</v>
      </c>
    </row>
    <row r="70" spans="1:4" ht="15.75">
      <c r="A70" s="22" t="s">
        <v>135</v>
      </c>
      <c r="B70" s="36">
        <f>IF(-1819.82156="","-",-1819.82156)</f>
        <v>-1819.82156</v>
      </c>
      <c r="C70" s="36">
        <f>IF(-2540.75798="","-",-2540.75798)</f>
        <v>-2540.75798</v>
      </c>
      <c r="D70" s="70">
        <f>IF(OR(-1819.82156="",-2540.75798="",-1819.82156=0),"-",-2540.75798/-1819.82156*100)</f>
        <v>139.61577529612296</v>
      </c>
    </row>
    <row r="71" spans="1:4" ht="15.75">
      <c r="A71" s="22" t="s">
        <v>86</v>
      </c>
      <c r="B71" s="36">
        <f>IF(-1599.14595="","-",-1599.14595)</f>
        <v>-1599.14595</v>
      </c>
      <c r="C71" s="36">
        <f>IF(-2455.74531="","-",-2455.74531)</f>
        <v>-2455.74531</v>
      </c>
      <c r="D71" s="70">
        <f>IF(OR(-1599.14595="",-2455.74531="",-1599.14595=0),"-",-2455.74531/-1599.14595*100)</f>
        <v>153.56605255449008</v>
      </c>
    </row>
    <row r="72" spans="1:4" ht="15.75">
      <c r="A72" s="22" t="s">
        <v>108</v>
      </c>
      <c r="B72" s="36">
        <f>IF(-269.66361="","-",-269.66361)</f>
        <v>-269.66361</v>
      </c>
      <c r="C72" s="36">
        <f>IF(-2287.63106="","-",-2287.63106)</f>
        <v>-2287.63106</v>
      </c>
      <c r="D72" s="70" t="s">
        <v>298</v>
      </c>
    </row>
    <row r="73" spans="1:4" ht="15.75">
      <c r="A73" s="22" t="s">
        <v>112</v>
      </c>
      <c r="B73" s="36">
        <f>IF(-3206.33238="","-",-3206.33238)</f>
        <v>-3206.33238</v>
      </c>
      <c r="C73" s="36">
        <f>IF(-1930.08434="","-",-1930.08434)</f>
        <v>-1930.08434</v>
      </c>
      <c r="D73" s="70">
        <f>IF(OR(-3206.33238="",-1930.08434="",-3206.33238=0),"-",-1930.08434/-3206.33238*100)</f>
        <v>60.19601561083322</v>
      </c>
    </row>
    <row r="74" spans="1:4" ht="15.75">
      <c r="A74" s="22" t="s">
        <v>137</v>
      </c>
      <c r="B74" s="36">
        <f>IF(-2430.66609="","-",-2430.66609)</f>
        <v>-2430.66609</v>
      </c>
      <c r="C74" s="36">
        <f>IF(-1664.55491="","-",-1664.55491)</f>
        <v>-1664.55491</v>
      </c>
      <c r="D74" s="70">
        <f>IF(OR(-2430.66609="",-1664.55491="",-2430.66609=0),"-",-1664.55491/-2430.66609*100)</f>
        <v>68.4814305365983</v>
      </c>
    </row>
    <row r="75" spans="1:4" ht="15.75">
      <c r="A75" s="22" t="s">
        <v>115</v>
      </c>
      <c r="B75" s="36">
        <f>IF(361.40501="","-",361.40501)</f>
        <v>361.40501</v>
      </c>
      <c r="C75" s="36">
        <f>IF(-1277.97815="","-",-1277.97815)</f>
        <v>-1277.97815</v>
      </c>
      <c r="D75" s="70" t="s">
        <v>22</v>
      </c>
    </row>
    <row r="76" spans="1:7" ht="15.75">
      <c r="A76" s="22" t="s">
        <v>141</v>
      </c>
      <c r="B76" s="36">
        <f>IF(-1247.72247="","-",-1247.72247)</f>
        <v>-1247.72247</v>
      </c>
      <c r="C76" s="36">
        <f>IF(-1276.6844="","-",-1276.6844)</f>
        <v>-1276.6844</v>
      </c>
      <c r="D76" s="70">
        <f>IF(OR(-1247.72247="",-1276.6844="",-1247.72247=0),"-",-1276.6844/-1247.72247*100)</f>
        <v>102.32118365232294</v>
      </c>
      <c r="E76" s="16"/>
      <c r="F76" s="16"/>
      <c r="G76" s="16"/>
    </row>
    <row r="77" spans="1:4" ht="15.75">
      <c r="A77" s="22" t="s">
        <v>121</v>
      </c>
      <c r="B77" s="36">
        <f>IF(-1172.00735="","-",-1172.00735)</f>
        <v>-1172.00735</v>
      </c>
      <c r="C77" s="36">
        <f>IF(-1236.03067="","-",-1236.03067)</f>
        <v>-1236.03067</v>
      </c>
      <c r="D77" s="70">
        <f>IF(OR(-1172.00735="",-1236.03067="",-1172.00735=0),"-",-1236.03067/-1172.00735*100)</f>
        <v>105.46270635589443</v>
      </c>
    </row>
    <row r="78" spans="1:4" ht="15.75">
      <c r="A78" s="22" t="s">
        <v>136</v>
      </c>
      <c r="B78" s="36">
        <f>IF(-900.11822="","-",-900.11822)</f>
        <v>-900.11822</v>
      </c>
      <c r="C78" s="36">
        <f>IF(-1037.08116="","-",-1037.08116)</f>
        <v>-1037.08116</v>
      </c>
      <c r="D78" s="70">
        <f>IF(OR(-900.11822="",-1037.08116="",-900.11822=0),"-",-1037.08116/-900.11822*100)</f>
        <v>115.21610572442363</v>
      </c>
    </row>
    <row r="79" spans="1:4" ht="15.75">
      <c r="A79" s="22" t="s">
        <v>85</v>
      </c>
      <c r="B79" s="36">
        <f>IF(95.69878="","-",95.69878)</f>
        <v>95.69878</v>
      </c>
      <c r="C79" s="36">
        <f>IF(-981.67426="","-",-981.67426)</f>
        <v>-981.67426</v>
      </c>
      <c r="D79" s="70" t="s">
        <v>22</v>
      </c>
    </row>
    <row r="80" spans="1:4" ht="15.75">
      <c r="A80" s="22" t="s">
        <v>194</v>
      </c>
      <c r="B80" s="36">
        <f>IF(10636.661="","-",10636.661)</f>
        <v>10636.661</v>
      </c>
      <c r="C80" s="36">
        <f>IF(-975.74485="","-",-975.74485)</f>
        <v>-975.74485</v>
      </c>
      <c r="D80" s="70" t="s">
        <v>22</v>
      </c>
    </row>
    <row r="81" spans="1:4" ht="15.75">
      <c r="A81" s="22" t="s">
        <v>139</v>
      </c>
      <c r="B81" s="36">
        <f>IF(-687.99367="","-",-687.99367)</f>
        <v>-687.99367</v>
      </c>
      <c r="C81" s="36">
        <f>IF(-919.70882="","-",-919.70882)</f>
        <v>-919.70882</v>
      </c>
      <c r="D81" s="70">
        <f>IF(OR(-687.99367="",-919.70882="",-687.99367=0),"-",-919.70882/-687.99367*100)</f>
        <v>133.6798374903653</v>
      </c>
    </row>
    <row r="82" spans="1:4" ht="15.75">
      <c r="A82" s="22" t="s">
        <v>140</v>
      </c>
      <c r="B82" s="36">
        <f>IF(-362.81582="","-",-362.81582)</f>
        <v>-362.81582</v>
      </c>
      <c r="C82" s="36">
        <f>IF(-883.66294="","-",-883.66294)</f>
        <v>-883.66294</v>
      </c>
      <c r="D82" s="70" t="s">
        <v>254</v>
      </c>
    </row>
    <row r="83" spans="1:4" ht="15.75">
      <c r="A83" s="22" t="s">
        <v>142</v>
      </c>
      <c r="B83" s="36">
        <f>IF(-722.46861="","-",-722.46861)</f>
        <v>-722.46861</v>
      </c>
      <c r="C83" s="36">
        <f>IF(-826.19052="","-",-826.19052)</f>
        <v>-826.19052</v>
      </c>
      <c r="D83" s="70">
        <f>IF(OR(-722.46861="",-826.19052="",-722.46861=0),"-",-826.19052/-722.46861*100)</f>
        <v>114.35659744442046</v>
      </c>
    </row>
    <row r="84" spans="1:4" ht="15.75">
      <c r="A84" s="22" t="s">
        <v>148</v>
      </c>
      <c r="B84" s="36">
        <f>IF(-439.61138="","-",-439.61138)</f>
        <v>-439.61138</v>
      </c>
      <c r="C84" s="36">
        <f>IF(-818.35621="","-",-818.35621)</f>
        <v>-818.35621</v>
      </c>
      <c r="D84" s="70" t="s">
        <v>160</v>
      </c>
    </row>
    <row r="85" spans="1:4" ht="15.75">
      <c r="A85" s="22" t="s">
        <v>128</v>
      </c>
      <c r="B85" s="36">
        <f>IF(-465.53473="","-",-465.53473)</f>
        <v>-465.53473</v>
      </c>
      <c r="C85" s="36">
        <f>IF(-662.98541="","-",-662.98541)</f>
        <v>-662.98541</v>
      </c>
      <c r="D85" s="70">
        <f>IF(OR(-465.53473="",-662.98541="",-465.53473=0),"-",-662.98541/-465.53473*100)</f>
        <v>142.41373785367205</v>
      </c>
    </row>
    <row r="86" spans="1:4" ht="15.75">
      <c r="A86" s="22" t="s">
        <v>286</v>
      </c>
      <c r="B86" s="36">
        <f>IF(-465.67483="","-",-465.67483)</f>
        <v>-465.67483</v>
      </c>
      <c r="C86" s="36">
        <f>IF(-658.62223="","-",-658.62223)</f>
        <v>-658.62223</v>
      </c>
      <c r="D86" s="70">
        <f>IF(OR(-465.67483="",-658.62223="",-465.67483=0),"-",-658.62223/-465.67483*100)</f>
        <v>141.4339336313281</v>
      </c>
    </row>
    <row r="87" spans="1:4" ht="15.75">
      <c r="A87" s="22" t="s">
        <v>210</v>
      </c>
      <c r="B87" s="36" t="s">
        <v>213</v>
      </c>
      <c r="C87" s="36">
        <f>IF(-631.62479="","-",-631.62479)</f>
        <v>-631.62479</v>
      </c>
      <c r="D87" s="70" t="str">
        <f>IF(OR(0="",-631.62479="",0=0),"-",-631.62479/0*100)</f>
        <v>-</v>
      </c>
    </row>
    <row r="88" spans="1:4" ht="15.75">
      <c r="A88" s="22" t="s">
        <v>113</v>
      </c>
      <c r="B88" s="36">
        <f>IF(-577.87843="","-",-577.87843)</f>
        <v>-577.87843</v>
      </c>
      <c r="C88" s="36">
        <f>IF(-547.71089="","-",-547.71089)</f>
        <v>-547.71089</v>
      </c>
      <c r="D88" s="70">
        <f>IF(OR(-577.87843="",-547.71089="",-577.87843=0),"-",-547.71089/-577.87843*100)</f>
        <v>94.77960442302718</v>
      </c>
    </row>
    <row r="89" spans="1:4" ht="15.75">
      <c r="A89" s="22" t="s">
        <v>154</v>
      </c>
      <c r="B89" s="36">
        <f>IF(584.21124="","-",584.21124)</f>
        <v>584.21124</v>
      </c>
      <c r="C89" s="36">
        <f>IF(-542.89042="","-",-542.89042)</f>
        <v>-542.89042</v>
      </c>
      <c r="D89" s="70" t="s">
        <v>22</v>
      </c>
    </row>
    <row r="90" spans="1:4" ht="15.75">
      <c r="A90" s="22" t="s">
        <v>155</v>
      </c>
      <c r="B90" s="36">
        <f>IF(-63.5645="","-",-63.5645)</f>
        <v>-63.5645</v>
      </c>
      <c r="C90" s="36">
        <f>IF(-480.23286="","-",-480.23286)</f>
        <v>-480.23286</v>
      </c>
      <c r="D90" s="70" t="s">
        <v>281</v>
      </c>
    </row>
    <row r="91" spans="1:4" ht="15.75">
      <c r="A91" s="22" t="s">
        <v>149</v>
      </c>
      <c r="B91" s="36">
        <f>IF(-156.66925="","-",-156.66925)</f>
        <v>-156.66925</v>
      </c>
      <c r="C91" s="36">
        <f>IF(-441.9441="","-",-441.9441)</f>
        <v>-441.9441</v>
      </c>
      <c r="D91" s="70" t="s">
        <v>218</v>
      </c>
    </row>
    <row r="92" spans="1:4" ht="15.75">
      <c r="A92" s="22" t="s">
        <v>248</v>
      </c>
      <c r="B92" s="36">
        <f>IF(46.92506="","-",46.92506)</f>
        <v>46.92506</v>
      </c>
      <c r="C92" s="36">
        <f>IF(-429.27872="","-",-429.27872)</f>
        <v>-429.27872</v>
      </c>
      <c r="D92" s="70" t="s">
        <v>22</v>
      </c>
    </row>
    <row r="93" spans="1:4" ht="15.75">
      <c r="A93" s="22" t="s">
        <v>231</v>
      </c>
      <c r="B93" s="36">
        <f>IF(-579.63207="","-",-579.63207)</f>
        <v>-579.63207</v>
      </c>
      <c r="C93" s="36">
        <f>IF(-411.05289="","-",-411.05289)</f>
        <v>-411.05289</v>
      </c>
      <c r="D93" s="70">
        <f>IF(OR(-579.63207="",-411.05289="",-579.63207=0),"-",-411.05289/-579.63207*100)</f>
        <v>70.91617446218945</v>
      </c>
    </row>
    <row r="94" spans="1:4" ht="15.75">
      <c r="A94" s="22" t="s">
        <v>230</v>
      </c>
      <c r="B94" s="36">
        <f>IF(-451.84782="","-",-451.84782)</f>
        <v>-451.84782</v>
      </c>
      <c r="C94" s="36">
        <f>IF(-368.52804="","-",-368.52804)</f>
        <v>-368.52804</v>
      </c>
      <c r="D94" s="70">
        <f>IF(OR(-451.84782="",-368.52804="",-451.84782=0),"-",-368.52804/-451.84782*100)</f>
        <v>81.56021202005577</v>
      </c>
    </row>
    <row r="95" spans="1:4" ht="15.75">
      <c r="A95" s="22" t="s">
        <v>143</v>
      </c>
      <c r="B95" s="36">
        <f>IF(-329.2779="","-",-329.2779)</f>
        <v>-329.2779</v>
      </c>
      <c r="C95" s="36">
        <f>IF(-359.38964="","-",-359.38964)</f>
        <v>-359.38964</v>
      </c>
      <c r="D95" s="70">
        <f>IF(OR(-329.2779="",-359.38964="",-329.2779=0),"-",-359.38964/-329.2779*100)</f>
        <v>109.14478013860025</v>
      </c>
    </row>
    <row r="96" spans="1:7" ht="15.75">
      <c r="A96" s="22" t="s">
        <v>157</v>
      </c>
      <c r="B96" s="36">
        <f>IF(-224.47983="","-",-224.47983)</f>
        <v>-224.47983</v>
      </c>
      <c r="C96" s="36">
        <f>IF(-347.52483="","-",-347.52483)</f>
        <v>-347.52483</v>
      </c>
      <c r="D96" s="70">
        <f>IF(OR(-224.47983="",-347.52483="",-224.47983=0),"-",-347.52483/-224.47983*100)</f>
        <v>154.81338791106535</v>
      </c>
      <c r="E96" s="16"/>
      <c r="F96" s="16"/>
      <c r="G96" s="16"/>
    </row>
    <row r="97" spans="1:7" ht="15.75">
      <c r="A97" s="22" t="s">
        <v>288</v>
      </c>
      <c r="B97" s="36">
        <f>IF(-34.10485="","-",-34.10485)</f>
        <v>-34.10485</v>
      </c>
      <c r="C97" s="36">
        <f>IF(-314.62829="","-",-314.62829)</f>
        <v>-314.62829</v>
      </c>
      <c r="D97" s="70" t="s">
        <v>294</v>
      </c>
      <c r="E97" s="16"/>
      <c r="F97" s="16"/>
      <c r="G97" s="16"/>
    </row>
    <row r="98" spans="1:4" ht="15.75">
      <c r="A98" s="22" t="s">
        <v>170</v>
      </c>
      <c r="B98" s="36">
        <f>IF(-27.53915="","-",-27.53915)</f>
        <v>-27.53915</v>
      </c>
      <c r="C98" s="36">
        <f>IF(-99.90948="","-",-99.90948)</f>
        <v>-99.90948</v>
      </c>
      <c r="D98" s="70" t="s">
        <v>215</v>
      </c>
    </row>
    <row r="99" spans="1:4" ht="15.75">
      <c r="A99" s="22" t="s">
        <v>195</v>
      </c>
      <c r="B99" s="36">
        <f>IF(-216.38946="","-",-216.38946)</f>
        <v>-216.38946</v>
      </c>
      <c r="C99" s="36">
        <f>IF(-92.09193="","-",-92.09193)</f>
        <v>-92.09193</v>
      </c>
      <c r="D99" s="70">
        <f>IF(OR(-216.38946="",-92.09193="",-216.38946=0),"-",-92.09193/-216.38946*100)</f>
        <v>42.55841758651277</v>
      </c>
    </row>
    <row r="100" spans="1:7" ht="15.75">
      <c r="A100" s="22" t="s">
        <v>211</v>
      </c>
      <c r="B100" s="36">
        <f>IF(-76.51369="","-",-76.51369)</f>
        <v>-76.51369</v>
      </c>
      <c r="C100" s="36">
        <f>IF(-80.22854="","-",-80.22854)</f>
        <v>-80.22854</v>
      </c>
      <c r="D100" s="70">
        <f>IF(OR(-76.51369="",-80.22854="",-76.51369=0),"-",-80.22854/-76.51369*100)</f>
        <v>104.85514422321025</v>
      </c>
      <c r="E100" s="15"/>
      <c r="F100" s="15"/>
      <c r="G100" s="15"/>
    </row>
    <row r="101" spans="1:4" ht="15.75">
      <c r="A101" s="22" t="s">
        <v>232</v>
      </c>
      <c r="B101" s="36">
        <f>IF(-44.8019="","-",-44.8019)</f>
        <v>-44.8019</v>
      </c>
      <c r="C101" s="36">
        <f>IF(-73.51023="","-",-73.51023)</f>
        <v>-73.51023</v>
      </c>
      <c r="D101" s="70" t="s">
        <v>217</v>
      </c>
    </row>
    <row r="102" spans="1:7" ht="15.75">
      <c r="A102" s="22" t="s">
        <v>212</v>
      </c>
      <c r="B102" s="36">
        <f>IF(-57.08404="","-",-57.08404)</f>
        <v>-57.08404</v>
      </c>
      <c r="C102" s="36">
        <f>IF(-69.35982="","-",-69.35982)</f>
        <v>-69.35982</v>
      </c>
      <c r="D102" s="70">
        <f>IF(OR(-57.08404="",-69.35982="",-57.08404=0),"-",-69.35982/-57.08404*100)</f>
        <v>121.50474983900929</v>
      </c>
      <c r="E102" s="15"/>
      <c r="F102" s="15"/>
      <c r="G102" s="15"/>
    </row>
    <row r="103" spans="1:7" ht="15.75">
      <c r="A103" s="22" t="s">
        <v>233</v>
      </c>
      <c r="B103" s="36">
        <f>IF(-76.2305="","-",-76.2305)</f>
        <v>-76.2305</v>
      </c>
      <c r="C103" s="36">
        <f>IF(-60.74167="","-",-60.74167)</f>
        <v>-60.74167</v>
      </c>
      <c r="D103" s="70">
        <f>IF(OR(-76.2305="",-60.74167="",-76.2305=0),"-",-60.74167/-76.2305*100)</f>
        <v>79.68158414282996</v>
      </c>
      <c r="E103" s="1"/>
      <c r="F103" s="1"/>
      <c r="G103" s="1"/>
    </row>
    <row r="104" spans="1:4" ht="15.75">
      <c r="A104" s="22" t="s">
        <v>289</v>
      </c>
      <c r="B104" s="36">
        <f>IF(-37.97437="","-",-37.97437)</f>
        <v>-37.97437</v>
      </c>
      <c r="C104" s="36">
        <f>IF(-59.36901="","-",-59.36901)</f>
        <v>-59.36901</v>
      </c>
      <c r="D104" s="70" t="s">
        <v>217</v>
      </c>
    </row>
    <row r="105" spans="1:4" ht="15.75">
      <c r="A105" s="22" t="s">
        <v>290</v>
      </c>
      <c r="B105" s="36">
        <f>IF(-43.23141="","-",-43.23141)</f>
        <v>-43.23141</v>
      </c>
      <c r="C105" s="36">
        <f>IF(-54.59364="","-",-54.59364)</f>
        <v>-54.59364</v>
      </c>
      <c r="D105" s="70">
        <f>IF(OR(-43.23141="",-54.59364="",-43.23141=0),"-",-54.59364/-43.23141*100)</f>
        <v>126.28234887550511</v>
      </c>
    </row>
    <row r="106" spans="1:7" ht="15.75">
      <c r="A106" s="22" t="s">
        <v>192</v>
      </c>
      <c r="B106" s="36">
        <f>IF(45.28454="","-",45.28454)</f>
        <v>45.28454</v>
      </c>
      <c r="C106" s="36">
        <f>IF(48.96218="","-",48.96218)</f>
        <v>48.96218</v>
      </c>
      <c r="D106" s="70">
        <f>IF(OR(45.28454="",48.96218="",45.28454=0),"-",48.96218/45.28454*100)</f>
        <v>108.12118219595473</v>
      </c>
      <c r="E106" s="16"/>
      <c r="F106" s="16"/>
      <c r="G106" s="16"/>
    </row>
    <row r="107" spans="1:7" ht="15.75">
      <c r="A107" s="22" t="s">
        <v>251</v>
      </c>
      <c r="B107" s="36">
        <f>IF(55.12314="","-",55.12314)</f>
        <v>55.12314</v>
      </c>
      <c r="C107" s="36">
        <f>IF(55.6754="","-",55.6754)</f>
        <v>55.6754</v>
      </c>
      <c r="D107" s="70">
        <f>IF(OR(55.12314="",55.6754="",55.12314=0),"-",55.6754/55.12314*100)</f>
        <v>101.00186600400487</v>
      </c>
      <c r="E107" s="12"/>
      <c r="F107" s="12"/>
      <c r="G107" s="12"/>
    </row>
    <row r="108" spans="1:7" ht="15.75">
      <c r="A108" s="22" t="s">
        <v>165</v>
      </c>
      <c r="B108" s="36">
        <f>IF(1034.79823="","-",1034.79823)</f>
        <v>1034.79823</v>
      </c>
      <c r="C108" s="36">
        <f>IF(69.65623="","-",69.65623)</f>
        <v>69.65623</v>
      </c>
      <c r="D108" s="70">
        <f>IF(OR(1034.79823="",69.65623="",1034.79823=0),"-",69.65623/1034.79823*100)</f>
        <v>6.731382793339334</v>
      </c>
      <c r="E108" s="16"/>
      <c r="F108" s="16"/>
      <c r="G108" s="16"/>
    </row>
    <row r="109" spans="1:7" ht="15.75">
      <c r="A109" s="22" t="s">
        <v>199</v>
      </c>
      <c r="B109" s="36">
        <f>IF(11.42792="","-",11.42792)</f>
        <v>11.42792</v>
      </c>
      <c r="C109" s="36">
        <f>IF(77.69399="","-",77.69399)</f>
        <v>77.69399</v>
      </c>
      <c r="D109" s="70" t="s">
        <v>257</v>
      </c>
      <c r="E109" s="16"/>
      <c r="F109" s="16"/>
      <c r="G109" s="16"/>
    </row>
    <row r="110" spans="1:4" ht="15.75">
      <c r="A110" s="22" t="s">
        <v>206</v>
      </c>
      <c r="B110" s="36">
        <f>IF(345.50369="","-",345.50369)</f>
        <v>345.50369</v>
      </c>
      <c r="C110" s="36">
        <f>IF(95.43029="","-",95.43029)</f>
        <v>95.43029</v>
      </c>
      <c r="D110" s="70">
        <f>IF(OR(345.50369="",95.43029="",345.50369=0),"-",95.43029/345.50369*100)</f>
        <v>27.6206283064589</v>
      </c>
    </row>
    <row r="111" spans="1:4" ht="15.75">
      <c r="A111" s="22" t="s">
        <v>250</v>
      </c>
      <c r="B111" s="36">
        <f>IF(35.4703="","-",35.4703)</f>
        <v>35.4703</v>
      </c>
      <c r="C111" s="36">
        <f>IF(99.05="","-",99.05)</f>
        <v>99.05</v>
      </c>
      <c r="D111" s="70" t="s">
        <v>218</v>
      </c>
    </row>
    <row r="112" spans="1:4" ht="15.75">
      <c r="A112" s="22" t="s">
        <v>256</v>
      </c>
      <c r="B112" s="36">
        <f>IF(116.25016="","-",116.25016)</f>
        <v>116.25016</v>
      </c>
      <c r="C112" s="36">
        <f>IF(134.90109="","-",134.90109)</f>
        <v>134.90109</v>
      </c>
      <c r="D112" s="70">
        <f>IF(OR(116.25016="",134.90109="",116.25016=0),"-",134.90109/116.25016*100)</f>
        <v>116.04378867091454</v>
      </c>
    </row>
    <row r="113" spans="1:4" ht="15.75">
      <c r="A113" s="22" t="s">
        <v>273</v>
      </c>
      <c r="B113" s="36">
        <f>IF(374.52052="","-",374.52052)</f>
        <v>374.52052</v>
      </c>
      <c r="C113" s="36">
        <f>IF(203.26985="","-",203.26985)</f>
        <v>203.26985</v>
      </c>
      <c r="D113" s="70">
        <f>IF(OR(374.52052="",203.26985="",374.52052=0),"-",203.26985/374.52052*100)</f>
        <v>54.274689675214596</v>
      </c>
    </row>
    <row r="114" spans="1:4" ht="15.75">
      <c r="A114" s="22" t="s">
        <v>189</v>
      </c>
      <c r="B114" s="36">
        <f>IF(15.92876="","-",15.92876)</f>
        <v>15.92876</v>
      </c>
      <c r="C114" s="36">
        <f>IF(217.64513="","-",217.64513)</f>
        <v>217.64513</v>
      </c>
      <c r="D114" s="70" t="s">
        <v>299</v>
      </c>
    </row>
    <row r="115" spans="1:4" ht="15.75">
      <c r="A115" s="22" t="s">
        <v>163</v>
      </c>
      <c r="B115" s="36">
        <f>IF(124.10029="","-",124.10029)</f>
        <v>124.10029</v>
      </c>
      <c r="C115" s="36">
        <f>IF(249.37911="","-",249.37911)</f>
        <v>249.37911</v>
      </c>
      <c r="D115" s="70" t="s">
        <v>19</v>
      </c>
    </row>
    <row r="116" spans="1:4" ht="15.75">
      <c r="A116" s="22" t="s">
        <v>249</v>
      </c>
      <c r="B116" s="36">
        <f>IF(-1.41681="","-",-1.41681)</f>
        <v>-1.41681</v>
      </c>
      <c r="C116" s="36">
        <f>IF(284.25762="","-",284.25762)</f>
        <v>284.25762</v>
      </c>
      <c r="D116" s="70" t="s">
        <v>22</v>
      </c>
    </row>
    <row r="117" spans="1:4" ht="15.75">
      <c r="A117" s="22" t="s">
        <v>127</v>
      </c>
      <c r="B117" s="36">
        <f>IF(-18.79154="","-",-18.79154)</f>
        <v>-18.79154</v>
      </c>
      <c r="C117" s="36">
        <f>IF(298.80415="","-",298.80415)</f>
        <v>298.80415</v>
      </c>
      <c r="D117" s="70" t="s">
        <v>22</v>
      </c>
    </row>
    <row r="118" spans="1:4" ht="15.75">
      <c r="A118" s="22" t="s">
        <v>191</v>
      </c>
      <c r="B118" s="36" t="s">
        <v>213</v>
      </c>
      <c r="C118" s="36">
        <f>IF(326.76673="","-",326.76673)</f>
        <v>326.76673</v>
      </c>
      <c r="D118" s="70" t="str">
        <f>IF(OR(0="",326.76673="",0=0),"-",326.76673/0*100)</f>
        <v>-</v>
      </c>
    </row>
    <row r="119" spans="1:4" ht="15.75">
      <c r="A119" s="22" t="s">
        <v>188</v>
      </c>
      <c r="B119" s="36">
        <f>IF(151.76182="","-",151.76182)</f>
        <v>151.76182</v>
      </c>
      <c r="C119" s="36">
        <f>IF(337.26516="","-",337.26516)</f>
        <v>337.26516</v>
      </c>
      <c r="D119" s="70">
        <f>IF(OR(151.76182="",337.26516="",151.76182=0),"-",337.26516/151.76182*100)</f>
        <v>222.2332072717631</v>
      </c>
    </row>
    <row r="120" spans="1:4" ht="15.75">
      <c r="A120" s="22" t="s">
        <v>146</v>
      </c>
      <c r="B120" s="36">
        <f>IF(179.59211="","-",179.59211)</f>
        <v>179.59211</v>
      </c>
      <c r="C120" s="36">
        <f>IF(353.96889="","-",353.96889)</f>
        <v>353.96889</v>
      </c>
      <c r="D120" s="70">
        <f>IF(OR(179.59211="",353.96889="",179.59211=0),"-",353.96889/179.59211*100)</f>
        <v>197.09601385049712</v>
      </c>
    </row>
    <row r="121" spans="1:7" ht="15.75">
      <c r="A121" s="22" t="s">
        <v>174</v>
      </c>
      <c r="B121" s="36" t="s">
        <v>213</v>
      </c>
      <c r="C121" s="36">
        <f>IF(368.5925="","-",368.5925)</f>
        <v>368.5925</v>
      </c>
      <c r="D121" s="70" t="str">
        <f>IF(OR(0="",368.5925="",0=0),"-",368.5925/0*100)</f>
        <v>-</v>
      </c>
      <c r="E121" s="1"/>
      <c r="F121" s="1"/>
      <c r="G121" s="1"/>
    </row>
    <row r="122" spans="1:7" ht="15.75">
      <c r="A122" s="22" t="s">
        <v>167</v>
      </c>
      <c r="B122" s="36">
        <f>IF(141.9554="","-",141.9554)</f>
        <v>141.9554</v>
      </c>
      <c r="C122" s="36">
        <f>IF(394.05053="","-",394.05053)</f>
        <v>394.05053</v>
      </c>
      <c r="D122" s="70" t="s">
        <v>218</v>
      </c>
      <c r="E122" s="16"/>
      <c r="F122" s="16"/>
      <c r="G122" s="16"/>
    </row>
    <row r="123" spans="1:4" ht="15.75">
      <c r="A123" s="22" t="s">
        <v>198</v>
      </c>
      <c r="B123" s="36">
        <f>IF(0.53598="","-",0.53598)</f>
        <v>0.53598</v>
      </c>
      <c r="C123" s="36">
        <f>IF(485.57243="","-",485.57243)</f>
        <v>485.57243</v>
      </c>
      <c r="D123" s="70" t="s">
        <v>300</v>
      </c>
    </row>
    <row r="124" spans="1:4" ht="15.75">
      <c r="A124" s="22" t="s">
        <v>125</v>
      </c>
      <c r="B124" s="36">
        <f>IF(491.93756="","-",491.93756)</f>
        <v>491.93756</v>
      </c>
      <c r="C124" s="36">
        <f>IF(963.18942="","-",963.18942)</f>
        <v>963.18942</v>
      </c>
      <c r="D124" s="70" t="s">
        <v>19</v>
      </c>
    </row>
    <row r="125" spans="1:4" ht="15.75">
      <c r="A125" s="22" t="s">
        <v>162</v>
      </c>
      <c r="B125" s="36">
        <f>IF(1042.75007="","-",1042.75007)</f>
        <v>1042.75007</v>
      </c>
      <c r="C125" s="36">
        <f>IF(965.38917="","-",965.38917)</f>
        <v>965.38917</v>
      </c>
      <c r="D125" s="70">
        <f>IF(OR(1042.75007="",965.38917="",1042.75007=0),"-",965.38917/1042.75007*100)</f>
        <v>92.5810697859747</v>
      </c>
    </row>
    <row r="126" spans="1:4" ht="15.75">
      <c r="A126" s="22" t="s">
        <v>187</v>
      </c>
      <c r="B126" s="36">
        <f>IF(-58.34258="","-",-58.34258)</f>
        <v>-58.34258</v>
      </c>
      <c r="C126" s="36">
        <f>IF(1620.78206="","-",1620.78206)</f>
        <v>1620.78206</v>
      </c>
      <c r="D126" s="70" t="s">
        <v>22</v>
      </c>
    </row>
    <row r="127" spans="1:4" ht="15.75">
      <c r="A127" s="22" t="s">
        <v>111</v>
      </c>
      <c r="B127" s="36">
        <f>IF(1684.09957="","-",1684.09957)</f>
        <v>1684.09957</v>
      </c>
      <c r="C127" s="36">
        <f>IF(2196.06278="","-",2196.06278)</f>
        <v>2196.06278</v>
      </c>
      <c r="D127" s="70">
        <f>IF(OR(1684.09957="",2196.06278="",1684.09957=0),"-",2196.06278/1684.09957*100)</f>
        <v>130.3998183432824</v>
      </c>
    </row>
    <row r="128" spans="1:4" ht="15.75">
      <c r="A128" s="22" t="s">
        <v>190</v>
      </c>
      <c r="B128" s="36">
        <f>IF(3576.02664="","-",3576.02664)</f>
        <v>3576.02664</v>
      </c>
      <c r="C128" s="36">
        <f>IF(2268.91525="","-",2268.91525)</f>
        <v>2268.91525</v>
      </c>
      <c r="D128" s="70">
        <f>IF(OR(3576.02664="",2268.91525="",3576.02664=0),"-",2268.91525/3576.02664*100)</f>
        <v>63.447940365455445</v>
      </c>
    </row>
    <row r="129" spans="1:4" ht="15.75">
      <c r="A129" s="22" t="s">
        <v>228</v>
      </c>
      <c r="B129" s="36">
        <f>IF(2303.20986="","-",2303.20986)</f>
        <v>2303.20986</v>
      </c>
      <c r="C129" s="36">
        <f>IF(3953.7757="","-",3953.7757)</f>
        <v>3953.7757</v>
      </c>
      <c r="D129" s="70" t="s">
        <v>159</v>
      </c>
    </row>
    <row r="130" spans="1:4" ht="15.75">
      <c r="A130" s="22" t="s">
        <v>123</v>
      </c>
      <c r="B130" s="36">
        <f>IF(878.44341="","-",878.44341)</f>
        <v>878.44341</v>
      </c>
      <c r="C130" s="36">
        <f>IF(6705.10685="","-",6705.10685)</f>
        <v>6705.10685</v>
      </c>
      <c r="D130" s="70" t="s">
        <v>281</v>
      </c>
    </row>
    <row r="131" spans="1:4" ht="15.75">
      <c r="A131" s="22" t="s">
        <v>104</v>
      </c>
      <c r="B131" s="36">
        <f>IF(11524.97186="","-",11524.97186)</f>
        <v>11524.97186</v>
      </c>
      <c r="C131" s="36">
        <f>IF(9406.80035="","-",9406.80035)</f>
        <v>9406.80035</v>
      </c>
      <c r="D131" s="70">
        <f>IF(OR(11524.97186="",9406.80035="",11524.97186=0),"-",9406.80035/11524.97186*100)</f>
        <v>81.62102662175177</v>
      </c>
    </row>
    <row r="132" spans="1:4" ht="15.75">
      <c r="A132" s="22" t="s">
        <v>107</v>
      </c>
      <c r="B132" s="36">
        <f>IF(6048.13359="","-",6048.13359)</f>
        <v>6048.13359</v>
      </c>
      <c r="C132" s="36">
        <f>IF(11001.84143="","-",11001.84143)</f>
        <v>11001.84143</v>
      </c>
      <c r="D132" s="70" t="s">
        <v>158</v>
      </c>
    </row>
    <row r="133" spans="1:4" ht="15.75">
      <c r="A133" s="22" t="s">
        <v>105</v>
      </c>
      <c r="B133" s="36">
        <f>IF(10153.40773="","-",10153.40773)</f>
        <v>10153.40773</v>
      </c>
      <c r="C133" s="36">
        <f>IF(12013.18834="","-",12013.18834)</f>
        <v>12013.18834</v>
      </c>
      <c r="D133" s="70">
        <f>IF(OR(10153.40773="",12013.18834="",10153.40773=0),"-",12013.18834/10153.40773*100)</f>
        <v>118.31681204434406</v>
      </c>
    </row>
    <row r="134" spans="1:4" ht="15.75">
      <c r="A134" s="39" t="s">
        <v>227</v>
      </c>
      <c r="B134" s="63">
        <f>IF(-2315.13223="","-",-2315.13223)</f>
        <v>-2315.13223</v>
      </c>
      <c r="C134" s="63">
        <f>IF(14243.28823="","-",14243.28823)</f>
        <v>14243.28823</v>
      </c>
      <c r="D134" s="72" t="s">
        <v>22</v>
      </c>
    </row>
    <row r="135" ht="15.75">
      <c r="A135" s="37" t="s">
        <v>20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zoomScalePageLayoutView="0" workbookViewId="0" topLeftCell="A1">
      <selection activeCell="G24" sqref="G24"/>
    </sheetView>
  </sheetViews>
  <sheetFormatPr defaultColWidth="9.00390625" defaultRowHeight="15.75"/>
  <cols>
    <col min="1" max="1" width="32.625" style="0" customWidth="1"/>
    <col min="2" max="2" width="14.25390625" style="0" customWidth="1"/>
    <col min="3" max="3" width="14.75390625" style="0" customWidth="1"/>
    <col min="4" max="4" width="11.75390625" style="0" customWidth="1"/>
    <col min="5" max="5" width="11.50390625" style="0" customWidth="1"/>
    <col min="6" max="6" width="10.25390625" style="0" customWidth="1"/>
  </cols>
  <sheetData>
    <row r="1" spans="1:5" ht="15.75">
      <c r="A1" s="90" t="s">
        <v>247</v>
      </c>
      <c r="B1" s="90"/>
      <c r="C1" s="90"/>
      <c r="D1" s="90"/>
      <c r="E1" s="90"/>
    </row>
    <row r="2" spans="1:5" ht="15.75">
      <c r="A2" s="11"/>
      <c r="B2" s="11"/>
      <c r="C2" s="11"/>
      <c r="D2" s="11"/>
      <c r="E2" s="11"/>
    </row>
    <row r="3" spans="1:6" ht="19.5" customHeight="1">
      <c r="A3" s="91"/>
      <c r="B3" s="94" t="s">
        <v>268</v>
      </c>
      <c r="C3" s="95"/>
      <c r="D3" s="94" t="s">
        <v>166</v>
      </c>
      <c r="E3" s="110"/>
      <c r="F3" s="1"/>
    </row>
    <row r="4" spans="1:6" ht="21.75" customHeight="1">
      <c r="A4" s="92"/>
      <c r="B4" s="98" t="s">
        <v>197</v>
      </c>
      <c r="C4" s="100" t="s">
        <v>269</v>
      </c>
      <c r="D4" s="102" t="s">
        <v>265</v>
      </c>
      <c r="E4" s="94"/>
      <c r="F4" s="1"/>
    </row>
    <row r="5" spans="1:6" ht="20.25" customHeight="1">
      <c r="A5" s="93"/>
      <c r="B5" s="99"/>
      <c r="C5" s="101"/>
      <c r="D5" s="28">
        <v>2017</v>
      </c>
      <c r="E5" s="27">
        <v>2018</v>
      </c>
      <c r="F5" s="1"/>
    </row>
    <row r="6" spans="1:5" ht="15.75" customHeight="1">
      <c r="A6" s="52" t="s">
        <v>264</v>
      </c>
      <c r="B6" s="83">
        <f>IF(1752733.24746="","-",1752733.24746)</f>
        <v>1752733.24746</v>
      </c>
      <c r="C6" s="84">
        <f>IF(1427663.68281="","-",1752733.24746/1427663.68281*100)</f>
        <v>122.76933766432873</v>
      </c>
      <c r="D6" s="75">
        <v>100</v>
      </c>
      <c r="E6" s="75">
        <v>100</v>
      </c>
    </row>
    <row r="7" spans="1:5" ht="15.75" customHeight="1">
      <c r="A7" s="10" t="s">
        <v>214</v>
      </c>
      <c r="B7" s="76"/>
      <c r="C7" s="77"/>
      <c r="D7" s="33"/>
      <c r="E7" s="33"/>
    </row>
    <row r="8" spans="1:5" ht="15.75">
      <c r="A8" s="32" t="s">
        <v>177</v>
      </c>
      <c r="B8" s="85">
        <f>IF(121998.91973="","-",121998.91973)</f>
        <v>121998.91973</v>
      </c>
      <c r="C8" s="78">
        <v>112.05</v>
      </c>
      <c r="D8" s="85">
        <f>IF(108881.10514="","-",108881.10514/1427663.68281*100)</f>
        <v>7.626523420816778</v>
      </c>
      <c r="E8" s="85">
        <f>IF(121998.91973="","-",121998.91973/1752733.24746*100)</f>
        <v>6.960495552121042</v>
      </c>
    </row>
    <row r="9" spans="1:5" ht="15.75">
      <c r="A9" s="32" t="s">
        <v>178</v>
      </c>
      <c r="B9" s="85">
        <f>IF(65523.41849="","-",65523.41849)</f>
        <v>65523.41849</v>
      </c>
      <c r="C9" s="78" t="s">
        <v>158</v>
      </c>
      <c r="D9" s="85">
        <f>IF(35503.37081="","-",35503.37081/1427663.68281*100)</f>
        <v>2.4868161344638584</v>
      </c>
      <c r="E9" s="85">
        <f>IF(65523.41849="","-",65523.41849/1752733.24746*100)</f>
        <v>3.738356568802141</v>
      </c>
    </row>
    <row r="10" spans="1:5" ht="15.75">
      <c r="A10" s="32" t="s">
        <v>179</v>
      </c>
      <c r="B10" s="85">
        <f>IF(1528065.0432="","-",1528065.0432)</f>
        <v>1528065.0432</v>
      </c>
      <c r="C10" s="78">
        <v>122.86</v>
      </c>
      <c r="D10" s="85">
        <f>IF(1243706.68434="","-",1243706.68434/1427663.68281*100)</f>
        <v>87.11482258146916</v>
      </c>
      <c r="E10" s="85">
        <f>IF(1528065.0432="","-",1528065.0432/1752733.24746*100)</f>
        <v>87.18183702023218</v>
      </c>
    </row>
    <row r="11" spans="1:5" ht="15.75">
      <c r="A11" s="32" t="s">
        <v>180</v>
      </c>
      <c r="B11" s="85">
        <f>IF(36227.68437="","-",36227.68437)</f>
        <v>36227.68437</v>
      </c>
      <c r="C11" s="78">
        <v>94.12</v>
      </c>
      <c r="D11" s="85">
        <f>IF(38491.5386="","-",38491.5386/1427663.68281*100)</f>
        <v>2.6961208766086284</v>
      </c>
      <c r="E11" s="85">
        <f>IF(36227.68437="","-",36227.68437/1752733.24746*100)</f>
        <v>2.0669251537562774</v>
      </c>
    </row>
    <row r="12" spans="1:5" ht="15.75">
      <c r="A12" s="32" t="s">
        <v>181</v>
      </c>
      <c r="B12" s="85">
        <f>IF(890.65894="","-",890.65894)</f>
        <v>890.65894</v>
      </c>
      <c r="C12" s="78">
        <v>102.78</v>
      </c>
      <c r="D12" s="85">
        <f>IF(866.59751="","-",866.59751/1427663.68281*100)</f>
        <v>0.06070039606907412</v>
      </c>
      <c r="E12" s="85">
        <f>IF(890.65894="","-",890.65894/1752733.24746*100)</f>
        <v>0.05081543020255433</v>
      </c>
    </row>
    <row r="13" spans="1:5" ht="15.75">
      <c r="A13" s="32" t="s">
        <v>182</v>
      </c>
      <c r="B13" s="85">
        <f>IF(5.76426="","-",5.76426)</f>
        <v>5.76426</v>
      </c>
      <c r="C13" s="78">
        <v>124.41</v>
      </c>
      <c r="D13" s="85">
        <f>IF(4.63363="","-",4.63363/1427663.68281*100)</f>
        <v>0.00032456033278649036</v>
      </c>
      <c r="E13" s="85">
        <f>IF(5.76426="","-",5.76426/1752733.24746*100)</f>
        <v>0.00032887263411893197</v>
      </c>
    </row>
    <row r="14" spans="1:5" ht="15.75">
      <c r="A14" s="32" t="s">
        <v>183</v>
      </c>
      <c r="B14" s="85">
        <f>IF(21.75847="","-",21.75847)</f>
        <v>21.75847</v>
      </c>
      <c r="C14" s="78">
        <v>10.37</v>
      </c>
      <c r="D14" s="85">
        <f>IF(209.75278="","-",209.75278/1427663.68281*100)</f>
        <v>0.014692030239723822</v>
      </c>
      <c r="E14" s="85">
        <f>IF(21.75847="","-",21.75847/1752733.24746*100)</f>
        <v>0.0012414022516849964</v>
      </c>
    </row>
    <row r="15" spans="1:5" ht="15.75">
      <c r="A15" s="31" t="s">
        <v>245</v>
      </c>
      <c r="B15" s="76">
        <f>IF(1213823.27861="","-",1213823.27861)</f>
        <v>1213823.27861</v>
      </c>
      <c r="C15" s="86">
        <f>IF(915525.88776="","-",1213823.27861/915525.88776*100)</f>
        <v>132.58208149414963</v>
      </c>
      <c r="D15" s="86">
        <f>IF(915525.88776="","-",915525.88776/1427663.68281*100)</f>
        <v>64.12756020787862</v>
      </c>
      <c r="E15" s="86">
        <f>IF(1213823.27861="","-",1213823.27861/1752733.24746*100)</f>
        <v>69.25316675364208</v>
      </c>
    </row>
    <row r="16" spans="1:5" ht="15.75">
      <c r="A16" s="10" t="s">
        <v>214</v>
      </c>
      <c r="B16" s="76"/>
      <c r="C16" s="79"/>
      <c r="D16" s="76"/>
      <c r="E16" s="76"/>
    </row>
    <row r="17" spans="1:5" ht="15.75">
      <c r="A17" s="32" t="s">
        <v>177</v>
      </c>
      <c r="B17" s="85">
        <f>IF(73477.61778="","-",73477.61778)</f>
        <v>73477.61778</v>
      </c>
      <c r="C17" s="78">
        <v>126.05</v>
      </c>
      <c r="D17" s="85">
        <f>IF(58290.36443="","-",58290.36443/1427663.68281*100)</f>
        <v>4.082919887355399</v>
      </c>
      <c r="E17" s="85">
        <f>IF(73477.61778="","-",73477.61778/1752733.24746*100)</f>
        <v>4.1921734460438405</v>
      </c>
    </row>
    <row r="18" spans="1:5" ht="15.75">
      <c r="A18" s="32" t="s">
        <v>178</v>
      </c>
      <c r="B18" s="85">
        <f>IF(32372.96204="","-",32372.96204)</f>
        <v>32372.96204</v>
      </c>
      <c r="C18" s="78" t="s">
        <v>19</v>
      </c>
      <c r="D18" s="85">
        <f>IF(16037.74681="","-",16037.74681/1427663.68281*100)</f>
        <v>1.1233560819053472</v>
      </c>
      <c r="E18" s="85">
        <f>IF(32372.96204="","-",32372.96204/1752733.24746*100)</f>
        <v>1.8469987995557091</v>
      </c>
    </row>
    <row r="19" spans="1:5" ht="15.75">
      <c r="A19" s="32" t="s">
        <v>179</v>
      </c>
      <c r="B19" s="85">
        <f>IF(1100162.43663="","-",1100162.43663)</f>
        <v>1100162.43663</v>
      </c>
      <c r="C19" s="78">
        <v>131.26</v>
      </c>
      <c r="D19" s="85">
        <f>IF(838173.34537="","-",838173.34537/1427663.68281*100)</f>
        <v>58.70943944726987</v>
      </c>
      <c r="E19" s="85">
        <f>IF(1100162.43663="","-",1100162.43663/1752733.24746*100)</f>
        <v>62.7683897834606</v>
      </c>
    </row>
    <row r="20" spans="1:5" ht="15.75">
      <c r="A20" s="32" t="s">
        <v>180</v>
      </c>
      <c r="B20" s="85">
        <f>IF(7293.95079="","-",7293.95079)</f>
        <v>7293.95079</v>
      </c>
      <c r="C20" s="78" t="s">
        <v>168</v>
      </c>
      <c r="D20" s="85">
        <f>IF(2505.09084="","-",2505.09084/1427663.68281*100)</f>
        <v>0.17546785494111283</v>
      </c>
      <c r="E20" s="85">
        <f>IF(7293.95079="","-",7293.95079/1752733.24746*100)</f>
        <v>0.4161472260864646</v>
      </c>
    </row>
    <row r="21" spans="1:5" ht="15.75">
      <c r="A21" s="32" t="s">
        <v>181</v>
      </c>
      <c r="B21" s="85">
        <f>IF(497.02039="","-",497.02039)</f>
        <v>497.02039</v>
      </c>
      <c r="C21" s="80">
        <v>128.91</v>
      </c>
      <c r="D21" s="85">
        <f>IF(385.56998="","-",385.56998/1427663.68281*100)</f>
        <v>0.027007059480640545</v>
      </c>
      <c r="E21" s="85">
        <f>IF(497.02039="","-",497.02039/1752733.24746*100)</f>
        <v>0.02835687579500558</v>
      </c>
    </row>
    <row r="22" spans="1:5" ht="15.75">
      <c r="A22" s="32" t="s">
        <v>183</v>
      </c>
      <c r="B22" s="85">
        <f>IF(19.29098="","-",19.29098)</f>
        <v>19.29098</v>
      </c>
      <c r="C22" s="80">
        <v>14.42</v>
      </c>
      <c r="D22" s="85">
        <f>IF(133.77033="","-",133.77033/1427663.68281*100)</f>
        <v>0.009369876926245435</v>
      </c>
      <c r="E22" s="85">
        <f>IF(19.29098="","-",19.29098/1752733.24746*100)</f>
        <v>0.0011006227004568903</v>
      </c>
    </row>
    <row r="23" spans="1:5" ht="15.75">
      <c r="A23" s="31" t="s">
        <v>240</v>
      </c>
      <c r="B23" s="76">
        <f>IF(277413.05746="","-",277413.05746)</f>
        <v>277413.05746</v>
      </c>
      <c r="C23" s="86">
        <f>IF(297475.88074="","-",277413.05746/297475.88074*100)</f>
        <v>93.25564706957358</v>
      </c>
      <c r="D23" s="86">
        <f>IF(297475.88074="","-",297475.88074/1427663.68281*100)</f>
        <v>20.83655165581385</v>
      </c>
      <c r="E23" s="86">
        <f>IF(277413.05746="","-",277413.05746/1752733.24746*100)</f>
        <v>15.827454512089464</v>
      </c>
    </row>
    <row r="24" spans="1:5" ht="15.75">
      <c r="A24" s="32" t="s">
        <v>214</v>
      </c>
      <c r="B24" s="76"/>
      <c r="C24" s="79"/>
      <c r="D24" s="33"/>
      <c r="E24" s="79"/>
    </row>
    <row r="25" spans="1:11" ht="15.75">
      <c r="A25" s="32" t="s">
        <v>177</v>
      </c>
      <c r="B25" s="85">
        <f>IF(3412.82899="","-",3412.82899)</f>
        <v>3412.82899</v>
      </c>
      <c r="C25" s="78" t="s">
        <v>254</v>
      </c>
      <c r="D25" s="85">
        <f>IF(1451.68062="","-",1451.68062/1427663.68281*100)</f>
        <v>0.10168225454490296</v>
      </c>
      <c r="E25" s="85">
        <f>IF(3412.82899="","-",3412.82899/1752733.24746*100)</f>
        <v>0.19471468319242263</v>
      </c>
      <c r="K25" s="30"/>
    </row>
    <row r="26" spans="1:5" ht="15.75">
      <c r="A26" s="32" t="s">
        <v>178</v>
      </c>
      <c r="B26" s="85">
        <f>IF(12193.76154="","-",12193.76154)</f>
        <v>12193.76154</v>
      </c>
      <c r="C26" s="78">
        <v>107.47</v>
      </c>
      <c r="D26" s="85">
        <f>IF(11346.24013="","-",11346.24013/1427663.68281*100)</f>
        <v>0.7947418055537953</v>
      </c>
      <c r="E26" s="85">
        <f>IF(12193.76154="","-",12193.76154/1752733.24746*100)</f>
        <v>0.6956997910361302</v>
      </c>
    </row>
    <row r="27" spans="1:5" ht="15.75">
      <c r="A27" s="32" t="s">
        <v>179</v>
      </c>
      <c r="B27" s="85">
        <f>IF(252865.10619="","-",252865.10619)</f>
        <v>252865.10619</v>
      </c>
      <c r="C27" s="87">
        <v>92.05</v>
      </c>
      <c r="D27" s="85">
        <f>IF(274694.01686="","-",274694.01686/1427663.68281*100)</f>
        <v>19.24080721303587</v>
      </c>
      <c r="E27" s="85">
        <f>IF(252865.10619="","-",252865.10619/1752733.24746*100)</f>
        <v>14.42690190058546</v>
      </c>
    </row>
    <row r="28" spans="1:5" ht="15.75">
      <c r="A28" s="32" t="s">
        <v>180</v>
      </c>
      <c r="B28" s="85">
        <f>IF(8918.7278="","-",8918.7278)</f>
        <v>8918.7278</v>
      </c>
      <c r="C28" s="87">
        <v>91.24</v>
      </c>
      <c r="D28" s="85">
        <f>IF(9775.27936="","-",9775.27936/1427663.68281*100)</f>
        <v>0.6847046316090216</v>
      </c>
      <c r="E28" s="85">
        <f>IF(8918.7278="","-",8918.7278/1752733.24746*100)</f>
        <v>0.5088468432332593</v>
      </c>
    </row>
    <row r="29" spans="1:5" ht="15.75">
      <c r="A29" s="32" t="s">
        <v>181</v>
      </c>
      <c r="B29" s="85">
        <f>IF(14.40119="","-",14.40119)</f>
        <v>14.40119</v>
      </c>
      <c r="C29" s="87">
        <v>8.52</v>
      </c>
      <c r="D29" s="85">
        <f>IF(169.0189="","-",169.0189/1427663.68281*100)</f>
        <v>0.011838845663379798</v>
      </c>
      <c r="E29" s="85">
        <f>IF(14.40119="","-",14.40119/1752733.24746*100)</f>
        <v>0.0008216418568467109</v>
      </c>
    </row>
    <row r="30" spans="1:5" ht="15.75">
      <c r="A30" s="32" t="s">
        <v>182</v>
      </c>
      <c r="B30" s="85">
        <f>IF(5.76426="","-",5.76426)</f>
        <v>5.76426</v>
      </c>
      <c r="C30" s="87">
        <v>124.41</v>
      </c>
      <c r="D30" s="85">
        <f>IF(4.63363="","-",4.63363/1427663.68281*100)</f>
        <v>0.00032456033278649036</v>
      </c>
      <c r="E30" s="85">
        <f>IF(5.76426="","-",5.76426/1752733.24746*100)</f>
        <v>0.00032887263411893197</v>
      </c>
    </row>
    <row r="31" spans="1:5" ht="15.75">
      <c r="A31" s="32" t="s">
        <v>183</v>
      </c>
      <c r="B31" s="85">
        <f>IF(2.46749="","-",2.46749)</f>
        <v>2.46749</v>
      </c>
      <c r="C31" s="87">
        <v>7.06</v>
      </c>
      <c r="D31" s="85">
        <f>IF(35.01124="","-",35.01124/1427663.68281*100)</f>
        <v>0.002452345074092598</v>
      </c>
      <c r="E31" s="85">
        <f>IF(2.46749="","-",2.46749/1752733.24746*100)</f>
        <v>0.00014077955122810619</v>
      </c>
    </row>
    <row r="32" spans="1:5" ht="15.75">
      <c r="A32" s="31" t="s">
        <v>243</v>
      </c>
      <c r="B32" s="76">
        <f>IF(261496.91139="","-",261496.91139)</f>
        <v>261496.91139</v>
      </c>
      <c r="C32" s="86">
        <f>IF(214661.91431="","-",261496.91139/214661.91431*100)</f>
        <v>121.81802823781965</v>
      </c>
      <c r="D32" s="86">
        <f>IF(214661.91431="","-",214661.91431/1427663.68281*100)</f>
        <v>15.035888136307534</v>
      </c>
      <c r="E32" s="86">
        <f>IF(261496.91139="","-",261496.91139/1752733.24746*100)</f>
        <v>14.919378734268445</v>
      </c>
    </row>
    <row r="33" spans="1:5" ht="15.75">
      <c r="A33" s="32" t="s">
        <v>214</v>
      </c>
      <c r="B33" s="76"/>
      <c r="C33" s="79"/>
      <c r="D33" s="33"/>
      <c r="E33" s="76"/>
    </row>
    <row r="34" spans="1:5" ht="15.75">
      <c r="A34" s="32" t="s">
        <v>177</v>
      </c>
      <c r="B34" s="85">
        <f>IF(45108.47296="","-",45108.47296)</f>
        <v>45108.47296</v>
      </c>
      <c r="C34" s="78">
        <v>91.8</v>
      </c>
      <c r="D34" s="85">
        <f>IF(49139.06009="","-",49139.06009/1427663.68281*100)</f>
        <v>3.441921278916475</v>
      </c>
      <c r="E34" s="85">
        <f>IF(45108.47296="","-",45108.47296/1752733.24746*100)</f>
        <v>2.5736074228847787</v>
      </c>
    </row>
    <row r="35" spans="1:7" ht="15.75">
      <c r="A35" s="32" t="s">
        <v>178</v>
      </c>
      <c r="B35" s="85">
        <f>IF(20956.69491="","-",20956.69491)</f>
        <v>20956.69491</v>
      </c>
      <c r="C35" s="78" t="s">
        <v>153</v>
      </c>
      <c r="D35" s="85">
        <f>IF(8119.38387="","-",8119.38387/1427663.68281*100)</f>
        <v>0.568718247004716</v>
      </c>
      <c r="E35" s="85">
        <f>IF(20956.69491="","-",20956.69491/1752733.24746*100)</f>
        <v>1.1956579782103016</v>
      </c>
      <c r="F35" s="1"/>
      <c r="G35" s="1"/>
    </row>
    <row r="36" spans="1:7" ht="15.75">
      <c r="A36" s="32" t="s">
        <v>179</v>
      </c>
      <c r="B36" s="85">
        <f>IF(175037.50038="","-",175037.50038)</f>
        <v>175037.50038</v>
      </c>
      <c r="C36" s="78">
        <v>133.78</v>
      </c>
      <c r="D36" s="85">
        <f>IF(130839.32211="","-",130839.32211/1427663.68281*100)</f>
        <v>9.16457592116341</v>
      </c>
      <c r="E36" s="85">
        <f>IF(175037.50038="","-",175037.50038/1752733.24746*100)</f>
        <v>9.986545336186111</v>
      </c>
      <c r="F36" s="16"/>
      <c r="G36" s="16"/>
    </row>
    <row r="37" spans="1:5" ht="15.75">
      <c r="A37" s="32" t="s">
        <v>180</v>
      </c>
      <c r="B37" s="85">
        <f>IF(20015.00578="","-",20015.00578)</f>
        <v>20015.00578</v>
      </c>
      <c r="C37" s="78">
        <v>76.36</v>
      </c>
      <c r="D37" s="85">
        <f>IF(26211.1684="","-",26211.1684/1427663.68281*100)</f>
        <v>1.8359483900584939</v>
      </c>
      <c r="E37" s="85">
        <f>IF(20015.00578="","-",20015.00578/1752733.24746*100)</f>
        <v>1.1419310844365536</v>
      </c>
    </row>
    <row r="38" spans="1:5" ht="15.75">
      <c r="A38" s="41" t="s">
        <v>181</v>
      </c>
      <c r="B38" s="88">
        <f>IF(379.23736="","-",379.23736)</f>
        <v>379.23736</v>
      </c>
      <c r="C38" s="81">
        <v>121.55</v>
      </c>
      <c r="D38" s="88">
        <f>IF(312.00863="","-",312.00863/1427663.68281*100)</f>
        <v>0.021854490925053777</v>
      </c>
      <c r="E38" s="88">
        <f>IF(379.23736="","-",379.23736/1752733.24746*100)</f>
        <v>0.02163691255070203</v>
      </c>
    </row>
    <row r="39" ht="15.75">
      <c r="A39" s="42" t="s">
        <v>20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31.375" style="0" customWidth="1"/>
    <col min="2" max="2" width="14.00390625" style="0" customWidth="1"/>
    <col min="3" max="3" width="14.875" style="0" customWidth="1"/>
    <col min="4" max="5" width="11.875" style="0" customWidth="1"/>
    <col min="6" max="6" width="13.625" style="0" customWidth="1"/>
  </cols>
  <sheetData>
    <row r="1" spans="1:5" ht="15.75">
      <c r="A1" s="90" t="s">
        <v>246</v>
      </c>
      <c r="B1" s="90"/>
      <c r="C1" s="90"/>
      <c r="D1" s="90"/>
      <c r="E1" s="90"/>
    </row>
    <row r="2" spans="1:5" ht="15.75">
      <c r="A2" s="11"/>
      <c r="B2" s="11"/>
      <c r="C2" s="11"/>
      <c r="D2" s="11"/>
      <c r="E2" s="11"/>
    </row>
    <row r="3" spans="1:6" ht="19.5" customHeight="1">
      <c r="A3" s="91"/>
      <c r="B3" s="94" t="s">
        <v>268</v>
      </c>
      <c r="C3" s="95"/>
      <c r="D3" s="94" t="s">
        <v>166</v>
      </c>
      <c r="E3" s="110"/>
      <c r="F3" s="1"/>
    </row>
    <row r="4" spans="1:6" ht="21.75" customHeight="1">
      <c r="A4" s="92"/>
      <c r="B4" s="98" t="s">
        <v>197</v>
      </c>
      <c r="C4" s="100" t="s">
        <v>269</v>
      </c>
      <c r="D4" s="102" t="s">
        <v>265</v>
      </c>
      <c r="E4" s="94"/>
      <c r="F4" s="1"/>
    </row>
    <row r="5" spans="1:6" ht="20.25" customHeight="1">
      <c r="A5" s="93"/>
      <c r="B5" s="99"/>
      <c r="C5" s="101"/>
      <c r="D5" s="28">
        <v>2017</v>
      </c>
      <c r="E5" s="27">
        <v>2018</v>
      </c>
      <c r="F5" s="1"/>
    </row>
    <row r="6" spans="1:5" ht="16.5" customHeight="1">
      <c r="A6" s="52" t="s">
        <v>242</v>
      </c>
      <c r="B6" s="83">
        <f>IF(3707625.63971="","-",3707625.63971)</f>
        <v>3707625.63971</v>
      </c>
      <c r="C6" s="84">
        <f>IF(3007940.19782="","-",3707625.63971/3007940.19782*100)</f>
        <v>123.26128167033028</v>
      </c>
      <c r="D6" s="83">
        <v>100</v>
      </c>
      <c r="E6" s="83">
        <v>100</v>
      </c>
    </row>
    <row r="7" spans="1:5" ht="15.75" customHeight="1">
      <c r="A7" s="10" t="s">
        <v>214</v>
      </c>
      <c r="B7" s="55"/>
      <c r="C7" s="58"/>
      <c r="D7" s="56"/>
      <c r="E7" s="56"/>
    </row>
    <row r="8" spans="1:5" ht="15.75" customHeight="1">
      <c r="A8" s="32" t="s">
        <v>177</v>
      </c>
      <c r="B8" s="85">
        <f>IF(112107.18691="","-",112107.18691)</f>
        <v>112107.18691</v>
      </c>
      <c r="C8" s="82">
        <v>142.33</v>
      </c>
      <c r="D8" s="85">
        <f>IF(78763.71909="","-",78763.71909/3007940.19782*100)</f>
        <v>2.618526762835374</v>
      </c>
      <c r="E8" s="85">
        <f>IF(112107.18691="","-",112107.18691/3707625.63971*100)</f>
        <v>3.023692190206364</v>
      </c>
    </row>
    <row r="9" spans="1:5" ht="15.75" customHeight="1">
      <c r="A9" s="32" t="s">
        <v>178</v>
      </c>
      <c r="B9" s="85">
        <f>IF(206683.26777="","-",206683.26777)</f>
        <v>206683.26777</v>
      </c>
      <c r="C9" s="82">
        <v>121.37</v>
      </c>
      <c r="D9" s="85">
        <f>IF(170286.30927="","-",170286.30927/3007940.19782*100)</f>
        <v>5.661226556080296</v>
      </c>
      <c r="E9" s="85">
        <f>IF(206683.26777="","-",206683.26777/3707625.63971*100)</f>
        <v>5.574545217196367</v>
      </c>
    </row>
    <row r="10" spans="1:5" ht="15.75" customHeight="1">
      <c r="A10" s="32" t="s">
        <v>179</v>
      </c>
      <c r="B10" s="85">
        <f>IF(3094114.03846="","-",3094114.03846)</f>
        <v>3094114.03846</v>
      </c>
      <c r="C10" s="82">
        <v>123.22</v>
      </c>
      <c r="D10" s="85">
        <f>IF(2511081.25327="","-",2511081.25327/3007940.19782*100)</f>
        <v>83.48175456047639</v>
      </c>
      <c r="E10" s="85">
        <f>IF(3094114.03846="","-",3094114.03846/3707625.63971*100)</f>
        <v>83.45270906859984</v>
      </c>
    </row>
    <row r="11" spans="1:5" ht="15.75" customHeight="1">
      <c r="A11" s="32" t="s">
        <v>180</v>
      </c>
      <c r="B11" s="85">
        <f>IF(94291.10447="","-",94291.10447)</f>
        <v>94291.10447</v>
      </c>
      <c r="C11" s="82">
        <v>119.1</v>
      </c>
      <c r="D11" s="85">
        <f>IF(79170.9866="","-",79170.9866/3007940.19782*100)</f>
        <v>2.6320665104106475</v>
      </c>
      <c r="E11" s="85">
        <f>IF(94291.10447="","-",94291.10447/3707625.63971*100)</f>
        <v>2.54316680357662</v>
      </c>
    </row>
    <row r="12" spans="1:5" ht="15.75" customHeight="1">
      <c r="A12" s="32" t="s">
        <v>181</v>
      </c>
      <c r="B12" s="85">
        <f>IF(9091.96994="","-",9091.96994)</f>
        <v>9091.96994</v>
      </c>
      <c r="C12" s="82">
        <v>107.72</v>
      </c>
      <c r="D12" s="85">
        <f>IF(8440.59288="","-",8440.59288/3007940.19782*100)</f>
        <v>0.28061039531694504</v>
      </c>
      <c r="E12" s="85">
        <f>IF(9091.96994="","-",9091.96994/3707625.63971*100)</f>
        <v>0.24522351562740702</v>
      </c>
    </row>
    <row r="13" spans="1:5" ht="15.75" customHeight="1">
      <c r="A13" s="32" t="s">
        <v>182</v>
      </c>
      <c r="B13" s="85">
        <f>IF(167853.7449="","-",167853.7449)</f>
        <v>167853.7449</v>
      </c>
      <c r="C13" s="82">
        <v>117.89</v>
      </c>
      <c r="D13" s="85">
        <f>IF(142377.07658="","-",142377.07658/3007940.19782*100)</f>
        <v>4.733374575837232</v>
      </c>
      <c r="E13" s="85">
        <f>IF(167853.7449="","-",167853.7449/3707625.63971*100)</f>
        <v>4.5272570968931225</v>
      </c>
    </row>
    <row r="14" spans="1:5" ht="15.75" customHeight="1">
      <c r="A14" s="32" t="s">
        <v>183</v>
      </c>
      <c r="B14" s="85">
        <f>IF(23484.32726="","-",23484.32726)</f>
        <v>23484.32726</v>
      </c>
      <c r="C14" s="82">
        <v>131.79</v>
      </c>
      <c r="D14" s="85">
        <f>IF(17819.95241="","-",17819.95241/3007940.19782*100)</f>
        <v>0.5924304087865505</v>
      </c>
      <c r="E14" s="85">
        <f>IF(23484.32726="","-",23484.32726/3707625.63971*100)</f>
        <v>0.6334061079002808</v>
      </c>
    </row>
    <row r="15" spans="1:5" ht="15.75">
      <c r="A15" s="31" t="s">
        <v>245</v>
      </c>
      <c r="B15" s="76">
        <f>IF(1874514.63837="","-",1874514.63837)</f>
        <v>1874514.63837</v>
      </c>
      <c r="C15" s="86">
        <f>IF(1498530.32617="","-",1874514.63837/1498530.32617*100)</f>
        <v>125.09020375723425</v>
      </c>
      <c r="D15" s="86">
        <f>IF(1498530.32617="","-",1498530.32617/3007940.19782*100)</f>
        <v>49.81915289592717</v>
      </c>
      <c r="E15" s="86">
        <f>IF(1874514.63837="","-",1874514.63837/3707625.63971*100)</f>
        <v>50.55835784209917</v>
      </c>
    </row>
    <row r="16" spans="1:5" ht="15.75">
      <c r="A16" s="10" t="s">
        <v>214</v>
      </c>
      <c r="B16" s="55"/>
      <c r="C16" s="47"/>
      <c r="D16" s="55"/>
      <c r="E16" s="55"/>
    </row>
    <row r="17" spans="1:5" ht="15.75">
      <c r="A17" s="32" t="s">
        <v>177</v>
      </c>
      <c r="B17" s="85">
        <f>IF(60093.59716="","-",60093.59716)</f>
        <v>60093.59716</v>
      </c>
      <c r="C17" s="82">
        <v>144.07</v>
      </c>
      <c r="D17" s="85">
        <f>IF(41711.0544="","-",41711.0544/3007940.19782*100)</f>
        <v>1.3866982604983311</v>
      </c>
      <c r="E17" s="85">
        <f>IF(60093.59716="","-",60093.59716/3707625.63971*100)</f>
        <v>1.6208108099257927</v>
      </c>
    </row>
    <row r="18" spans="1:5" ht="15.75">
      <c r="A18" s="32" t="s">
        <v>178</v>
      </c>
      <c r="B18" s="85">
        <f>IF(29962.47473="","-",29962.47473)</f>
        <v>29962.47473</v>
      </c>
      <c r="C18" s="82">
        <v>132.92</v>
      </c>
      <c r="D18" s="85">
        <f>IF(22541.12884="","-",22541.12884/3007940.19782*100)</f>
        <v>0.749387532914938</v>
      </c>
      <c r="E18" s="85">
        <f>IF(29962.47473="","-",29962.47473/3707625.63971*100)</f>
        <v>0.8081310693585445</v>
      </c>
    </row>
    <row r="19" spans="1:5" ht="15.75">
      <c r="A19" s="32" t="s">
        <v>179</v>
      </c>
      <c r="B19" s="85">
        <f>IF(1733812.54905="","-",1733812.54905)</f>
        <v>1733812.54905</v>
      </c>
      <c r="C19" s="82">
        <v>124.55</v>
      </c>
      <c r="D19" s="85">
        <f>IF(1392094.08889="","-",1392094.08889/3007940.19782*100)</f>
        <v>46.280643807311</v>
      </c>
      <c r="E19" s="85">
        <f>IF(1733812.54905="","-",1733812.54905/3707625.63971*100)</f>
        <v>46.7634199763926</v>
      </c>
    </row>
    <row r="20" spans="1:5" ht="15.75">
      <c r="A20" s="32" t="s">
        <v>180</v>
      </c>
      <c r="B20" s="85">
        <f>IF(25884.74119="","-",25884.74119)</f>
        <v>25884.74119</v>
      </c>
      <c r="C20" s="82">
        <v>115.31</v>
      </c>
      <c r="D20" s="85">
        <f>IF(22447.93135="","-",22447.93135/3007940.19782*100)</f>
        <v>0.746289150504691</v>
      </c>
      <c r="E20" s="85">
        <f>IF(25884.74119="","-",25884.74119/3707625.63971*100)</f>
        <v>0.6981487265802983</v>
      </c>
    </row>
    <row r="21" spans="1:5" ht="15.75">
      <c r="A21" s="32" t="s">
        <v>181</v>
      </c>
      <c r="B21" s="85">
        <f>IF(3909.45642="","-",3909.45642)</f>
        <v>3909.45642</v>
      </c>
      <c r="C21" s="82">
        <v>113.13</v>
      </c>
      <c r="D21" s="85">
        <f>IF(3455.62936="","-",3455.62936/3007940.19782*100)</f>
        <v>0.11488357921824582</v>
      </c>
      <c r="E21" s="85">
        <f>IF(3909.45642="","-",3909.45642/3707625.63971*100)</f>
        <v>0.10544366664552969</v>
      </c>
    </row>
    <row r="22" spans="1:5" ht="15.75">
      <c r="A22" s="32" t="s">
        <v>183</v>
      </c>
      <c r="B22" s="85">
        <f>IF(20851.81982="","-",20851.81982)</f>
        <v>20851.81982</v>
      </c>
      <c r="C22" s="82">
        <v>128.08</v>
      </c>
      <c r="D22" s="85">
        <f>IF(16280.49333="","-",16280.49333/3007940.19782*100)</f>
        <v>0.5412505654799674</v>
      </c>
      <c r="E22" s="85">
        <f>IF(20851.81982="","-",20851.81982/3707625.63971*100)</f>
        <v>0.5624035931963987</v>
      </c>
    </row>
    <row r="23" spans="1:5" ht="15.75">
      <c r="A23" s="31" t="s">
        <v>240</v>
      </c>
      <c r="B23" s="76">
        <f>IF(889742.03797="","-",889742.03797)</f>
        <v>889742.03797</v>
      </c>
      <c r="C23" s="86">
        <f>IF(742112.97767="","-",889742.03797/742112.97767*100)</f>
        <v>119.89307083181706</v>
      </c>
      <c r="D23" s="86">
        <f>IF(742112.97767="","-",742112.97767/3007940.19782*100)</f>
        <v>24.671799599202316</v>
      </c>
      <c r="E23" s="86">
        <f>IF(889742.03797="","-",889742.03797/3707625.63971*100)</f>
        <v>23.997623396508637</v>
      </c>
    </row>
    <row r="24" spans="1:5" ht="15.75">
      <c r="A24" s="32" t="s">
        <v>214</v>
      </c>
      <c r="B24" s="55"/>
      <c r="C24" s="47"/>
      <c r="D24" s="56"/>
      <c r="E24" s="55"/>
    </row>
    <row r="25" spans="1:5" ht="15.75">
      <c r="A25" s="32" t="s">
        <v>177</v>
      </c>
      <c r="B25" s="85">
        <f>IF(34657.60976="","-",34657.60976)</f>
        <v>34657.60976</v>
      </c>
      <c r="C25" s="82">
        <v>107.54</v>
      </c>
      <c r="D25" s="85">
        <f>IF(32226.35809="","-",32226.35809/3007940.19782*100)</f>
        <v>1.0713762897731813</v>
      </c>
      <c r="E25" s="85">
        <f>IF(34657.60976="","-",34657.60976/3707625.63971*100)</f>
        <v>0.9347656189666123</v>
      </c>
    </row>
    <row r="26" spans="1:5" ht="15.75">
      <c r="A26" s="32" t="s">
        <v>178</v>
      </c>
      <c r="B26" s="85">
        <f>IF(176090.76555="","-",176090.76555)</f>
        <v>176090.76555</v>
      </c>
      <c r="C26" s="82">
        <v>119.78</v>
      </c>
      <c r="D26" s="85">
        <f>IF(147015.8749="","-",147015.8749/3007940.19782*100)</f>
        <v>4.88759301154157</v>
      </c>
      <c r="E26" s="85">
        <f>IF(176090.76555="","-",176090.76555/3707625.63971*100)</f>
        <v>4.74942139961502</v>
      </c>
    </row>
    <row r="27" spans="1:5" ht="15.75">
      <c r="A27" s="32" t="s">
        <v>179</v>
      </c>
      <c r="B27" s="85">
        <f>IF(499386.72865="","-",499386.72865)</f>
        <v>499386.72865</v>
      </c>
      <c r="C27" s="82">
        <v>121.76</v>
      </c>
      <c r="D27" s="85">
        <f>IF(410141.96704="","-",410141.96704/3007940.19782*100)</f>
        <v>13.635309882066466</v>
      </c>
      <c r="E27" s="85">
        <f>IF(499386.72865="","-",499386.72865/3707625.63971*100)</f>
        <v>13.46917885401884</v>
      </c>
    </row>
    <row r="28" spans="1:5" ht="15.75">
      <c r="A28" s="32" t="s">
        <v>180</v>
      </c>
      <c r="B28" s="85">
        <f>IF(10090.85035="","-",10090.85035)</f>
        <v>10090.85035</v>
      </c>
      <c r="C28" s="82">
        <v>113.8</v>
      </c>
      <c r="D28" s="85">
        <f>IF(8866.83227="","-",8866.83227/3007940.19782*100)</f>
        <v>0.29478086952746685</v>
      </c>
      <c r="E28" s="85">
        <f>IF(10090.85035="","-",10090.85035/3707625.63971*100)</f>
        <v>0.27216475800370393</v>
      </c>
    </row>
    <row r="29" spans="1:5" ht="15.75">
      <c r="A29" s="32" t="s">
        <v>181</v>
      </c>
      <c r="B29" s="85">
        <f>IF(378.59978="","-",378.59978)</f>
        <v>378.59978</v>
      </c>
      <c r="C29" s="82">
        <v>77.27</v>
      </c>
      <c r="D29" s="85">
        <f>IF(489.96352="","-",489.96352/3007940.19782*100)</f>
        <v>0.01628900469348095</v>
      </c>
      <c r="E29" s="85">
        <f>IF(378.59978="","-",378.59978/3707625.63971*100)</f>
        <v>0.01021138099664272</v>
      </c>
    </row>
    <row r="30" spans="1:5" ht="15.75">
      <c r="A30" s="32" t="s">
        <v>182</v>
      </c>
      <c r="B30" s="85">
        <f>IF(167853.7449="","-",167853.7449)</f>
        <v>167853.7449</v>
      </c>
      <c r="C30" s="82">
        <v>117.89</v>
      </c>
      <c r="D30" s="85">
        <f>IF(142377.07658="","-",142377.07658/3007940.19782*100)</f>
        <v>4.733374575837232</v>
      </c>
      <c r="E30" s="85">
        <f>IF(167853.7449="","-",167853.7449/3707625.63971*100)</f>
        <v>4.5272570968931225</v>
      </c>
    </row>
    <row r="31" spans="1:5" ht="15.75">
      <c r="A31" s="32" t="s">
        <v>183</v>
      </c>
      <c r="B31" s="85">
        <f>IF(1283.73898="","-",1283.73898)</f>
        <v>1283.73898</v>
      </c>
      <c r="C31" s="82">
        <v>129.07</v>
      </c>
      <c r="D31" s="85">
        <f>IF(994.59755="","-",994.59755/3007940.19782*100)</f>
        <v>0.03306573550633862</v>
      </c>
      <c r="E31" s="85">
        <f>IF(1283.73898="","-",1283.73898/3707625.63971*100)</f>
        <v>0.03462428801469855</v>
      </c>
    </row>
    <row r="32" spans="1:5" ht="15.75">
      <c r="A32" s="31" t="s">
        <v>241</v>
      </c>
      <c r="B32" s="76">
        <f>IF(943368.96337="","-",943368.96337)</f>
        <v>943368.96337</v>
      </c>
      <c r="C32" s="86">
        <f>IF(767296.89398="","-",943368.96337/767296.89398*100)</f>
        <v>122.94705879450483</v>
      </c>
      <c r="D32" s="86">
        <f>IF(767296.89398="","-",767296.89398/3007940.19782*100)</f>
        <v>25.50904750487052</v>
      </c>
      <c r="E32" s="86">
        <f>IF(943368.96337="","-",943368.96337/3707625.63971*100)</f>
        <v>25.4440187613922</v>
      </c>
    </row>
    <row r="33" spans="1:5" ht="15.75">
      <c r="A33" s="32" t="s">
        <v>214</v>
      </c>
      <c r="B33" s="55"/>
      <c r="C33" s="47"/>
      <c r="D33" s="56"/>
      <c r="E33" s="55"/>
    </row>
    <row r="34" spans="1:5" ht="15.75">
      <c r="A34" s="32" t="s">
        <v>177</v>
      </c>
      <c r="B34" s="40">
        <f>IF(17355.97999="","-",17355.97999)</f>
        <v>17355.97999</v>
      </c>
      <c r="C34" s="82" t="s">
        <v>215</v>
      </c>
      <c r="D34" s="85">
        <f>IF(4826.3066="","-",4826.3066/3007940.19782*100)</f>
        <v>0.16045221256386208</v>
      </c>
      <c r="E34" s="85">
        <f>IF(17355.97999="","-",17355.97999/3707625.63971*100)</f>
        <v>0.46811576131395877</v>
      </c>
    </row>
    <row r="35" spans="1:7" ht="15.75">
      <c r="A35" s="32" t="s">
        <v>178</v>
      </c>
      <c r="B35" s="40">
        <f>IF(630.02749="","-",630.02749)</f>
        <v>630.02749</v>
      </c>
      <c r="C35" s="82">
        <v>86.39</v>
      </c>
      <c r="D35" s="85">
        <f>IF(729.30553="","-",729.30553/3007940.19782*100)</f>
        <v>0.024246011623787037</v>
      </c>
      <c r="E35" s="85">
        <f>IF(630.02749="","-",630.02749/3707625.63971*100)</f>
        <v>0.016992748222802747</v>
      </c>
      <c r="F35" s="1"/>
      <c r="G35" s="1"/>
    </row>
    <row r="36" spans="1:7" ht="15.75">
      <c r="A36" s="32" t="s">
        <v>179</v>
      </c>
      <c r="B36" s="40">
        <f>IF(860914.76076="","-",860914.76076)</f>
        <v>860914.76076</v>
      </c>
      <c r="C36" s="82">
        <v>121.45</v>
      </c>
      <c r="D36" s="85">
        <f>IF(708845.19734="","-",708845.19734/3007940.19782*100)</f>
        <v>23.565800871098915</v>
      </c>
      <c r="E36" s="85">
        <f>IF(860914.76076="","-",860914.76076/3707625.63971*100)</f>
        <v>23.220110238188404</v>
      </c>
      <c r="F36" s="1"/>
      <c r="G36" s="1"/>
    </row>
    <row r="37" spans="1:7" ht="15.75">
      <c r="A37" s="32" t="s">
        <v>180</v>
      </c>
      <c r="B37" s="40">
        <f>IF(58315.51293="","-",58315.51293)</f>
        <v>58315.51293</v>
      </c>
      <c r="C37" s="82">
        <v>121.86</v>
      </c>
      <c r="D37" s="85">
        <f>IF(47856.22298="","-",47856.22298/3007940.19782*100)</f>
        <v>1.5909964903784897</v>
      </c>
      <c r="E37" s="85">
        <f>IF(58315.51293="","-",58315.51293/3707625.63971*100)</f>
        <v>1.5728533189926175</v>
      </c>
      <c r="F37" s="16"/>
      <c r="G37" s="16"/>
    </row>
    <row r="38" spans="1:5" ht="15.75">
      <c r="A38" s="32" t="s">
        <v>181</v>
      </c>
      <c r="B38" s="40">
        <f>IF(4803.91374="","-",4803.91374)</f>
        <v>4803.91374</v>
      </c>
      <c r="C38" s="82">
        <v>106.87</v>
      </c>
      <c r="D38" s="85">
        <f>IF(4495="","-",4495/3007940.19782*100)</f>
        <v>0.14943781140521825</v>
      </c>
      <c r="E38" s="85">
        <f>IF(4803.91374="","-",4803.91374/3707625.63971*100)</f>
        <v>0.12956846798523458</v>
      </c>
    </row>
    <row r="39" spans="1:5" ht="15.75">
      <c r="A39" s="41" t="s">
        <v>183</v>
      </c>
      <c r="B39" s="88">
        <f>IF(1348.76846="","-",1348.76846)</f>
        <v>1348.76846</v>
      </c>
      <c r="C39" s="89" t="s">
        <v>147</v>
      </c>
      <c r="D39" s="88">
        <f>IF(544.86153="","-",544.86153/3007940.19782*100)</f>
        <v>0.01811410780024442</v>
      </c>
      <c r="E39" s="88">
        <f>IF(1348.76846="","-",1348.76846/3707625.63971*100)</f>
        <v>0.03637822668918367</v>
      </c>
    </row>
    <row r="40" ht="15.75">
      <c r="A40" s="38" t="s">
        <v>20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79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27.375" style="0" customWidth="1"/>
    <col min="2" max="2" width="11.125" style="0" customWidth="1"/>
    <col min="3" max="3" width="11.25390625" style="0" customWidth="1"/>
    <col min="4" max="4" width="8.25390625" style="0" customWidth="1"/>
    <col min="5" max="5" width="8.375" style="0" customWidth="1"/>
    <col min="6" max="6" width="9.625" style="0" customWidth="1"/>
    <col min="7" max="7" width="9.875" style="0" customWidth="1"/>
    <col min="8" max="8" width="11.00390625" style="0" customWidth="1"/>
  </cols>
  <sheetData>
    <row r="1" spans="1:7" ht="15.75">
      <c r="A1" s="103" t="s">
        <v>203</v>
      </c>
      <c r="B1" s="103"/>
      <c r="C1" s="103"/>
      <c r="D1" s="103"/>
      <c r="E1" s="103"/>
      <c r="F1" s="103"/>
      <c r="G1" s="103"/>
    </row>
    <row r="2" spans="1:7" ht="15.75">
      <c r="A2" s="103" t="s">
        <v>23</v>
      </c>
      <c r="B2" s="103"/>
      <c r="C2" s="103"/>
      <c r="D2" s="103"/>
      <c r="E2" s="103"/>
      <c r="F2" s="103"/>
      <c r="G2" s="103"/>
    </row>
    <row r="3" ht="15.75">
      <c r="A3" s="6"/>
    </row>
    <row r="4" spans="1:7" ht="57" customHeight="1">
      <c r="A4" s="111"/>
      <c r="B4" s="114" t="s">
        <v>268</v>
      </c>
      <c r="C4" s="109"/>
      <c r="D4" s="114" t="s">
        <v>0</v>
      </c>
      <c r="E4" s="109"/>
      <c r="F4" s="106" t="s">
        <v>161</v>
      </c>
      <c r="G4" s="115"/>
    </row>
    <row r="5" spans="1:7" ht="26.25" customHeight="1">
      <c r="A5" s="112"/>
      <c r="B5" s="116" t="s">
        <v>173</v>
      </c>
      <c r="C5" s="104" t="s">
        <v>269</v>
      </c>
      <c r="D5" s="118" t="s">
        <v>265</v>
      </c>
      <c r="E5" s="118"/>
      <c r="F5" s="118" t="s">
        <v>265</v>
      </c>
      <c r="G5" s="114"/>
    </row>
    <row r="6" spans="1:13" ht="21.75" customHeight="1">
      <c r="A6" s="113"/>
      <c r="B6" s="117"/>
      <c r="C6" s="105"/>
      <c r="D6" s="29">
        <v>2017</v>
      </c>
      <c r="E6" s="29">
        <v>2018</v>
      </c>
      <c r="F6" s="29" t="s">
        <v>145</v>
      </c>
      <c r="G6" s="25" t="s">
        <v>172</v>
      </c>
      <c r="H6" s="1"/>
      <c r="I6" s="1"/>
      <c r="J6" s="1"/>
      <c r="K6" s="1"/>
      <c r="L6" s="1"/>
      <c r="M6" s="1"/>
    </row>
    <row r="7" spans="1:13" ht="16.5" customHeight="1">
      <c r="A7" s="49" t="s">
        <v>152</v>
      </c>
      <c r="B7" s="61">
        <f>IF(1752733.24746="","-",1752733.24746)</f>
        <v>1752733.24746</v>
      </c>
      <c r="C7" s="62">
        <f>IF(1427663.68281="","-",1752733.24746/1427663.68281*100)</f>
        <v>122.76933766432873</v>
      </c>
      <c r="D7" s="62">
        <v>100</v>
      </c>
      <c r="E7" s="62">
        <v>100</v>
      </c>
      <c r="F7" s="62">
        <f>IF(1239054.72912="","-",(1427663.68281-1239054.72912)/1239054.72912*100)</f>
        <v>15.222003456130908</v>
      </c>
      <c r="G7" s="62">
        <f>IF(1427663.68281="","-",(1752733.24746-1427663.68281)/1427663.68281*100)</f>
        <v>22.769337664328738</v>
      </c>
      <c r="H7" s="34"/>
      <c r="I7" s="34"/>
      <c r="J7" s="34"/>
      <c r="K7" s="34"/>
      <c r="L7" s="34"/>
      <c r="M7" s="34"/>
    </row>
    <row r="8" spans="1:13" ht="12.75" customHeight="1">
      <c r="A8" s="64" t="s">
        <v>214</v>
      </c>
      <c r="B8" s="65"/>
      <c r="C8" s="66"/>
      <c r="D8" s="66"/>
      <c r="E8" s="66"/>
      <c r="F8" s="66"/>
      <c r="G8" s="66"/>
      <c r="H8" s="34"/>
      <c r="I8" s="34"/>
      <c r="J8" s="34"/>
      <c r="K8" s="34"/>
      <c r="L8" s="34"/>
      <c r="M8" s="34"/>
    </row>
    <row r="9" spans="1:7" ht="13.5" customHeight="1">
      <c r="A9" s="53" t="s">
        <v>24</v>
      </c>
      <c r="B9" s="33">
        <f>IF(386170.46503="","-",386170.46503)</f>
        <v>386170.46503</v>
      </c>
      <c r="C9" s="69">
        <f>IF(305895.28399="","-",386170.46503/305895.28399*100)</f>
        <v>126.24269978697163</v>
      </c>
      <c r="D9" s="69">
        <f>IF(305895.28399="","-",305895.28399/1427663.68281*100)</f>
        <v>21.426284612628198</v>
      </c>
      <c r="E9" s="69">
        <f>IF(386170.46503="","-",386170.46503/1752733.24746*100)</f>
        <v>22.032472173938896</v>
      </c>
      <c r="F9" s="69">
        <f>IF(1239054.72912="","-",(305895.28399-280650.74917)/1239054.72912*100)</f>
        <v>2.037402725376719</v>
      </c>
      <c r="G9" s="69">
        <f>IF(1427663.68281="","-",(386170.46503-305895.28399)/1427663.68281*100)</f>
        <v>5.622835546394114</v>
      </c>
    </row>
    <row r="10" spans="1:10" ht="15.75">
      <c r="A10" s="22" t="s">
        <v>25</v>
      </c>
      <c r="B10" s="36">
        <f>IF(10442.50038="","-",10442.50038)</f>
        <v>10442.50038</v>
      </c>
      <c r="C10" s="70" t="s">
        <v>160</v>
      </c>
      <c r="D10" s="70">
        <f>IF(5475.4377="","-",5475.4377/1427663.68281*100)</f>
        <v>0.3835243388150749</v>
      </c>
      <c r="E10" s="70">
        <f>IF(10442.50038="","-",10442.50038/1752733.24746*100)</f>
        <v>0.5957837791422572</v>
      </c>
      <c r="F10" s="70">
        <f>IF(OR(1239054.72912="",6182.06905="",5475.4377=""),"-",(5475.4377-6182.06905)/1239054.72912*100)</f>
        <v>-0.057029873934774655</v>
      </c>
      <c r="G10" s="70">
        <f>IF(OR(1427663.68281="",10442.50038="",5475.4377=""),"-",(10442.50038-5475.4377)/1427663.68281*100)</f>
        <v>0.34791546074938146</v>
      </c>
      <c r="J10" s="21"/>
    </row>
    <row r="11" spans="1:10" s="11" customFormat="1" ht="15.75">
      <c r="A11" s="22" t="s">
        <v>26</v>
      </c>
      <c r="B11" s="36">
        <f>IF(4629.47187="","-",4629.47187)</f>
        <v>4629.47187</v>
      </c>
      <c r="C11" s="70">
        <f>IF(OR(6056.37273="",4629.47187=""),"-",4629.47187/6056.37273*100)</f>
        <v>76.43967893633918</v>
      </c>
      <c r="D11" s="70">
        <f>IF(6056.37273="","-",6056.37273/1427663.68281*100)</f>
        <v>0.4242156470688909</v>
      </c>
      <c r="E11" s="70">
        <f>IF(4629.47187="","-",4629.47187/1752733.24746*100)</f>
        <v>0.2641287187716026</v>
      </c>
      <c r="F11" s="70">
        <f>IF(OR(1239054.72912="",3858.94054="",6056.37273=""),"-",(6056.37273-3858.94054)/1239054.72912*100)</f>
        <v>0.17734746806225887</v>
      </c>
      <c r="G11" s="70">
        <f>IF(OR(1427663.68281="",4629.47187="",6056.37273=""),"-",(4629.47187-6056.37273)/1427663.68281*100)</f>
        <v>-0.09994656845171694</v>
      </c>
      <c r="J11" s="21"/>
    </row>
    <row r="12" spans="1:10" s="11" customFormat="1" ht="15.75">
      <c r="A12" s="22" t="s">
        <v>27</v>
      </c>
      <c r="B12" s="36">
        <f>IF(15317.01001="","-",15317.01001)</f>
        <v>15317.01001</v>
      </c>
      <c r="C12" s="70">
        <f>IF(OR(16006.47308="",15317.01001=""),"-",15317.01001/16006.47308*100)</f>
        <v>95.69259844717773</v>
      </c>
      <c r="D12" s="70">
        <f>IF(16006.47308="","-",16006.47308/1427663.68281*100)</f>
        <v>1.1211655288796902</v>
      </c>
      <c r="E12" s="70">
        <f>IF(15317.01001="","-",15317.01001/1752733.24746*100)</f>
        <v>0.8738928203819308</v>
      </c>
      <c r="F12" s="70">
        <f>IF(OR(1239054.72912="",12520.2491="",16006.47308=""),"-",(16006.47308-12520.2491)/1239054.72912*100)</f>
        <v>0.2813615813787322</v>
      </c>
      <c r="G12" s="70">
        <f>IF(OR(1427663.68281="",15317.01001="",16006.47308=""),"-",(15317.01001-16006.47308)/1427663.68281*100)</f>
        <v>-0.048293101400671876</v>
      </c>
      <c r="J12" s="21"/>
    </row>
    <row r="13" spans="1:10" s="11" customFormat="1" ht="15.75">
      <c r="A13" s="22" t="s">
        <v>28</v>
      </c>
      <c r="B13" s="36">
        <f>IF(10.53017="","-",10.53017)</f>
        <v>10.53017</v>
      </c>
      <c r="C13" s="70">
        <f>IF(OR(12.93641="",10.53017=""),"-",10.53017/12.93641*100)</f>
        <v>81.39947636167993</v>
      </c>
      <c r="D13" s="70">
        <f>IF(12.93641="","-",12.93641/1427663.68281*100)</f>
        <v>0.0009061244714538023</v>
      </c>
      <c r="E13" s="70">
        <f>IF(10.53017="","-",10.53017/1752733.24746*100)</f>
        <v>0.0006007856594983838</v>
      </c>
      <c r="F13" s="70">
        <f>IF(OR(1239054.72912="",15.48037="",12.93641=""),"-",(12.93641-15.48037)/1239054.72912*100)</f>
        <v>-0.00020531457894573942</v>
      </c>
      <c r="G13" s="70">
        <f>IF(OR(1427663.68281="",10.53017="",12.93641=""),"-",(10.53017-12.93641)/1427663.68281*100)</f>
        <v>-0.00016854389650536723</v>
      </c>
      <c r="J13" s="21"/>
    </row>
    <row r="14" spans="1:10" s="11" customFormat="1" ht="15.75">
      <c r="A14" s="22" t="s">
        <v>29</v>
      </c>
      <c r="B14" s="36">
        <f>IF(146415.21479="","-",146415.21479)</f>
        <v>146415.21479</v>
      </c>
      <c r="C14" s="70">
        <f>IF(OR(112806.20509="",146415.21479=""),"-",146415.21479/112806.20509*100)</f>
        <v>129.79358243031558</v>
      </c>
      <c r="D14" s="70">
        <f>IF(112806.20509="","-",112806.20509/1427663.68281*100)</f>
        <v>7.901455114972815</v>
      </c>
      <c r="E14" s="70">
        <f>IF(146415.21479="","-",146415.21479/1752733.24746*100)</f>
        <v>8.353536683473074</v>
      </c>
      <c r="F14" s="70">
        <f>IF(OR(1239054.72912="",102745.16113="",112806.20509=""),"-",(112806.20509-102745.16113)/1239054.72912*100)</f>
        <v>0.8119935079175682</v>
      </c>
      <c r="G14" s="70">
        <f>IF(OR(1427663.68281="",146415.21479="",112806.20509=""),"-",(146415.21479-112806.20509)/1427663.68281*100)</f>
        <v>2.354126542873812</v>
      </c>
      <c r="J14" s="21"/>
    </row>
    <row r="15" spans="1:10" s="11" customFormat="1" ht="15.75" customHeight="1">
      <c r="A15" s="22" t="s">
        <v>30</v>
      </c>
      <c r="B15" s="36">
        <f>IF(170069.18451="","-",170069.18451)</f>
        <v>170069.18451</v>
      </c>
      <c r="C15" s="70">
        <f>IF(OR(122072.81806="",170069.18451=""),"-",170069.18451/122072.81806*100)</f>
        <v>139.3178163761316</v>
      </c>
      <c r="D15" s="70">
        <f>IF(122072.81806="","-",122072.81806/1427663.68281*100)</f>
        <v>8.550530459647899</v>
      </c>
      <c r="E15" s="70">
        <f>IF(170069.18451="","-",170069.18451/1752733.24746*100)</f>
        <v>9.703084297422802</v>
      </c>
      <c r="F15" s="70">
        <f>IF(OR(1239054.72912="",107480.7817="",122072.81806=""),"-",(122072.81806-107480.7817)/1239054.72912*100)</f>
        <v>1.1776748853025674</v>
      </c>
      <c r="G15" s="70">
        <f>IF(OR(1427663.68281="",170069.18451="",122072.81806=""),"-",(170069.18451-122072.81806)/1427663.68281*100)</f>
        <v>3.36188186530956</v>
      </c>
      <c r="J15" s="21"/>
    </row>
    <row r="16" spans="1:10" s="11" customFormat="1" ht="15" customHeight="1">
      <c r="A16" s="22" t="s">
        <v>31</v>
      </c>
      <c r="B16" s="36">
        <f>IF(18762.37296="","-",18762.37296)</f>
        <v>18762.37296</v>
      </c>
      <c r="C16" s="70">
        <f>IF(OR(28579.8458="",18762.37296=""),"-",18762.37296/28579.8458*100)</f>
        <v>65.6489649779706</v>
      </c>
      <c r="D16" s="70">
        <f>IF(28579.8458="","-",28579.8458/1427663.68281*100)</f>
        <v>2.001861232734288</v>
      </c>
      <c r="E16" s="70">
        <f>IF(18762.37296="","-",18762.37296/1752733.24746*100)</f>
        <v>1.0704636879108547</v>
      </c>
      <c r="F16" s="70">
        <f>IF(OR(1239054.72912="",30893.95957="",28579.8458=""),"-",(28579.8458-30893.95957)/1239054.72912*100)</f>
        <v>-0.18676445161090882</v>
      </c>
      <c r="G16" s="70">
        <f>IF(OR(1427663.68281="",18762.37296="",28579.8458=""),"-",(18762.37296-28579.8458)/1427663.68281*100)</f>
        <v>-0.6876600531489848</v>
      </c>
      <c r="J16" s="21"/>
    </row>
    <row r="17" spans="1:10" s="11" customFormat="1" ht="25.5">
      <c r="A17" s="22" t="s">
        <v>32</v>
      </c>
      <c r="B17" s="36">
        <f>IF(6741.82108="","-",6741.82108)</f>
        <v>6741.82108</v>
      </c>
      <c r="C17" s="70">
        <f>IF(OR(5830.98543="",6741.82108=""),"-",6741.82108/5830.98543*100)</f>
        <v>115.62061268947468</v>
      </c>
      <c r="D17" s="70">
        <f>IF(5830.98543="","-",5830.98543/1427663.68281*100)</f>
        <v>0.40842850457070945</v>
      </c>
      <c r="E17" s="70">
        <f>IF(6741.82108="","-",6741.82108/1752733.24746*100)</f>
        <v>0.3846461570675408</v>
      </c>
      <c r="F17" s="70">
        <f>IF(OR(1239054.72912="",4653.8325="",5830.98543=""),"-",(5830.98543-4653.8325)/1239054.72912*100)</f>
        <v>0.09500411098354271</v>
      </c>
      <c r="G17" s="70">
        <f>IF(OR(1427663.68281="",6741.82108="",5830.98543=""),"-",(6741.82108-5830.98543)/1427663.68281*100)</f>
        <v>0.06379903481240394</v>
      </c>
      <c r="J17" s="21"/>
    </row>
    <row r="18" spans="1:10" s="11" customFormat="1" ht="25.5">
      <c r="A18" s="22" t="s">
        <v>33</v>
      </c>
      <c r="B18" s="36">
        <f>IF(12141.59355="","-",12141.59355)</f>
        <v>12141.59355</v>
      </c>
      <c r="C18" s="70" t="s">
        <v>159</v>
      </c>
      <c r="D18" s="70">
        <f>IF(7127.72458="","-",7127.72458/1427663.68281*100)</f>
        <v>0.4992579601080033</v>
      </c>
      <c r="E18" s="70">
        <f>IF(12141.59355="","-",12141.59355/1752733.24746*100)</f>
        <v>0.6927234117111188</v>
      </c>
      <c r="F18" s="70">
        <f>IF(OR(1239054.72912="",7370.16159="",7127.72458=""),"-",(7127.72458-7370.16159)/1239054.72912*100)</f>
        <v>-0.01956628745303147</v>
      </c>
      <c r="G18" s="70">
        <f>IF(OR(1427663.68281="",12141.59355="",7127.72458=""),"-",(12141.59355-7127.72458)/1427663.68281*100)</f>
        <v>0.3511939842954784</v>
      </c>
      <c r="J18" s="21"/>
    </row>
    <row r="19" spans="1:10" s="11" customFormat="1" ht="15.75">
      <c r="A19" s="22" t="s">
        <v>34</v>
      </c>
      <c r="B19" s="36">
        <f>IF(1640.76571="","-",1640.76571)</f>
        <v>1640.76571</v>
      </c>
      <c r="C19" s="70">
        <f>IF(OR(1926.48511="",1640.76571=""),"-",1640.76571/1926.48511*100)</f>
        <v>85.16887576670655</v>
      </c>
      <c r="D19" s="70">
        <f>IF(1926.48511="","-",1926.48511/1427663.68281*100)</f>
        <v>0.1349397013593702</v>
      </c>
      <c r="E19" s="70">
        <f>IF(1640.76571="","-",1640.76571/1752733.24746*100)</f>
        <v>0.09361183239821236</v>
      </c>
      <c r="F19" s="70">
        <f>IF(OR(1239054.72912="",4930.11362="",1926.48511=""),"-",(1926.48511-4930.11362)/1239054.72912*100)</f>
        <v>-0.24241290069028942</v>
      </c>
      <c r="G19" s="70">
        <f>IF(OR(1427663.68281="",1640.76571="",1926.48511=""),"-",(1640.76571-1926.48511)/1427663.68281*100)</f>
        <v>-0.02001307474864338</v>
      </c>
      <c r="J19" s="21"/>
    </row>
    <row r="20" spans="1:7" s="11" customFormat="1" ht="15.75">
      <c r="A20" s="53" t="s">
        <v>35</v>
      </c>
      <c r="B20" s="33">
        <f>IF(143753.40347="","-",143753.40347)</f>
        <v>143753.40347</v>
      </c>
      <c r="C20" s="69">
        <f>IF(120111.65953="","-",143753.40347/120111.65953*100)</f>
        <v>119.6831382003302</v>
      </c>
      <c r="D20" s="69">
        <f>IF(120111.65953="","-",120111.65953/1427663.68281*100)</f>
        <v>8.41316207565007</v>
      </c>
      <c r="E20" s="69">
        <f>IF(143753.40347="","-",143753.40347/1752733.24746*100)</f>
        <v>8.201670372734837</v>
      </c>
      <c r="F20" s="69">
        <f>IF(1239054.72912="","-",(120111.65953-108047.11771)/1239054.72912*100)</f>
        <v>0.9736891790541378</v>
      </c>
      <c r="G20" s="69">
        <f>IF(1427663.68281="","-",(143753.40347-120111.65953)/1427663.68281*100)</f>
        <v>1.6559743183679723</v>
      </c>
    </row>
    <row r="21" spans="1:7" s="11" customFormat="1" ht="15.75">
      <c r="A21" s="22" t="s">
        <v>308</v>
      </c>
      <c r="B21" s="36">
        <f>IF(129223.70512="","-",129223.70512)</f>
        <v>129223.70512</v>
      </c>
      <c r="C21" s="70">
        <f>IF(OR(108344.18408="",129223.70512=""),"-",129223.70512/108344.18408*100)</f>
        <v>119.27147379187684</v>
      </c>
      <c r="D21" s="70">
        <f>IF(108344.18408="","-",108344.18408/1427663.68281*100)</f>
        <v>7.588915049428974</v>
      </c>
      <c r="E21" s="70">
        <f>IF(129223.70512="","-",129223.70512/1752733.24746*100)</f>
        <v>7.372696632945515</v>
      </c>
      <c r="F21" s="70">
        <f>IF(OR(1239054.72912="",100222.69048="",108344.18408=""),"-",(108344.18408-100222.69048)/1239054.72912*100)</f>
        <v>0.6554588275344414</v>
      </c>
      <c r="G21" s="70">
        <f>IF(OR(1427663.68281="",129223.70512="",108344.18408=""),"-",(129223.70512-108344.18408)/1427663.68281*100)</f>
        <v>1.4624957748385012</v>
      </c>
    </row>
    <row r="22" spans="1:7" s="11" customFormat="1" ht="15.75">
      <c r="A22" s="22" t="s">
        <v>36</v>
      </c>
      <c r="B22" s="36">
        <f>IF(14529.69835="","-",14529.69835)</f>
        <v>14529.69835</v>
      </c>
      <c r="C22" s="70">
        <f>IF(OR(11767.47545="",14529.69835=""),"-",14529.69835/11767.47545*100)</f>
        <v>123.47336870798402</v>
      </c>
      <c r="D22" s="70">
        <f>IF(11767.47545="","-",11767.47545/1427663.68281*100)</f>
        <v>0.8242470262210956</v>
      </c>
      <c r="E22" s="70">
        <f>IF(14529.69835="","-",14529.69835/1752733.24746*100)</f>
        <v>0.8289737397893224</v>
      </c>
      <c r="F22" s="70">
        <f>IF(OR(1239054.72912="",7824.42723="",11767.47545=""),"-",(11767.47545-7824.42723)/1239054.72912*100)</f>
        <v>0.31823035151969653</v>
      </c>
      <c r="G22" s="70">
        <f>IF(OR(1427663.68281="",14529.69835="",11767.47545=""),"-",(14529.69835-11767.47545)/1427663.68281*100)</f>
        <v>0.19347854352947144</v>
      </c>
    </row>
    <row r="23" spans="1:7" s="11" customFormat="1" ht="25.5">
      <c r="A23" s="53" t="s">
        <v>37</v>
      </c>
      <c r="B23" s="33">
        <f>IF(173147.06893="","-",173147.06893)</f>
        <v>173147.06893</v>
      </c>
      <c r="C23" s="69">
        <f>IF(162259.23206="","-",173147.06893/162259.23206*100)</f>
        <v>106.71014938981955</v>
      </c>
      <c r="D23" s="69">
        <f>IF(162259.23206="","-",162259.23206/1427663.68281*100)</f>
        <v>11.36536804947179</v>
      </c>
      <c r="E23" s="69">
        <f>IF(173147.06893="","-",173147.06893/1752733.24746*100)</f>
        <v>9.87868913771783</v>
      </c>
      <c r="F23" s="69">
        <f>IF(1239054.72912="","-",(162259.23206-116741.42844)/1239054.72912*100)</f>
        <v>3.673591048906097</v>
      </c>
      <c r="G23" s="69">
        <f>IF(1427663.68281="","-",(173147.06893-162259.23206)/1427663.68281*100)</f>
        <v>0.7626331748223789</v>
      </c>
    </row>
    <row r="24" spans="1:8" s="11" customFormat="1" ht="15.75">
      <c r="A24" s="22" t="s">
        <v>38</v>
      </c>
      <c r="B24" s="36">
        <f>IF(2207.43996="","-",2207.43996)</f>
        <v>2207.43996</v>
      </c>
      <c r="C24" s="70">
        <f>IF(OR(2568.93325="",2207.43996=""),"-",2207.43996/2568.93325*100)</f>
        <v>85.92827236752844</v>
      </c>
      <c r="D24" s="70">
        <f>IF(2568.93325="","-",2568.93325/1427663.68281*100)</f>
        <v>0.17993966512783288</v>
      </c>
      <c r="E24" s="70">
        <f>IF(2207.43996="","-",2207.43996/1752733.24746*100)</f>
        <v>0.12594272192867598</v>
      </c>
      <c r="F24" s="70">
        <f>IF(OR(1239054.72912="",2372.17118="",2568.93325=""),"-",(2568.93325-2372.17118)/1239054.72912*100)</f>
        <v>0.015880014447767318</v>
      </c>
      <c r="G24" s="70">
        <f>IF(OR(1427663.68281="",2207.43996="",2568.93325=""),"-",(2207.43996-2568.93325)/1427663.68281*100)</f>
        <v>-0.025320619579570065</v>
      </c>
      <c r="H24" s="8"/>
    </row>
    <row r="25" spans="1:8" s="11" customFormat="1" ht="15.75">
      <c r="A25" s="22" t="s">
        <v>39</v>
      </c>
      <c r="B25" s="36">
        <f>IF(145974.76474="","-",145974.76474)</f>
        <v>145974.76474</v>
      </c>
      <c r="C25" s="70">
        <f>IF(OR(138726.59308="",145974.76474=""),"-",145974.76474/138726.59308*100)</f>
        <v>105.22478891687348</v>
      </c>
      <c r="D25" s="70">
        <f>IF(138726.59308="","-",138726.59308/1427663.68281*100)</f>
        <v>9.717035934328125</v>
      </c>
      <c r="E25" s="70">
        <f>IF(145974.76474="","-",145974.76474/1752733.24746*100)</f>
        <v>8.328407357568048</v>
      </c>
      <c r="F25" s="70">
        <f>IF(OR(1239054.72912="",97969.92317="",138726.59308=""),"-",(138726.59308-97969.92317)/1239054.72912*100)</f>
        <v>3.2893357292575893</v>
      </c>
      <c r="G25" s="70">
        <f>IF(OR(1427663.68281="",145974.76474="",138726.59308=""),"-",(145974.76474-138726.59308)/1427663.68281*100)</f>
        <v>0.5076946165453899</v>
      </c>
      <c r="H25" s="9"/>
    </row>
    <row r="26" spans="1:8" s="11" customFormat="1" ht="15.75">
      <c r="A26" s="22" t="s">
        <v>41</v>
      </c>
      <c r="B26" s="36">
        <f>IF(546.80366="","-",546.80366)</f>
        <v>546.80366</v>
      </c>
      <c r="C26" s="70">
        <f>IF(OR(390.15177="",546.80366=""),"-",546.80366/390.15177*100)</f>
        <v>140.1515261612167</v>
      </c>
      <c r="D26" s="70">
        <f>IF(390.15177="","-",390.15177/1427663.68281*100)</f>
        <v>0.02732798870614146</v>
      </c>
      <c r="E26" s="70">
        <f>IF(546.80366="","-",546.80366/1752733.24746*100)</f>
        <v>0.031197197907463038</v>
      </c>
      <c r="F26" s="70">
        <f>IF(OR(1239054.72912="",1407.73678="",390.15177=""),"-",(390.15177-1407.73678)/1239054.72912*100)</f>
        <v>-0.08212591309204784</v>
      </c>
      <c r="G26" s="70">
        <f>IF(OR(1427663.68281="",546.80366="",390.15177=""),"-",(546.80366-390.15177)/1427663.68281*100)</f>
        <v>0.010972604534680734</v>
      </c>
      <c r="H26" s="9"/>
    </row>
    <row r="27" spans="1:8" s="11" customFormat="1" ht="15.75">
      <c r="A27" s="22" t="s">
        <v>236</v>
      </c>
      <c r="B27" s="36">
        <f>IF(2121.87908="","-",2121.87908)</f>
        <v>2121.87908</v>
      </c>
      <c r="C27" s="70">
        <f>IF(OR(1887.14454="",2121.87908=""),"-",2121.87908/1887.14454*100)</f>
        <v>112.43860949834823</v>
      </c>
      <c r="D27" s="70">
        <f>IF(1887.14454="","-",1887.14454/1427663.68281*100)</f>
        <v>0.1321841104962218</v>
      </c>
      <c r="E27" s="70">
        <f>IF(2121.87908="","-",2121.87908/1752733.24746*100)</f>
        <v>0.12106115309188968</v>
      </c>
      <c r="F27" s="70">
        <f>IF(OR(1239054.72912="",1680.11224="",1887.14454=""),"-",(1887.14454-1680.11224)/1239054.72912*100)</f>
        <v>0.01670889066756868</v>
      </c>
      <c r="G27" s="70">
        <f>IF(OR(1427663.68281="",2121.87908="",1887.14454=""),"-",(2121.87908-1887.14454)/1427663.68281*100)</f>
        <v>0.016441865323490176</v>
      </c>
      <c r="H27" s="9"/>
    </row>
    <row r="28" spans="1:8" s="11" customFormat="1" ht="38.25">
      <c r="A28" s="22" t="s">
        <v>258</v>
      </c>
      <c r="B28" s="36">
        <f>IF(305.61254="","-",305.61254)</f>
        <v>305.61254</v>
      </c>
      <c r="C28" s="70">
        <f>IF(OR(297.98782="",305.61254=""),"-",305.61254/297.98782*100)</f>
        <v>102.55873545435517</v>
      </c>
      <c r="D28" s="70">
        <f>IF(297.98782="","-",297.98782/1427663.68281*100)</f>
        <v>0.020872410189316105</v>
      </c>
      <c r="E28" s="70">
        <f>IF(305.61254="","-",305.61254/1752733.24746*100)</f>
        <v>0.017436340666378246</v>
      </c>
      <c r="F28" s="70">
        <f>IF(OR(1239054.72912="",725.23716="",297.98782=""),"-",(297.98782-725.23716)/1239054.72912*100)</f>
        <v>-0.034481877996094694</v>
      </c>
      <c r="G28" s="70">
        <f>IF(OR(1427663.68281="",305.61254="",297.98782=""),"-",(305.61254-297.98782)/1427663.68281*100)</f>
        <v>0.0005340697596924694</v>
      </c>
      <c r="H28" s="9"/>
    </row>
    <row r="29" spans="1:8" s="11" customFormat="1" ht="38.25">
      <c r="A29" s="22" t="s">
        <v>301</v>
      </c>
      <c r="B29" s="36">
        <f>IF(8202.87841="","-",8202.87841)</f>
        <v>8202.87841</v>
      </c>
      <c r="C29" s="70">
        <f>IF(OR(7082.48624="",8202.87841=""),"-",8202.87841/7082.48624*100)</f>
        <v>115.81919303524124</v>
      </c>
      <c r="D29" s="70">
        <f>IF(7082.48624="","-",7082.48624/1427663.68281*100)</f>
        <v>0.49608926284794835</v>
      </c>
      <c r="E29" s="70">
        <f>IF(8202.87841="","-",8202.87841/1752733.24746*100)</f>
        <v>0.46800495294348554</v>
      </c>
      <c r="F29" s="70">
        <f>IF(OR(1239054.72912="",4543.7778="",7082.48624=""),"-",(7082.48624-4543.7778)/1239054.72912*100)</f>
        <v>0.20489074294587767</v>
      </c>
      <c r="G29" s="70">
        <f>IF(OR(1427663.68281="",8202.87841="",7082.48624=""),"-",(8202.87841-7082.48624)/1427663.68281*100)</f>
        <v>0.07847731811702224</v>
      </c>
      <c r="H29" s="9"/>
    </row>
    <row r="30" spans="1:8" s="11" customFormat="1" ht="16.5" customHeight="1">
      <c r="A30" s="22" t="s">
        <v>259</v>
      </c>
      <c r="B30" s="36">
        <f>IF(11515.34823="","-",11515.34823)</f>
        <v>11515.34823</v>
      </c>
      <c r="C30" s="70">
        <f>IF(OR(10079.5505="",11515.34823=""),"-",11515.34823/10079.5505*100)</f>
        <v>114.24466031496148</v>
      </c>
      <c r="D30" s="70">
        <f>IF(10079.5505="","-",10079.5505/1427663.68281*100)</f>
        <v>0.7060171538552356</v>
      </c>
      <c r="E30" s="70">
        <f>IF(11515.34823="","-",11515.34823/1752733.24746*100)</f>
        <v>0.6569937693991736</v>
      </c>
      <c r="F30" s="70">
        <f>IF(OR(1239054.72912="",6997.44228="",10079.5505=""),"-",(10079.5505-6997.44228)/1239054.72912*100)</f>
        <v>0.24874673794183172</v>
      </c>
      <c r="G30" s="70">
        <f>IF(OR(1427663.68281="",11515.34823="",10079.5505=""),"-",(11515.34823-10079.5505)/1427663.68281*100)</f>
        <v>0.10056974533203719</v>
      </c>
      <c r="H30" s="9"/>
    </row>
    <row r="31" spans="1:8" s="11" customFormat="1" ht="25.5">
      <c r="A31" s="22" t="s">
        <v>43</v>
      </c>
      <c r="B31" s="36">
        <f>IF(2271.40543="","-",2271.40543)</f>
        <v>2271.40543</v>
      </c>
      <c r="C31" s="70" t="s">
        <v>160</v>
      </c>
      <c r="D31" s="70">
        <f>IF(1225.93538="","-",1225.93538/1427663.68281*100)</f>
        <v>0.08587004031559112</v>
      </c>
      <c r="E31" s="70">
        <f>IF(2271.40543="","-",2271.40543/1752733.24746*100)</f>
        <v>0.12959219169783204</v>
      </c>
      <c r="F31" s="70">
        <f>IF(OR(1239054.72912="",976.77802="",1225.93538=""),"-",(1225.93538-976.77802)/1239054.72912*100)</f>
        <v>0.020108664625085298</v>
      </c>
      <c r="G31" s="70">
        <f>IF(OR(1427663.68281="",2271.40543="",1225.93538=""),"-",(2271.40543-1225.93538)/1427663.68281*100)</f>
        <v>0.07322943509652446</v>
      </c>
      <c r="H31" s="9"/>
    </row>
    <row r="32" spans="1:8" s="11" customFormat="1" ht="25.5">
      <c r="A32" s="53" t="s">
        <v>44</v>
      </c>
      <c r="B32" s="33">
        <f>IF(13474.04542="","-",13474.04542)</f>
        <v>13474.04542</v>
      </c>
      <c r="C32" s="69">
        <f>IF(10104.82043="","-",13474.04542/10104.82043*100)</f>
        <v>133.34274976324346</v>
      </c>
      <c r="D32" s="69">
        <f>IF(10104.82043="","-",10104.82043/1427663.68281*100)</f>
        <v>0.7077871736648214</v>
      </c>
      <c r="E32" s="69">
        <f>IF(13474.04542="","-",13474.04542/1752733.24746*100)</f>
        <v>0.7687447841550401</v>
      </c>
      <c r="F32" s="69">
        <f>IF(1239054.72912="","-",(10104.82043-3624.19659)/1239054.72912*100)</f>
        <v>0.5230296683184174</v>
      </c>
      <c r="G32" s="69">
        <f>IF(1427663.68281="","-",(13474.04542-10104.82043)/1427663.68281*100)</f>
        <v>0.23599570617139476</v>
      </c>
      <c r="H32" s="9"/>
    </row>
    <row r="33" spans="1:7" s="11" customFormat="1" ht="15.75">
      <c r="A33" s="22" t="s">
        <v>302</v>
      </c>
      <c r="B33" s="36">
        <f>IF(18.25726="","-",18.25726)</f>
        <v>18.25726</v>
      </c>
      <c r="C33" s="70" t="s">
        <v>309</v>
      </c>
      <c r="D33" s="70">
        <f>IF(3.20163="","-",3.20163/1427663.68281*100)</f>
        <v>0.00022425659758315</v>
      </c>
      <c r="E33" s="70">
        <f>IF(18.25726="","-",18.25726/1752733.24746*100)</f>
        <v>0.0010416451006710682</v>
      </c>
      <c r="F33" s="70" t="str">
        <f>IF(OR(1239054.72912="",""="",3.20163=""),"-",(3.20163-"")/1239054.72912*100)</f>
        <v>-</v>
      </c>
      <c r="G33" s="70">
        <f>IF(OR(1427663.68281="",18.25726="",3.20163=""),"-",(18.25726-3.20163)/1427663.68281*100)</f>
        <v>0.0010545641933236507</v>
      </c>
    </row>
    <row r="34" spans="1:7" s="11" customFormat="1" ht="25.5">
      <c r="A34" s="22" t="s">
        <v>45</v>
      </c>
      <c r="B34" s="36">
        <f>IF(13440.64253="","-",13440.64253)</f>
        <v>13440.64253</v>
      </c>
      <c r="C34" s="70">
        <f>IF(OR(10096.9851699999="",13440.64253=""),"-",13440.64253/10096.9851699999*100)</f>
        <v>133.11540329815236</v>
      </c>
      <c r="D34" s="70">
        <f>IF(10096.9851699999="","-",10096.9851699999/1427663.68281*100)</f>
        <v>0.7072383567344448</v>
      </c>
      <c r="E34" s="70">
        <f>IF(13440.64253="","-",13440.64253/1752733.24746*100)</f>
        <v>0.7668390241057907</v>
      </c>
      <c r="F34" s="70">
        <f>IF(OR(1239054.72912="",3619.7038="",10096.9851699999=""),"-",(10096.9851699999-3619.7038)/1239054.72912*100)</f>
        <v>0.5227599086442443</v>
      </c>
      <c r="G34" s="70">
        <f>IF(OR(1427663.68281="",13440.64253="",10096.9851699999=""),"-",(13440.64253-10096.9851699999)/1427663.68281*100)</f>
        <v>0.23420483411183673</v>
      </c>
    </row>
    <row r="35" spans="1:7" s="11" customFormat="1" ht="25.5">
      <c r="A35" s="22" t="s">
        <v>46</v>
      </c>
      <c r="B35" s="36">
        <f>IF(9.38137="","-",9.38137)</f>
        <v>9.38137</v>
      </c>
      <c r="C35" s="70" t="str">
        <f>IF(OR(""="",9.38137=""),"-",9.38137/""*100)</f>
        <v>-</v>
      </c>
      <c r="D35" s="70" t="str">
        <f>IF(""="","-",""/1427663.68281*100)</f>
        <v>-</v>
      </c>
      <c r="E35" s="70">
        <f>IF(9.38137="","-",9.38137/1752733.24746*100)</f>
        <v>0.0005352423144591544</v>
      </c>
      <c r="F35" s="70" t="str">
        <f>IF(OR(1239054.72912="",""="",""=""),"-",(""-"")/1239054.72912*100)</f>
        <v>-</v>
      </c>
      <c r="G35" s="70" t="str">
        <f>IF(OR(1427663.68281="",9.38137="",""=""),"-",(9.38137-"")/1427663.68281*100)</f>
        <v>-</v>
      </c>
    </row>
    <row r="36" spans="1:7" s="11" customFormat="1" ht="15.75">
      <c r="A36" s="22" t="s">
        <v>47</v>
      </c>
      <c r="B36" s="36">
        <f>IF(5.76426="","-",5.76426)</f>
        <v>5.76426</v>
      </c>
      <c r="C36" s="70">
        <f>IF(OR(4.63363="",5.76426=""),"-",5.76426/4.63363*100)</f>
        <v>124.40052399522621</v>
      </c>
      <c r="D36" s="70">
        <f>IF(4.63363="","-",4.63363/1427663.68281*100)</f>
        <v>0.00032456033278649036</v>
      </c>
      <c r="E36" s="70">
        <f>IF(5.76426="","-",5.76426/1752733.24746*100)</f>
        <v>0.00032887263411893197</v>
      </c>
      <c r="F36" s="70">
        <f>IF(OR(1239054.72912="",4.49279="",4.63363=""),"-",(4.63363-4.49279)/1239054.72912*100)</f>
        <v>1.136672954713042E-05</v>
      </c>
      <c r="G36" s="70">
        <f>IF(OR(1427663.68281="",5.76426="",4.63363=""),"-",(5.76426-4.63363)/1427663.68281*100)</f>
        <v>7.91944218805536E-05</v>
      </c>
    </row>
    <row r="37" spans="1:7" s="11" customFormat="1" ht="25.5">
      <c r="A37" s="53" t="s">
        <v>48</v>
      </c>
      <c r="B37" s="33">
        <f>IF(49303.59558="","-",49303.59558)</f>
        <v>49303.59558</v>
      </c>
      <c r="C37" s="69" t="s">
        <v>160</v>
      </c>
      <c r="D37" s="69">
        <f>IF(25464.91668="","-",25464.91668/1427663.68281*100)</f>
        <v>1.7836775556186075</v>
      </c>
      <c r="E37" s="69">
        <f>IF(49303.59558="","-",49303.59558/1752733.24746*100)</f>
        <v>2.8129548892536302</v>
      </c>
      <c r="F37" s="69">
        <f>IF(1239054.72912="","-",(25464.91668-25488.02032)/1239054.72912*100)</f>
        <v>-0.001864618201038611</v>
      </c>
      <c r="G37" s="69">
        <f>IF(1427663.68281="","-",(49303.59558-25464.91668)/1427663.68281*100)</f>
        <v>1.669768530714426</v>
      </c>
    </row>
    <row r="38" spans="1:7" s="11" customFormat="1" ht="25.5">
      <c r="A38" s="22" t="s">
        <v>50</v>
      </c>
      <c r="B38" s="36">
        <f>IF(49135.83099="","-",49135.83099)</f>
        <v>49135.83099</v>
      </c>
      <c r="C38" s="70" t="s">
        <v>160</v>
      </c>
      <c r="D38" s="70">
        <f>IF(25367.75134="","-",25367.75134/1427663.68281*100)</f>
        <v>1.7768716572007985</v>
      </c>
      <c r="E38" s="70">
        <f>IF(49135.83099="","-",49135.83099/1752733.24746*100)</f>
        <v>2.803383290709293</v>
      </c>
      <c r="F38" s="70">
        <f>IF(OR(1239054.72912="",25391.30297="",25367.75134=""),"-",(25367.75134-25391.30297)/1239054.72912*100)</f>
        <v>-0.001900773988952737</v>
      </c>
      <c r="G38" s="70">
        <f>IF(OR(1427663.68281="",49135.83099="",25367.75134=""),"-",(49135.83099-25367.75134)/1427663.68281*100)</f>
        <v>1.6648234409954639</v>
      </c>
    </row>
    <row r="39" spans="1:7" s="11" customFormat="1" ht="63.75">
      <c r="A39" s="22" t="s">
        <v>237</v>
      </c>
      <c r="B39" s="36">
        <f>IF(167.76151="","-",167.76151)</f>
        <v>167.76151</v>
      </c>
      <c r="C39" s="70" t="s">
        <v>159</v>
      </c>
      <c r="D39" s="70">
        <f>IF(97.16534="","-",97.16534/1427663.68281*100)</f>
        <v>0.006805898417809036</v>
      </c>
      <c r="E39" s="70">
        <f>IF(167.76151="","-",167.76151/1752733.24746*100)</f>
        <v>0.009571422818795396</v>
      </c>
      <c r="F39" s="70">
        <f>IF(OR(1239054.72912="",71.07938="",97.16534=""),"-",(97.16534-71.07938)/1239054.72912*100)</f>
        <v>0.0021053113625196154</v>
      </c>
      <c r="G39" s="70">
        <f>IF(OR(1427663.68281="",167.76151="",97.16534=""),"-",(167.76151-97.16534)/1427663.68281*100)</f>
        <v>0.004944873981878493</v>
      </c>
    </row>
    <row r="40" spans="1:7" s="11" customFormat="1" ht="25.5">
      <c r="A40" s="53" t="s">
        <v>51</v>
      </c>
      <c r="B40" s="33">
        <f>IF(84102.41998="","-",84102.41998)</f>
        <v>84102.41998</v>
      </c>
      <c r="C40" s="69">
        <f>IF(86716.0138="","-",84102.41998/86716.0138*100)</f>
        <v>96.98603094691607</v>
      </c>
      <c r="D40" s="69">
        <f>IF(86716.0138="","-",86716.0138/1427663.68281*100)</f>
        <v>6.0739805070421875</v>
      </c>
      <c r="E40" s="69">
        <f>IF(84102.41998="","-",84102.41998/1752733.24746*100)</f>
        <v>4.798358227179081</v>
      </c>
      <c r="F40" s="69">
        <f>IF(1239054.72912="","-",(86716.0138-69928.60767)/1239054.72912*100)</f>
        <v>1.3548559022830844</v>
      </c>
      <c r="G40" s="69">
        <f>IF(1427663.68281="","-",(84102.41998-86716.0138)/1427663.68281*100)</f>
        <v>-0.18306789277260221</v>
      </c>
    </row>
    <row r="41" spans="1:7" s="11" customFormat="1" ht="15.75">
      <c r="A41" s="22" t="s">
        <v>52</v>
      </c>
      <c r="B41" s="36">
        <f>IF(17499.05209="","-",17499.05209)</f>
        <v>17499.05209</v>
      </c>
      <c r="C41" s="70">
        <f>IF(OR(15827.79576="",17499.05209=""),"-",17499.05209/15827.79576*100)</f>
        <v>110.55899605568325</v>
      </c>
      <c r="D41" s="70">
        <f>IF(15827.79576="","-",15827.79576/1427663.68281*100)</f>
        <v>1.1086501639410573</v>
      </c>
      <c r="E41" s="70">
        <f>IF(17499.05209="","-",17499.05209/1752733.24746*100)</f>
        <v>0.9983864980800141</v>
      </c>
      <c r="F41" s="70">
        <f>IF(OR(1239054.72912="",10297.45193="",15827.79576=""),"-",(15827.79576-10297.45193)/1239054.72912*100)</f>
        <v>0.446335718675458</v>
      </c>
      <c r="G41" s="70">
        <f>IF(OR(1427663.68281="",17499.05209="",15827.79576=""),"-",(17499.05209-15827.79576)/1427663.68281*100)</f>
        <v>0.11706232708186208</v>
      </c>
    </row>
    <row r="42" spans="1:7" s="11" customFormat="1" ht="15.75">
      <c r="A42" s="22" t="s">
        <v>53</v>
      </c>
      <c r="B42" s="36">
        <f>IF(696.1364="","-",696.1364)</f>
        <v>696.1364</v>
      </c>
      <c r="C42" s="70">
        <f>IF(OR(748.19051="",696.1364=""),"-",696.1364/748.19051*100)</f>
        <v>93.04266636581637</v>
      </c>
      <c r="D42" s="70">
        <f>IF(748.19051="","-",748.19051/1427663.68281*100)</f>
        <v>0.052406636031209645</v>
      </c>
      <c r="E42" s="70">
        <f>IF(696.1364="","-",696.1364/1752733.24746*100)</f>
        <v>0.03971719033736689</v>
      </c>
      <c r="F42" s="70">
        <f>IF(OR(1239054.72912="",583.56909="",748.19051=""),"-",(748.19051-583.56909)/1239054.72912*100)</f>
        <v>0.013286049125280953</v>
      </c>
      <c r="G42" s="70">
        <f>IF(OR(1427663.68281="",696.1364="",748.19051=""),"-",(696.1364-748.19051)/1427663.68281*100)</f>
        <v>-0.0036461045151435457</v>
      </c>
    </row>
    <row r="43" spans="1:7" s="11" customFormat="1" ht="15.75">
      <c r="A43" s="22" t="s">
        <v>54</v>
      </c>
      <c r="B43" s="36">
        <f>IF(2359.56245="","-",2359.56245)</f>
        <v>2359.56245</v>
      </c>
      <c r="C43" s="70" t="s">
        <v>193</v>
      </c>
      <c r="D43" s="70">
        <f>IF(691.06733="","-",691.06733/1427663.68281*100)</f>
        <v>0.04840547100279292</v>
      </c>
      <c r="E43" s="70">
        <f>IF(2359.56245="","-",2359.56245/1752733.24746*100)</f>
        <v>0.13462188005045236</v>
      </c>
      <c r="F43" s="70">
        <f>IF(OR(1239054.72912="",1071.58983="",691.06733=""),"-",(691.06733-1071.58983)/1239054.72912*100)</f>
        <v>-0.030710709628642002</v>
      </c>
      <c r="G43" s="70">
        <f>IF(OR(1427663.68281="",2359.56245="",691.06733=""),"-",(2359.56245-691.06733)/1427663.68281*100)</f>
        <v>0.11686891948641458</v>
      </c>
    </row>
    <row r="44" spans="1:7" s="11" customFormat="1" ht="15.75">
      <c r="A44" s="22" t="s">
        <v>55</v>
      </c>
      <c r="B44" s="36">
        <f>IF(43562.46381="","-",43562.46381)</f>
        <v>43562.46381</v>
      </c>
      <c r="C44" s="70">
        <f>IF(OR(41438.81329="",43562.46381=""),"-",43562.46381/41438.81329*100)</f>
        <v>105.12478604331193</v>
      </c>
      <c r="D44" s="70">
        <f>IF(41438.81329="","-",41438.81329/1427663.68281*100)</f>
        <v>2.902561281690519</v>
      </c>
      <c r="E44" s="70">
        <f>IF(43562.46381="","-",43562.46381/1752733.24746*100)</f>
        <v>2.4854018073274533</v>
      </c>
      <c r="F44" s="70">
        <f>IF(OR(1239054.72912="",25791.76472="",41438.81329=""),"-",(41438.81329-25791.76472)/1239054.72912*100)</f>
        <v>1.2628214236438795</v>
      </c>
      <c r="G44" s="70">
        <f>IF(OR(1427663.68281="",43562.46381="",41438.81329=""),"-",(43562.46381-41438.81329)/1427663.68281*100)</f>
        <v>0.14875005546265116</v>
      </c>
    </row>
    <row r="45" spans="1:7" s="11" customFormat="1" ht="38.25">
      <c r="A45" s="22" t="s">
        <v>307</v>
      </c>
      <c r="B45" s="36">
        <f>IF(15330.84692="","-",15330.84692)</f>
        <v>15330.84692</v>
      </c>
      <c r="C45" s="70">
        <f>IF(OR(19854.30555="",15330.84692=""),"-",15330.84692/19854.30555*100)</f>
        <v>77.21673710214458</v>
      </c>
      <c r="D45" s="70">
        <f>IF(19854.30555="","-",19854.30555/1427663.68281*100)</f>
        <v>1.3906850604283603</v>
      </c>
      <c r="E45" s="70">
        <f>IF(15330.84692="","-",15330.84692/1752733.24746*100)</f>
        <v>0.8746822679501818</v>
      </c>
      <c r="F45" s="70">
        <f>IF(OR(1239054.72912="",25526.98654="",19854.30555=""),"-",(19854.30555-25526.98654)/1239054.72912*100)</f>
        <v>-0.4578232790434403</v>
      </c>
      <c r="G45" s="70">
        <f>IF(OR(1427663.68281="",15330.84692="",19854.30555=""),"-",(15330.84692-19854.30555)/1427663.68281*100)</f>
        <v>-0.3168434333985929</v>
      </c>
    </row>
    <row r="46" spans="1:7" s="11" customFormat="1" ht="15.75">
      <c r="A46" s="22" t="s">
        <v>57</v>
      </c>
      <c r="B46" s="36">
        <f>IF(1587.48637="","-",1587.48637)</f>
        <v>1587.48637</v>
      </c>
      <c r="C46" s="70">
        <f>IF(OR(2562.30153="",1587.48637=""),"-",1587.48637/2562.30153*100)</f>
        <v>61.95548616793746</v>
      </c>
      <c r="D46" s="70">
        <f>IF(2562.30153="","-",2562.30153/1427663.68281*100)</f>
        <v>0.17947514956440921</v>
      </c>
      <c r="E46" s="70">
        <f>IF(1587.48637="","-",1587.48637/1752733.24746*100)</f>
        <v>0.09057204639100275</v>
      </c>
      <c r="F46" s="70">
        <f>IF(OR(1239054.72912="",2429.08092="",2562.30153=""),"-",(2562.30153-2429.08092)/1239054.72912*100)</f>
        <v>0.010751793836791704</v>
      </c>
      <c r="G46" s="70">
        <f>IF(OR(1427663.68281="",1587.48637="",2562.30153=""),"-",(1587.48637-2562.30153)/1427663.68281*100)</f>
        <v>-0.0682804481011466</v>
      </c>
    </row>
    <row r="47" spans="1:7" s="11" customFormat="1" ht="15.75">
      <c r="A47" s="22" t="s">
        <v>58</v>
      </c>
      <c r="B47" s="36">
        <f>IF(1249.98349="","-",1249.98349)</f>
        <v>1249.98349</v>
      </c>
      <c r="C47" s="70">
        <f>IF(OR(2071.71817="",1249.98349=""),"-",1249.98349/2071.71817*100)</f>
        <v>60.33559526100986</v>
      </c>
      <c r="D47" s="70">
        <f>IF(2071.71817="","-",2071.71817/1427663.68281*100)</f>
        <v>0.14511247956678</v>
      </c>
      <c r="E47" s="70">
        <f>IF(1249.98349="","-",1249.98349/1752733.24746*100)</f>
        <v>0.07131624232103959</v>
      </c>
      <c r="F47" s="70">
        <f>IF(OR(1239054.72912="",1989.28725="",2071.71817=""),"-",(2071.71817-1989.28725)/1239054.72912*100)</f>
        <v>0.006652726313271408</v>
      </c>
      <c r="G47" s="70">
        <f>IF(OR(1427663.68281="",1249.98349="",2071.71817=""),"-",(1249.98349-2071.71817)/1427663.68281*100)</f>
        <v>-0.057558001222152</v>
      </c>
    </row>
    <row r="48" spans="1:7" s="11" customFormat="1" ht="15.75">
      <c r="A48" s="22" t="s">
        <v>59</v>
      </c>
      <c r="B48" s="36">
        <f>IF(1816.88845="","-",1816.88845)</f>
        <v>1816.88845</v>
      </c>
      <c r="C48" s="70">
        <f>IF(OR(3471.42166="",1816.88845=""),"-",1816.88845/3471.42166*100)</f>
        <v>52.33845461458577</v>
      </c>
      <c r="D48" s="70">
        <f>IF(3471.42166="","-",3471.42166/1427663.68281*100)</f>
        <v>0.24315402162275165</v>
      </c>
      <c r="E48" s="70">
        <f>IF(1816.88845="","-",1816.88845/1752733.24746*100)</f>
        <v>0.1036602947215711</v>
      </c>
      <c r="F48" s="70">
        <f>IF(OR(1239054.72912="",2217.43106="",3471.42166=""),"-",(3471.42166-2217.43106)/1239054.72912*100)</f>
        <v>0.1012054246296778</v>
      </c>
      <c r="G48" s="70">
        <f>IF(OR(1427663.68281="",1816.88845="",3471.42166=""),"-",(1816.88845-3471.42166)/1427663.68281*100)</f>
        <v>-0.11589096437218771</v>
      </c>
    </row>
    <row r="49" spans="1:7" s="11" customFormat="1" ht="25.5">
      <c r="A49" s="53" t="s">
        <v>263</v>
      </c>
      <c r="B49" s="33">
        <f>IF(120103.30112="","-",120103.30112)</f>
        <v>120103.30112</v>
      </c>
      <c r="C49" s="69">
        <f>IF(110956.48661="","-",120103.30112/110956.48661*100)</f>
        <v>108.24360502883445</v>
      </c>
      <c r="D49" s="69">
        <f>IF(110956.48661="","-",110956.48661/1427663.68281*100)</f>
        <v>7.771892494429069</v>
      </c>
      <c r="E49" s="69">
        <f>IF(120103.30112="","-",120103.30112/1752733.24746*100)</f>
        <v>6.8523434067362805</v>
      </c>
      <c r="F49" s="69">
        <f>IF(1239054.72912="","-",(110956.48661-118473.10784)/1239054.72912*100)</f>
        <v>-0.6066415835673727</v>
      </c>
      <c r="G49" s="69">
        <f>IF(1427663.68281="","-",(120103.30112-110956.48661)/1427663.68281*100)</f>
        <v>0.6406841205063627</v>
      </c>
    </row>
    <row r="50" spans="1:7" s="11" customFormat="1" ht="15.75">
      <c r="A50" s="22" t="s">
        <v>60</v>
      </c>
      <c r="B50" s="36">
        <f>IF(1156.04358="","-",1156.04358)</f>
        <v>1156.04358</v>
      </c>
      <c r="C50" s="70">
        <f>IF(OR(1619.891="",1156.04358=""),"-",1156.04358/1619.891*100)</f>
        <v>71.36551656870739</v>
      </c>
      <c r="D50" s="70">
        <f>IF(1619.891="","-",1619.891/1427663.68281*100)</f>
        <v>0.11346446782281726</v>
      </c>
      <c r="E50" s="70">
        <f>IF(1156.04358="","-",1156.04358/1752733.24746*100)</f>
        <v>0.06595661842298582</v>
      </c>
      <c r="F50" s="70">
        <f>IF(OR(1239054.72912="",1195.93531="",1619.891=""),"-",(1619.891-1195.93531)/1239054.72912*100)</f>
        <v>0.03421605842230241</v>
      </c>
      <c r="G50" s="70">
        <f>IF(OR(1427663.68281="",1156.04358="",1619.891=""),"-",(1156.04358-1619.891)/1427663.68281*100)</f>
        <v>-0.032489964239128935</v>
      </c>
    </row>
    <row r="51" spans="1:7" s="11" customFormat="1" ht="15.75">
      <c r="A51" s="22" t="s">
        <v>61</v>
      </c>
      <c r="B51" s="36">
        <f>IF(1004.0371="","-",1004.0371)</f>
        <v>1004.0371</v>
      </c>
      <c r="C51" s="70">
        <f>IF(OR(1472.91577="",1004.0371=""),"-",1004.0371/1472.91577*100)</f>
        <v>68.16663385985744</v>
      </c>
      <c r="D51" s="70">
        <f>IF(1472.91577="","-",1472.91577/1427663.68281*100)</f>
        <v>0.10316966017521247</v>
      </c>
      <c r="E51" s="70">
        <f>IF(1004.0371="","-",1004.0371/1752733.24746*100)</f>
        <v>0.05728407910644792</v>
      </c>
      <c r="F51" s="70">
        <f>IF(OR(1239054.72912="",9260.15125="",1472.91577=""),"-",(1472.91577-9260.15125)/1239054.72912*100)</f>
        <v>-0.6284819626596028</v>
      </c>
      <c r="G51" s="70">
        <f>IF(OR(1427663.68281="",1004.0371="",1472.91577=""),"-",(1004.0371-1472.91577)/1427663.68281*100)</f>
        <v>-0.03284237566911623</v>
      </c>
    </row>
    <row r="52" spans="1:7" s="11" customFormat="1" ht="15.75">
      <c r="A52" s="22" t="s">
        <v>62</v>
      </c>
      <c r="B52" s="36">
        <f>IF(10788.4091="","-",10788.4091)</f>
        <v>10788.4091</v>
      </c>
      <c r="C52" s="70" t="s">
        <v>159</v>
      </c>
      <c r="D52" s="70">
        <f>IF(6177.88419="","-",6177.88419/1427663.68281*100)</f>
        <v>0.4327268574795134</v>
      </c>
      <c r="E52" s="70">
        <f>IF(10788.4091="","-",10788.4091/1752733.24746*100)</f>
        <v>0.6155191678844563</v>
      </c>
      <c r="F52" s="70">
        <f>IF(OR(1239054.72912="",5401.00161="",6177.88419=""),"-",(6177.88419-5401.00161)/1239054.72912*100)</f>
        <v>0.06269961784107439</v>
      </c>
      <c r="G52" s="70">
        <f>IF(OR(1427663.68281="",10788.4091="",6177.88419=""),"-",(10788.4091-6177.88419)/1427663.68281*100)</f>
        <v>0.32294194812922133</v>
      </c>
    </row>
    <row r="53" spans="1:7" s="11" customFormat="1" ht="25.5">
      <c r="A53" s="22" t="s">
        <v>260</v>
      </c>
      <c r="B53" s="36">
        <f>IF(6348.35674="","-",6348.35674)</f>
        <v>6348.35674</v>
      </c>
      <c r="C53" s="70">
        <f>IF(OR(4918.01231="",6348.35674=""),"-",6348.35674/4918.01231*100)</f>
        <v>129.08379117090905</v>
      </c>
      <c r="D53" s="70">
        <f>IF(4918.01231="","-",4918.01231/1427663.68281*100)</f>
        <v>0.34447975172416795</v>
      </c>
      <c r="E53" s="70">
        <f>IF(6348.35674="","-",6348.35674/1752733.24746*100)</f>
        <v>0.3621975419933306</v>
      </c>
      <c r="F53" s="70">
        <f>IF(OR(1239054.72912="",4473.43881="",4918.01231=""),"-",(4918.01231-4473.43881)/1239054.72912*100)</f>
        <v>0.03588005352400736</v>
      </c>
      <c r="G53" s="70">
        <f>IF(OR(1427663.68281="",6348.35674="",4918.01231=""),"-",(6348.35674-4918.01231)/1427663.68281*100)</f>
        <v>0.10018777161752296</v>
      </c>
    </row>
    <row r="54" spans="1:7" s="11" customFormat="1" ht="25.5">
      <c r="A54" s="22" t="s">
        <v>261</v>
      </c>
      <c r="B54" s="36">
        <f>IF(48315.04643="","-",48315.04643)</f>
        <v>48315.04643</v>
      </c>
      <c r="C54" s="70">
        <f>IF(OR(55302.74238="",48315.04643=""),"-",48315.04643/55302.74238*100)</f>
        <v>87.36464838943128</v>
      </c>
      <c r="D54" s="70">
        <f>IF(55302.74238="","-",55302.74238/1427663.68281*100)</f>
        <v>3.873653371300329</v>
      </c>
      <c r="E54" s="70">
        <f>IF(48315.04643="","-",48315.04643/1752733.24746*100)</f>
        <v>2.756554455734578</v>
      </c>
      <c r="F54" s="70">
        <f>IF(OR(1239054.72912="",51024.81495="",55302.74238=""),"-",(55302.74238-51024.81495)/1239054.72912*100)</f>
        <v>0.345257342509662</v>
      </c>
      <c r="G54" s="70">
        <f>IF(OR(1427663.68281="",48315.04643="",55302.74238=""),"-",(48315.04643-55302.74238)/1427663.68281*100)</f>
        <v>-0.48944972363844574</v>
      </c>
    </row>
    <row r="55" spans="1:7" s="11" customFormat="1" ht="15.75" customHeight="1">
      <c r="A55" s="22" t="s">
        <v>63</v>
      </c>
      <c r="B55" s="36">
        <f>IF(32955.56148="","-",32955.56148)</f>
        <v>32955.56148</v>
      </c>
      <c r="C55" s="70" t="s">
        <v>159</v>
      </c>
      <c r="D55" s="70">
        <f>IF(19904.61059="","-",19904.61059/1427663.68281*100)</f>
        <v>1.3942086521962047</v>
      </c>
      <c r="E55" s="70">
        <f>IF(32955.56148="","-",32955.56148/1752733.24746*100)</f>
        <v>1.8802382808540918</v>
      </c>
      <c r="F55" s="70">
        <f>IF(OR(1239054.72912="",22998.78532="",19904.61059=""),"-",(19904.61059-22998.78532)/1239054.72912*100)</f>
        <v>-0.24972058596616953</v>
      </c>
      <c r="G55" s="70">
        <f>IF(OR(1427663.68281="",32955.56148="",19904.61059=""),"-",(32955.56148-19904.61059)/1427663.68281*100)</f>
        <v>0.9141474317195247</v>
      </c>
    </row>
    <row r="56" spans="1:7" s="11" customFormat="1" ht="15.75">
      <c r="A56" s="22" t="s">
        <v>262</v>
      </c>
      <c r="B56" s="36">
        <f>IF(1979.34798="","-",1979.34798)</f>
        <v>1979.34798</v>
      </c>
      <c r="C56" s="70">
        <f>IF(OR(1709.38537="",1979.34798=""),"-",1979.34798/1709.38537*100)</f>
        <v>115.79296364283263</v>
      </c>
      <c r="D56" s="70">
        <f>IF(1709.38537="","-",1709.38537/1427663.68281*100)</f>
        <v>0.11973305692244698</v>
      </c>
      <c r="E56" s="70">
        <f>IF(1979.34798="","-",1979.34798/1752733.24746*100)</f>
        <v>0.11292921971260614</v>
      </c>
      <c r="F56" s="70">
        <f>IF(OR(1239054.72912="",2651.43715="",1709.38537=""),"-",(1709.38537-2651.43715)/1239054.72912*100)</f>
        <v>-0.07602987647438811</v>
      </c>
      <c r="G56" s="70">
        <f>IF(OR(1427663.68281="",1979.34798="",1709.38537=""),"-",(1979.34798-1709.38537)/1427663.68281*100)</f>
        <v>0.018909398148214147</v>
      </c>
    </row>
    <row r="57" spans="1:7" s="11" customFormat="1" ht="15.75">
      <c r="A57" s="22" t="s">
        <v>64</v>
      </c>
      <c r="B57" s="36">
        <f>IF(1628.45913="","-",1628.45913)</f>
        <v>1628.45913</v>
      </c>
      <c r="C57" s="70">
        <f>IF(OR(2358.06863="",1628.45913=""),"-",1628.45913/2358.06863*100)</f>
        <v>69.05902183177763</v>
      </c>
      <c r="D57" s="70">
        <f>IF(2358.06863="","-",2358.06863/1427663.68281*100)</f>
        <v>0.1651697566025305</v>
      </c>
      <c r="E57" s="70">
        <f>IF(1628.45913="","-",1628.45913/1752733.24746*100)</f>
        <v>0.09290969589125476</v>
      </c>
      <c r="F57" s="70">
        <f>IF(OR(1239054.72912="",1603.86658="",2358.06863=""),"-",(2358.06863-1603.86658)/1239054.72912*100)</f>
        <v>0.060869147445621594</v>
      </c>
      <c r="G57" s="70">
        <f>IF(OR(1427663.68281="",1628.45913="",2358.06863=""),"-",(1628.45913-2358.06863)/1427663.68281*100)</f>
        <v>-0.05110513833089498</v>
      </c>
    </row>
    <row r="58" spans="1:7" s="11" customFormat="1" ht="15.75">
      <c r="A58" s="22" t="s">
        <v>65</v>
      </c>
      <c r="B58" s="36">
        <f>IF(15928.03958="","-",15928.03958)</f>
        <v>15928.03958</v>
      </c>
      <c r="C58" s="70">
        <f>IF(OR(17492.97637="",15928.03958=""),"-",15928.03958/17492.97637*100)</f>
        <v>91.05391354278723</v>
      </c>
      <c r="D58" s="70">
        <f>IF(17492.97637="","-",17492.97637/1427663.68281*100)</f>
        <v>1.2252869202058456</v>
      </c>
      <c r="E58" s="70">
        <f>IF(15928.03958="","-",15928.03958/1752733.24746*100)</f>
        <v>0.9087543471365287</v>
      </c>
      <c r="F58" s="70">
        <f>IF(OR(1239054.72912="",19863.67686="",17492.97637=""),"-",(17492.97637-19863.67686)/1239054.72912*100)</f>
        <v>-0.19133137820988064</v>
      </c>
      <c r="G58" s="70">
        <f>IF(OR(1427663.68281="",15928.03958="",17492.97637=""),"-",(15928.03958-17492.97637)/1427663.68281*100)</f>
        <v>-0.10961522723053457</v>
      </c>
    </row>
    <row r="59" spans="1:7" s="11" customFormat="1" ht="25.5">
      <c r="A59" s="53" t="s">
        <v>66</v>
      </c>
      <c r="B59" s="33">
        <f>IF(367810.25242="","-",367810.25242)</f>
        <v>367810.25242</v>
      </c>
      <c r="C59" s="69">
        <f>IF(264591.00763="","-",367810.25242/264591.00763*100)</f>
        <v>139.01086651226643</v>
      </c>
      <c r="D59" s="69">
        <f>IF(264591.00763="","-",264591.00763/1427663.68281*100)</f>
        <v>18.533146903983617</v>
      </c>
      <c r="E59" s="69">
        <f>IF(367810.25242="","-",367810.25242/1752733.24746*100)</f>
        <v>20.98495324106037</v>
      </c>
      <c r="F59" s="69">
        <f>IF(1239054.72912="","-",(264591.00763-205558.28322)/1239054.72912*100)</f>
        <v>4.76433550694941</v>
      </c>
      <c r="G59" s="69">
        <f>IF(1427663.68281="","-",(367810.25242-264591.00763)/1427663.68281*100)</f>
        <v>7.229941199235286</v>
      </c>
    </row>
    <row r="60" spans="1:7" s="11" customFormat="1" ht="25.5">
      <c r="A60" s="22" t="s">
        <v>67</v>
      </c>
      <c r="B60" s="36">
        <f>IF(2074.07136="","-",2074.07136)</f>
        <v>2074.07136</v>
      </c>
      <c r="C60" s="70">
        <f>IF(OR(1869.14949="",2074.07136=""),"-",2074.07136/1869.14949*100)</f>
        <v>110.96337511238868</v>
      </c>
      <c r="D60" s="70">
        <f>IF(1869.14949="","-",1869.14949/1427663.68281*100)</f>
        <v>0.1309236560757114</v>
      </c>
      <c r="E60" s="70">
        <f>IF(2074.07136="","-",2074.07136/1752733.24746*100)</f>
        <v>0.11833354351015318</v>
      </c>
      <c r="F60" s="70">
        <f>IF(OR(1239054.72912="",1586.23033="",1869.14949=""),"-",(1869.14949-1586.23033)/1239054.72912*100)</f>
        <v>0.022833467590324636</v>
      </c>
      <c r="G60" s="70">
        <f>IF(OR(1427663.68281="",2074.07136="",1869.14949=""),"-",(2074.07136-1869.14949)/1427663.68281*100)</f>
        <v>0.014353651526433895</v>
      </c>
    </row>
    <row r="61" spans="1:7" s="11" customFormat="1" ht="25.5">
      <c r="A61" s="22" t="s">
        <v>68</v>
      </c>
      <c r="B61" s="36">
        <f>IF(9792.10617="","-",9792.10617)</f>
        <v>9792.10617</v>
      </c>
      <c r="C61" s="70" t="s">
        <v>159</v>
      </c>
      <c r="D61" s="70">
        <f>IF(5666.87367="","-",5666.87367/1427663.68281*100)</f>
        <v>0.396933377113451</v>
      </c>
      <c r="E61" s="70">
        <f>IF(9792.10617="","-",9792.10617/1752733.24746*100)</f>
        <v>0.5586763521597127</v>
      </c>
      <c r="F61" s="70">
        <f>IF(OR(1239054.72912="",5916.78307="",5666.87367=""),"-",(5666.87367-5916.78307)/1239054.72912*100)</f>
        <v>-0.020169359280642174</v>
      </c>
      <c r="G61" s="70">
        <f>IF(OR(1427663.68281="",9792.10617="",5666.87367=""),"-",(9792.10617-5666.87367)/1427663.68281*100)</f>
        <v>0.28894988012026107</v>
      </c>
    </row>
    <row r="62" spans="1:7" s="11" customFormat="1" ht="25.5">
      <c r="A62" s="22" t="s">
        <v>69</v>
      </c>
      <c r="B62" s="36">
        <f>IF(1551.16156="","-",1551.16156)</f>
        <v>1551.16156</v>
      </c>
      <c r="C62" s="70" t="s">
        <v>217</v>
      </c>
      <c r="D62" s="70">
        <f>IF(983.35257="","-",983.35257/1427663.68281*100)</f>
        <v>0.06887844678268454</v>
      </c>
      <c r="E62" s="70">
        <f>IF(1551.16156="","-",1551.16156/1752733.24746*100)</f>
        <v>0.08849957985608417</v>
      </c>
      <c r="F62" s="70">
        <f>IF(OR(1239054.72912="",1248.09527="",983.35257=""),"-",(983.35257-1248.09527)/1239054.72912*100)</f>
        <v>-0.021366505754594492</v>
      </c>
      <c r="G62" s="70">
        <f>IF(OR(1427663.68281="",1551.16156="",983.35257=""),"-",(1551.16156-983.35257)/1427663.68281*100)</f>
        <v>0.03977190124234369</v>
      </c>
    </row>
    <row r="63" spans="1:7" s="11" customFormat="1" ht="38.25">
      <c r="A63" s="22" t="s">
        <v>70</v>
      </c>
      <c r="B63" s="36">
        <f>IF(13494.96529="","-",13494.96529)</f>
        <v>13494.96529</v>
      </c>
      <c r="C63" s="70">
        <f>IF(OR(19955.72818="",13494.96529=""),"-",13494.96529/19955.72818*100)</f>
        <v>67.62451947769516</v>
      </c>
      <c r="D63" s="70">
        <f>IF(19955.72818="","-",19955.72818/1427663.68281*100)</f>
        <v>1.3977891586288813</v>
      </c>
      <c r="E63" s="70">
        <f>IF(13494.96529="","-",13494.96529/1752733.24746*100)</f>
        <v>0.7699383411341363</v>
      </c>
      <c r="F63" s="70">
        <f>IF(OR(1239054.72912="",20511.08="",19955.72818=""),"-",(19955.72818-20511.08)/1239054.72912*100)</f>
        <v>-0.04482060452603452</v>
      </c>
      <c r="G63" s="70">
        <f>IF(OR(1427663.68281="",13494.96529="",19955.72818=""),"-",(13494.96529-19955.72818)/1427663.68281*100)</f>
        <v>-0.4525409567947822</v>
      </c>
    </row>
    <row r="64" spans="1:7" s="11" customFormat="1" ht="25.5">
      <c r="A64" s="22" t="s">
        <v>71</v>
      </c>
      <c r="B64" s="36">
        <f>IF(890.431="","-",890.431)</f>
        <v>890.431</v>
      </c>
      <c r="C64" s="70" t="s">
        <v>217</v>
      </c>
      <c r="D64" s="70">
        <f>IF(549.18356="","-",549.18356/1427663.68281*100)</f>
        <v>0.038467292164991486</v>
      </c>
      <c r="E64" s="70">
        <f>IF(890.431="","-",890.431/1752733.24746*100)</f>
        <v>0.05080242537136678</v>
      </c>
      <c r="F64" s="70">
        <f>IF(OR(1239054.72912="",1980.01723="",549.18356=""),"-",(549.18356-1980.01723)/1239054.72912*100)</f>
        <v>-0.11547784261444247</v>
      </c>
      <c r="G64" s="70">
        <f>IF(OR(1427663.68281="",890.431="",549.18356=""),"-",(890.431-549.18356)/1427663.68281*100)</f>
        <v>0.023902508980850414</v>
      </c>
    </row>
    <row r="65" spans="1:7" s="11" customFormat="1" ht="38.25">
      <c r="A65" s="22" t="s">
        <v>72</v>
      </c>
      <c r="B65" s="36">
        <f>IF(2990.80734="","-",2990.80734)</f>
        <v>2990.80734</v>
      </c>
      <c r="C65" s="70">
        <f>IF(OR(2927.41052="",2990.80734=""),"-",2990.80734/2927.41052*100)</f>
        <v>102.16562793523063</v>
      </c>
      <c r="D65" s="70">
        <f>IF(2927.41052="","-",2927.41052/1427663.68281*100)</f>
        <v>0.20504902907091693</v>
      </c>
      <c r="E65" s="70">
        <f>IF(2990.80734="","-",2990.80734/1752733.24746*100)</f>
        <v>0.17063676656639987</v>
      </c>
      <c r="F65" s="70">
        <f>IF(OR(1239054.72912="",2166.29647="",2927.41052=""),"-",(2927.41052-2166.29647)/1239054.72912*100)</f>
        <v>0.0614269920538988</v>
      </c>
      <c r="G65" s="70">
        <f>IF(OR(1427663.68281="",2990.80734="",2927.41052=""),"-",(2990.80734-2927.41052)/1427663.68281*100)</f>
        <v>0.004440599054478931</v>
      </c>
    </row>
    <row r="66" spans="1:7" ht="51">
      <c r="A66" s="22" t="s">
        <v>73</v>
      </c>
      <c r="B66" s="36">
        <f>IF(323440.15303="","-",323440.15303)</f>
        <v>323440.15303</v>
      </c>
      <c r="C66" s="70" t="s">
        <v>217</v>
      </c>
      <c r="D66" s="70">
        <f>IF(201471.27385="","-",201471.27385/1427663.68281*100)</f>
        <v>14.111956217409274</v>
      </c>
      <c r="E66" s="70">
        <f>IF(323440.15303="","-",323440.15303/1752733.24746*100)</f>
        <v>18.45347279734199</v>
      </c>
      <c r="F66" s="70">
        <f>IF(OR(1239054.72912="",157035.73033="",201471.27385=""),"-",(201471.27385-157035.73033)/1239054.72912*100)</f>
        <v>3.586245423683501</v>
      </c>
      <c r="G66" s="70">
        <f>IF(OR(1427663.68281="",323440.15303="",201471.27385=""),"-",(323440.15303-201471.27385)/1427663.68281*100)</f>
        <v>8.543250111954565</v>
      </c>
    </row>
    <row r="67" spans="1:7" ht="25.5">
      <c r="A67" s="22" t="s">
        <v>74</v>
      </c>
      <c r="B67" s="36">
        <f>IF(13206.52792="","-",13206.52792)</f>
        <v>13206.52792</v>
      </c>
      <c r="C67" s="70">
        <f>IF(OR(18439.27718="",13206.52792=""),"-",13206.52792/18439.27718*100)</f>
        <v>71.62172243022815</v>
      </c>
      <c r="D67" s="70">
        <f>IF(18439.27718="","-",18439.27718/1427663.68281*100)</f>
        <v>1.2915700946953335</v>
      </c>
      <c r="E67" s="70">
        <f>IF(13206.52792="","-",13206.52792/1752733.24746*100)</f>
        <v>0.7534819082788805</v>
      </c>
      <c r="F67" s="70">
        <f>IF(OR(1239054.72912="",14830.85877="",18439.27718=""),"-",(18439.27718-14830.85877)/1239054.72912*100)</f>
        <v>0.2912234887770266</v>
      </c>
      <c r="G67" s="70">
        <f>IF(OR(1427663.68281="",13206.52792="",18439.27718=""),"-",(13206.52792-18439.27718)/1427663.68281*100)</f>
        <v>-0.3665253464808069</v>
      </c>
    </row>
    <row r="68" spans="1:7" ht="15.75">
      <c r="A68" s="22" t="s">
        <v>75</v>
      </c>
      <c r="B68" s="36">
        <f>IF(370.02875="","-",370.02875)</f>
        <v>370.02875</v>
      </c>
      <c r="C68" s="70">
        <f>IF(OR(12728.75861="",370.02875=""),"-",370.02875/12728.75861*100)</f>
        <v>2.9070293603438833</v>
      </c>
      <c r="D68" s="70">
        <f>IF(12728.75861="","-",12728.75861/1427663.68281*100)</f>
        <v>0.8915796320423738</v>
      </c>
      <c r="E68" s="70">
        <f>IF(370.02875="","-",370.02875/1752733.24746*100)</f>
        <v>0.021111526841647625</v>
      </c>
      <c r="F68" s="70">
        <f>IF(OR(1239054.72912="",283.19175="",12728.75861=""),"-",(12728.75861-283.19175)/1239054.72912*100)</f>
        <v>1.004440447020373</v>
      </c>
      <c r="G68" s="70">
        <f>IF(OR(1427663.68281="",370.02875="",12728.75861=""),"-",(370.02875-12728.75861)/1427663.68281*100)</f>
        <v>-0.865661150368056</v>
      </c>
    </row>
    <row r="69" spans="1:7" ht="15.75">
      <c r="A69" s="53" t="s">
        <v>76</v>
      </c>
      <c r="B69" s="33">
        <f>IF(414121.41491="","-",414121.41491)</f>
        <v>414121.41491</v>
      </c>
      <c r="C69" s="69">
        <f>IF(341246.32539="","-",414121.41491/341246.32539*100)</f>
        <v>121.35556754690712</v>
      </c>
      <c r="D69" s="69">
        <f>IF(341246.32539="","-",341246.32539/1427663.68281*100)</f>
        <v>23.90243090854155</v>
      </c>
      <c r="E69" s="69">
        <f>IF(414121.41491="","-",414121.41491/1752733.24746*100)</f>
        <v>23.62717860861773</v>
      </c>
      <c r="F69" s="69">
        <f>IF(1239054.72912="","-",(341246.32539-310304.5394)/1239054.72912*100)</f>
        <v>2.497208982203348</v>
      </c>
      <c r="G69" s="69">
        <f>IF(1427663.68281="","-",(414121.41491-341246.32539)/1427663.68281*100)</f>
        <v>5.104499778026401</v>
      </c>
    </row>
    <row r="70" spans="1:7" s="1" customFormat="1" ht="38.25">
      <c r="A70" s="22" t="s">
        <v>238</v>
      </c>
      <c r="B70" s="36">
        <f>IF(4971.59254="","-",4971.59254)</f>
        <v>4971.59254</v>
      </c>
      <c r="C70" s="70">
        <f>IF(OR(6184.05493="",4971.59254=""),"-",4971.59254/6184.05493*100)</f>
        <v>80.39373188426707</v>
      </c>
      <c r="D70" s="70">
        <f>IF(6184.05493="","-",6184.05493/1427663.68281*100)</f>
        <v>0.4331590839257205</v>
      </c>
      <c r="E70" s="70">
        <f>IF(4971.59254="","-",4971.59254/1752733.24746*100)</f>
        <v>0.2836479850658769</v>
      </c>
      <c r="F70" s="70">
        <f>IF(OR(1239054.72912="",2934.04392="",6184.05493=""),"-",(6184.05493-2934.04392)/1239054.72912*100)</f>
        <v>0.26229761556281045</v>
      </c>
      <c r="G70" s="70">
        <f>IF(OR(1427663.68281="",4971.59254="",6184.05493=""),"-",(4971.59254-6184.05493)/1427663.68281*100)</f>
        <v>-0.0849263313621294</v>
      </c>
    </row>
    <row r="71" spans="1:7" s="1" customFormat="1" ht="15.75">
      <c r="A71" s="22" t="s">
        <v>77</v>
      </c>
      <c r="B71" s="36">
        <f>IF(105293.12719="","-",105293.12719)</f>
        <v>105293.12719</v>
      </c>
      <c r="C71" s="70">
        <f>IF(OR(84324.98088="",105293.12719=""),"-",105293.12719/84324.98088*100)</f>
        <v>124.86587733691756</v>
      </c>
      <c r="D71" s="70">
        <f>IF(84324.98088="","-",84324.98088/1427663.68281*100)</f>
        <v>5.906501782970854</v>
      </c>
      <c r="E71" s="70">
        <f>IF(105293.12719="","-",105293.12719/1752733.24746*100)</f>
        <v>6.0073674840473945</v>
      </c>
      <c r="F71" s="70">
        <f>IF(OR(1239054.72912="",78697.60621="",84324.98088=""),"-",(84324.98088-78697.60621)/1239054.72912*100)</f>
        <v>0.4541667561364841</v>
      </c>
      <c r="G71" s="70">
        <f>IF(OR(1427663.68281="",105293.12719="",84324.98088=""),"-",(105293.12719-84324.98088)/1427663.68281*100)</f>
        <v>1.4687034882563819</v>
      </c>
    </row>
    <row r="72" spans="1:7" ht="15.75">
      <c r="A72" s="22" t="s">
        <v>78</v>
      </c>
      <c r="B72" s="36">
        <f>IF(11718.15029="","-",11718.15029)</f>
        <v>11718.15029</v>
      </c>
      <c r="C72" s="70">
        <f>IF(OR(7974.6354="",11718.15029=""),"-",11718.15029/7974.6354*100)</f>
        <v>146.94277170339348</v>
      </c>
      <c r="D72" s="70">
        <f>IF(7974.6354="","-",7974.6354/1427663.68281*100)</f>
        <v>0.5585794116653523</v>
      </c>
      <c r="E72" s="70">
        <f>IF(11718.15029="","-",11718.15029/1752733.24746*100)</f>
        <v>0.6685643869072224</v>
      </c>
      <c r="F72" s="70">
        <f>IF(OR(1239054.72912="",9857.24441="",7974.6354=""),"-",(7974.6354-9857.24441)/1239054.72912*100)</f>
        <v>-0.15193913277237264</v>
      </c>
      <c r="G72" s="70">
        <f>IF(OR(1427663.68281="",11718.15029="",7974.6354=""),"-",(11718.15029-7974.6354)/1427663.68281*100)</f>
        <v>0.2622126580002248</v>
      </c>
    </row>
    <row r="73" spans="1:7" ht="15.75">
      <c r="A73" s="22" t="s">
        <v>79</v>
      </c>
      <c r="B73" s="36">
        <f>IF(212312.87908="","-",212312.87908)</f>
        <v>212312.87908</v>
      </c>
      <c r="C73" s="70">
        <f>IF(OR(175804.18049="",212312.87908=""),"-",212312.87908/175804.18049*100)</f>
        <v>120.76668398228259</v>
      </c>
      <c r="D73" s="70">
        <f>IF(175804.18049="","-",175804.18049/1427663.68281*100)</f>
        <v>12.314117295746664</v>
      </c>
      <c r="E73" s="70">
        <f>IF(212312.87908="","-",212312.87908/1752733.24746*100)</f>
        <v>12.113245377622434</v>
      </c>
      <c r="F73" s="70">
        <f>IF(OR(1239054.72912="",164383.09589="",175804.18049=""),"-",(175804.18049-164383.09589)/1239054.72912*100)</f>
        <v>0.9217578797436552</v>
      </c>
      <c r="G73" s="70">
        <f>IF(OR(1427663.68281="",212312.87908="",175804.18049=""),"-",(212312.87908-175804.18049)/1427663.68281*100)</f>
        <v>2.5572338240153134</v>
      </c>
    </row>
    <row r="74" spans="1:7" ht="15.75">
      <c r="A74" s="22" t="s">
        <v>80</v>
      </c>
      <c r="B74" s="36">
        <f>IF(25164.18306="","-",25164.18306)</f>
        <v>25164.18306</v>
      </c>
      <c r="C74" s="70">
        <f>IF(OR(22119.35197="",25164.18306=""),"-",25164.18306/22119.35197*100)</f>
        <v>113.7654624517465</v>
      </c>
      <c r="D74" s="70">
        <f>IF(22119.35197="","-",22119.35197/1427663.68281*100)</f>
        <v>1.5493391221147808</v>
      </c>
      <c r="E74" s="70">
        <f>IF(25164.18306="","-",25164.18306/1752733.24746*100)</f>
        <v>1.4357109444045213</v>
      </c>
      <c r="F74" s="70">
        <f>IF(OR(1239054.72912="",20084.77365="",22119.35197=""),"-",(22119.35197-20084.77365)/1239054.72912*100)</f>
        <v>0.16420407203844792</v>
      </c>
      <c r="G74" s="70">
        <f>IF(OR(1427663.68281="",25164.18306="",22119.35197=""),"-",(25164.18306-22119.35197)/1427663.68281*100)</f>
        <v>0.21327369510492897</v>
      </c>
    </row>
    <row r="75" spans="1:7" ht="25.5">
      <c r="A75" s="22" t="s">
        <v>303</v>
      </c>
      <c r="B75" s="36">
        <f>IF(15531.65979="","-",15531.65979)</f>
        <v>15531.65979</v>
      </c>
      <c r="C75" s="70">
        <f>IF(OR(15844.28554="",15531.65979=""),"-",15531.65979/15844.28554*100)</f>
        <v>98.02688641775134</v>
      </c>
      <c r="D75" s="70">
        <f>IF(15844.28554="","-",15844.28554/1427663.68281*100)</f>
        <v>1.1098051824652762</v>
      </c>
      <c r="E75" s="70">
        <f>IF(15531.65979="","-",15531.65979/1752733.24746*100)</f>
        <v>0.8861393947143948</v>
      </c>
      <c r="F75" s="70">
        <f>IF(OR(1239054.72912="",15102.24231="",15844.28554=""),"-",(15844.28554-15102.24231)/1239054.72912*100)</f>
        <v>0.05988784938717067</v>
      </c>
      <c r="G75" s="70">
        <f>IF(OR(1427663.68281="",15531.65979="",15844.28554=""),"-",(15531.65979-15844.28554)/1427663.68281*100)</f>
        <v>-0.02189771679172193</v>
      </c>
    </row>
    <row r="76" spans="1:7" ht="25.5">
      <c r="A76" s="22" t="s">
        <v>82</v>
      </c>
      <c r="B76" s="36">
        <f>IF(2317.73034="","-",2317.73034)</f>
        <v>2317.73034</v>
      </c>
      <c r="C76" s="70">
        <f>IF(OR(1684.84449="",2317.73034=""),"-",2317.73034/1684.84449*100)</f>
        <v>137.56345785954406</v>
      </c>
      <c r="D76" s="70">
        <f>IF(1684.84449="","-",1684.84449/1427663.68281*100)</f>
        <v>0.11801410306128987</v>
      </c>
      <c r="E76" s="70">
        <f>IF(2317.73034="","-",2317.73034/1752733.24746*100)</f>
        <v>0.13223520141235262</v>
      </c>
      <c r="F76" s="70">
        <f>IF(OR(1239054.72912="",1201.55082="",1684.84449=""),"-",(1684.84449-1201.55082)/1239054.72912*100)</f>
        <v>0.03900503009606721</v>
      </c>
      <c r="G76" s="70">
        <f>IF(OR(1427663.68281="",2317.73034="",1684.84449=""),"-",(2317.73034-1684.84449)/1427663.68281*100)</f>
        <v>0.04433017787174653</v>
      </c>
    </row>
    <row r="77" spans="1:7" ht="15.75">
      <c r="A77" s="22" t="s">
        <v>83</v>
      </c>
      <c r="B77" s="36">
        <f>IF(36812.09262="","-",36812.09262)</f>
        <v>36812.09262</v>
      </c>
      <c r="C77" s="70">
        <f>IF(OR(27309.99169="",36812.09262=""),"-",36812.09262/27309.99169*100)</f>
        <v>134.79349623339266</v>
      </c>
      <c r="D77" s="70">
        <f>IF(27309.99169="","-",27309.99169/1427663.68281*100)</f>
        <v>1.912914926591611</v>
      </c>
      <c r="E77" s="70">
        <f>IF(36812.09262="","-",36812.09262/1752733.24746*100)</f>
        <v>2.1002678344435357</v>
      </c>
      <c r="F77" s="70">
        <f>IF(OR(1239054.72912="",18043.98219="",27309.99169=""),"-",(27309.99169-18043.98219)/1239054.72912*100)</f>
        <v>0.7478289120110856</v>
      </c>
      <c r="G77" s="70">
        <f>IF(OR(1427663.68281="",36812.09262="",27309.99169=""),"-",(36812.09262-27309.99169)/1427663.68281*100)</f>
        <v>0.6655699829316585</v>
      </c>
    </row>
    <row r="78" spans="1:7" ht="25.5">
      <c r="A78" s="45" t="s">
        <v>216</v>
      </c>
      <c r="B78" s="67">
        <f>IF(747.2806="","-",747.2806)</f>
        <v>747.2806</v>
      </c>
      <c r="C78" s="73" t="s">
        <v>254</v>
      </c>
      <c r="D78" s="73">
        <f>IF(317.93669="","-",317.93669/1427663.68281*100)</f>
        <v>0.022269718970102322</v>
      </c>
      <c r="E78" s="73">
        <f>IF(747.2806="","-",747.2806/1752733.24746*100)</f>
        <v>0.04263515860630436</v>
      </c>
      <c r="F78" s="73">
        <f>IF(1239054.72912="","-",(317.93669-238.67876)/1239054.72912*100)</f>
        <v>0.0063966448081184</v>
      </c>
      <c r="G78" s="73">
        <f>IF(1427663.68281="","-",(747.2806-317.93669)/1427663.68281*100)</f>
        <v>0.030073182862993587</v>
      </c>
    </row>
    <row r="79" spans="1:7" ht="15.75">
      <c r="A79" s="44" t="s">
        <v>20</v>
      </c>
      <c r="B79" s="33"/>
      <c r="C79" s="33"/>
      <c r="D79" s="33"/>
      <c r="E79" s="33"/>
      <c r="F79" s="33"/>
      <c r="G79" s="33"/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82"/>
  <sheetViews>
    <sheetView zoomScale="99" zoomScaleNormal="99" zoomScalePageLayoutView="0" workbookViewId="0" topLeftCell="A1">
      <selection activeCell="A1" sqref="A1:G1"/>
    </sheetView>
  </sheetViews>
  <sheetFormatPr defaultColWidth="9.00390625" defaultRowHeight="15.75"/>
  <cols>
    <col min="1" max="1" width="28.75390625" style="0" customWidth="1"/>
    <col min="2" max="2" width="11.50390625" style="0" customWidth="1"/>
    <col min="3" max="3" width="10.875" style="0" customWidth="1"/>
    <col min="4" max="5" width="7.75390625" style="0" customWidth="1"/>
    <col min="6" max="6" width="10.125" style="0" customWidth="1"/>
    <col min="7" max="7" width="9.50390625" style="0" customWidth="1"/>
    <col min="8" max="8" width="13.00390625" style="0" customWidth="1"/>
  </cols>
  <sheetData>
    <row r="1" spans="1:7" ht="15.75">
      <c r="A1" s="103" t="s">
        <v>204</v>
      </c>
      <c r="B1" s="103"/>
      <c r="C1" s="103"/>
      <c r="D1" s="103"/>
      <c r="E1" s="103"/>
      <c r="F1" s="103"/>
      <c r="G1" s="103"/>
    </row>
    <row r="2" spans="1:7" ht="15.75">
      <c r="A2" s="103" t="s">
        <v>23</v>
      </c>
      <c r="B2" s="103"/>
      <c r="C2" s="103"/>
      <c r="D2" s="103"/>
      <c r="E2" s="103"/>
      <c r="F2" s="103"/>
      <c r="G2" s="103"/>
    </row>
    <row r="3" ht="15.75">
      <c r="A3" s="5"/>
    </row>
    <row r="4" spans="1:7" ht="57" customHeight="1">
      <c r="A4" s="111"/>
      <c r="B4" s="114" t="s">
        <v>268</v>
      </c>
      <c r="C4" s="109"/>
      <c r="D4" s="114" t="s">
        <v>0</v>
      </c>
      <c r="E4" s="109"/>
      <c r="F4" s="106" t="s">
        <v>185</v>
      </c>
      <c r="G4" s="115"/>
    </row>
    <row r="5" spans="1:7" ht="26.25" customHeight="1">
      <c r="A5" s="112"/>
      <c r="B5" s="116" t="s">
        <v>173</v>
      </c>
      <c r="C5" s="104" t="s">
        <v>269</v>
      </c>
      <c r="D5" s="118" t="s">
        <v>265</v>
      </c>
      <c r="E5" s="118"/>
      <c r="F5" s="118" t="s">
        <v>265</v>
      </c>
      <c r="G5" s="114"/>
    </row>
    <row r="6" spans="1:14" ht="21" customHeight="1">
      <c r="A6" s="113"/>
      <c r="B6" s="117"/>
      <c r="C6" s="105"/>
      <c r="D6" s="29">
        <v>2017</v>
      </c>
      <c r="E6" s="29">
        <v>2018</v>
      </c>
      <c r="F6" s="29" t="s">
        <v>145</v>
      </c>
      <c r="G6" s="25" t="s">
        <v>172</v>
      </c>
      <c r="H6" s="1"/>
      <c r="I6" s="1"/>
      <c r="J6" s="1"/>
      <c r="K6" s="1"/>
      <c r="L6" s="1"/>
      <c r="M6" s="1"/>
      <c r="N6" s="1"/>
    </row>
    <row r="7" spans="1:14" ht="15.75">
      <c r="A7" s="49" t="s">
        <v>229</v>
      </c>
      <c r="B7" s="61">
        <f>IF(3707625.63971="","-",3707625.63971)</f>
        <v>3707625.63971</v>
      </c>
      <c r="C7" s="62">
        <f>IF(3007940.19782="","-",3707625.63971/3007940.19782*100)</f>
        <v>123.26128167033028</v>
      </c>
      <c r="D7" s="62">
        <v>100</v>
      </c>
      <c r="E7" s="62">
        <v>100</v>
      </c>
      <c r="F7" s="62">
        <f>IF(2533522.81179="","-",(3007940.19782-2533522.81179)/2533522.81179*100)</f>
        <v>18.725601515101868</v>
      </c>
      <c r="G7" s="62">
        <f>IF(3007940.19782="","-",(3707625.63971-3007940.19782)/3007940.19782*100)</f>
        <v>23.261281670330277</v>
      </c>
      <c r="H7" s="35"/>
      <c r="I7" s="35"/>
      <c r="J7" s="35"/>
      <c r="K7" s="35"/>
      <c r="L7" s="35"/>
      <c r="M7" s="35"/>
      <c r="N7" s="1"/>
    </row>
    <row r="8" spans="1:14" ht="15.75">
      <c r="A8" s="64" t="s">
        <v>214</v>
      </c>
      <c r="B8" s="65"/>
      <c r="C8" s="66"/>
      <c r="D8" s="66"/>
      <c r="E8" s="66"/>
      <c r="F8" s="66"/>
      <c r="G8" s="66"/>
      <c r="H8" s="1"/>
      <c r="I8" s="1"/>
      <c r="J8" s="1"/>
      <c r="K8" s="1"/>
      <c r="L8" s="1"/>
      <c r="M8" s="1"/>
      <c r="N8" s="1"/>
    </row>
    <row r="9" spans="1:7" ht="15.75">
      <c r="A9" s="53" t="s">
        <v>24</v>
      </c>
      <c r="B9" s="33">
        <f>IF(361815.50471="","-",361815.50471)</f>
        <v>361815.50471</v>
      </c>
      <c r="C9" s="69">
        <f>IF(314129.41523="","-",361815.50471/314129.41523*100)</f>
        <v>115.1803960941019</v>
      </c>
      <c r="D9" s="69">
        <f>IF(314129.41523="","-",314129.41523/3007940.19782*100)</f>
        <v>10.443339779749106</v>
      </c>
      <c r="E9" s="69">
        <f>IF(361815.50471="","-",361815.50471/3707625.63971*100)</f>
        <v>9.75868493395952</v>
      </c>
      <c r="F9" s="69">
        <f>IF(2533522.81179="","-",(314129.41523-272793.40598)/2533522.81179*100)</f>
        <v>1.6315625443607131</v>
      </c>
      <c r="G9" s="69">
        <f>IF(3007940.19782="","-",(361815.50471-314129.41523)/3007940.19782*100)</f>
        <v>1.585340344018822</v>
      </c>
    </row>
    <row r="10" spans="1:7" ht="15.75">
      <c r="A10" s="22" t="s">
        <v>25</v>
      </c>
      <c r="B10" s="36">
        <f>IF(3436.77091="","-",3436.77091)</f>
        <v>3436.77091</v>
      </c>
      <c r="C10" s="70">
        <f>IF(OR(4521.06965="",3436.77091=""),"-",3436.77091/4521.06965*100)</f>
        <v>76.01676541302565</v>
      </c>
      <c r="D10" s="70">
        <f>IF(4521.06965="","-",4521.06965/3007940.19782*100)</f>
        <v>0.1503045058301571</v>
      </c>
      <c r="E10" s="70">
        <f>IF(3436.77091="","-",3436.77091/3707625.63971*100)</f>
        <v>0.0926946580903679</v>
      </c>
      <c r="F10" s="70">
        <f>IF(OR(2533522.81179="",4554.36614="",4521.06965=""),"-",(4521.06965-4554.36614)/2533522.81179*100)</f>
        <v>-0.0013142368343814074</v>
      </c>
      <c r="G10" s="70">
        <f>IF(OR(3007940.19782="",3436.77091="",4521.06965=""),"-",(3436.77091-4521.06965)/3007940.19782*100)</f>
        <v>-0.03604788222803911</v>
      </c>
    </row>
    <row r="11" spans="1:7" s="11" customFormat="1" ht="15.75">
      <c r="A11" s="22" t="s">
        <v>26</v>
      </c>
      <c r="B11" s="36">
        <f>IF(28086.09571="","-",28086.09571)</f>
        <v>28086.09571</v>
      </c>
      <c r="C11" s="70">
        <f>IF(OR(23060.58318="",28086.09571=""),"-",28086.09571/23060.58318*100)</f>
        <v>121.79265151610966</v>
      </c>
      <c r="D11" s="70">
        <f>IF(23060.58318="","-",23060.58318/3007940.19782*100)</f>
        <v>0.7666569699993745</v>
      </c>
      <c r="E11" s="70">
        <f>IF(28086.09571="","-",28086.09571/3707625.63971*100)</f>
        <v>0.7575224264604238</v>
      </c>
      <c r="F11" s="70">
        <f>IF(OR(2533522.81179="",16300.07439="",23060.58318=""),"-",(23060.58318-16300.07439)/2533522.81179*100)</f>
        <v>0.2668422308470759</v>
      </c>
      <c r="G11" s="70">
        <f>IF(OR(3007940.19782="",28086.09571="",23060.58318=""),"-",(28086.09571-23060.58318)/3007940.19782*100)</f>
        <v>0.16707488179592908</v>
      </c>
    </row>
    <row r="12" spans="1:7" s="11" customFormat="1" ht="15.75">
      <c r="A12" s="22" t="s">
        <v>27</v>
      </c>
      <c r="B12" s="36">
        <f>IF(37559.74105="","-",37559.74105)</f>
        <v>37559.74105</v>
      </c>
      <c r="C12" s="70">
        <f>IF(OR(34036.72035="",37559.74105=""),"-",37559.74105/34036.72035*100)</f>
        <v>110.3506467831587</v>
      </c>
      <c r="D12" s="70">
        <f>IF(34036.72035="","-",34036.72035/3007940.19782*100)</f>
        <v>1.1315624018944281</v>
      </c>
      <c r="E12" s="70">
        <f>IF(37559.74105="","-",37559.74105/3707625.63971*100)</f>
        <v>1.0130402769827056</v>
      </c>
      <c r="F12" s="70">
        <f>IF(OR(2533522.81179="",25127.72377="",34036.72035=""),"-",(34036.72035-25127.72377)/2533522.81179*100)</f>
        <v>0.35164461667923813</v>
      </c>
      <c r="G12" s="70">
        <f>IF(OR(3007940.19782="",37559.74105="",34036.72035=""),"-",(37559.74105-34036.72035)/3007940.19782*100)</f>
        <v>0.11712402735111879</v>
      </c>
    </row>
    <row r="13" spans="1:7" s="11" customFormat="1" ht="15.75">
      <c r="A13" s="22" t="s">
        <v>28</v>
      </c>
      <c r="B13" s="36">
        <f>IF(32116.59798="","-",32116.59798)</f>
        <v>32116.59798</v>
      </c>
      <c r="C13" s="70">
        <f>IF(OR(26751.50315="",32116.59798=""),"-",32116.59798/26751.50315*100)</f>
        <v>120.05530231298422</v>
      </c>
      <c r="D13" s="70">
        <f>IF(26751.50315="","-",26751.50315/3007940.19782*100)</f>
        <v>0.889362865970145</v>
      </c>
      <c r="E13" s="70">
        <f>IF(32116.59798="","-",32116.59798/3707625.63971*100)</f>
        <v>0.8662308739053836</v>
      </c>
      <c r="F13" s="70">
        <f>IF(OR(2533522.81179="",25006.3437="",26751.50315=""),"-",(26751.50315-25006.3437)/2533522.81179*100)</f>
        <v>0.06888272100328942</v>
      </c>
      <c r="G13" s="70">
        <f>IF(OR(3007940.19782="",32116.59798="",26751.50315=""),"-",(32116.59798-26751.50315)/3007940.19782*100)</f>
        <v>0.1783644114297333</v>
      </c>
    </row>
    <row r="14" spans="1:7" s="11" customFormat="1" ht="15.75">
      <c r="A14" s="22" t="s">
        <v>29</v>
      </c>
      <c r="B14" s="36">
        <f>IF(51139.64393="","-",51139.64393)</f>
        <v>51139.64393</v>
      </c>
      <c r="C14" s="70">
        <f>IF(OR(42770.9866="",51139.64393=""),"-",51139.64393/42770.9866*100)</f>
        <v>119.56620128561637</v>
      </c>
      <c r="D14" s="70">
        <f>IF(42770.9866="","-",42770.9866/3007940.19782*100)</f>
        <v>1.4219360687755098</v>
      </c>
      <c r="E14" s="70">
        <f>IF(51139.64393="","-",51139.64393/3707625.63971*100)</f>
        <v>1.3793098036186846</v>
      </c>
      <c r="F14" s="70">
        <f>IF(OR(2533522.81179="",38698.10721="",42770.9866=""),"-",(42770.9866-38698.10721)/2533522.81179*100)</f>
        <v>0.16075953099954127</v>
      </c>
      <c r="G14" s="70">
        <f>IF(OR(3007940.19782="",51139.64393="",42770.9866=""),"-",(51139.64393-42770.9866)/3007940.19782*100)</f>
        <v>0.27821887336939655</v>
      </c>
    </row>
    <row r="15" spans="1:7" s="11" customFormat="1" ht="15.75">
      <c r="A15" s="22" t="s">
        <v>30</v>
      </c>
      <c r="B15" s="36">
        <f>IF(98415.75754="","-",98415.75754)</f>
        <v>98415.75754</v>
      </c>
      <c r="C15" s="70">
        <f>IF(OR(66400.34814="",98415.75754=""),"-",98415.75754/66400.34814*100)</f>
        <v>148.2157252135154</v>
      </c>
      <c r="D15" s="70">
        <f>IF(66400.34814="","-",66400.34814/3007940.19782*100)</f>
        <v>2.207502269763327</v>
      </c>
      <c r="E15" s="70">
        <f>IF(98415.75754="","-",98415.75754/3707625.63971*100)</f>
        <v>2.654414633611656</v>
      </c>
      <c r="F15" s="70">
        <f>IF(OR(2533522.81179="",62260.2732="",66400.34814=""),"-",(66400.34814-62260.2732)/2533522.81179*100)</f>
        <v>0.1634117885473045</v>
      </c>
      <c r="G15" s="70">
        <f>IF(OR(3007940.19782="",98415.75754="",66400.34814=""),"-",(98415.75754-66400.34814)/3007940.19782*100)</f>
        <v>1.0643632284712017</v>
      </c>
    </row>
    <row r="16" spans="1:7" s="11" customFormat="1" ht="15" customHeight="1">
      <c r="A16" s="22" t="s">
        <v>31</v>
      </c>
      <c r="B16" s="36">
        <f>IF(9689.51173="","-",9689.51173)</f>
        <v>9689.51173</v>
      </c>
      <c r="C16" s="70">
        <f>IF(OR(24759.48769="",9689.51173=""),"-",9689.51173/24759.48769*100)</f>
        <v>39.13454046916105</v>
      </c>
      <c r="D16" s="70">
        <f>IF(24759.48769="","-",24759.48769/3007940.19782*100)</f>
        <v>0.8231376311252598</v>
      </c>
      <c r="E16" s="70">
        <f>IF(9689.51173="","-",9689.51173/3707625.63971*100)</f>
        <v>0.2613400777635653</v>
      </c>
      <c r="F16" s="70">
        <f>IF(OR(2533522.81179="",14665.86577="",24759.48769=""),"-",(24759.48769-14665.86577)/2533522.81179*100)</f>
        <v>0.39840264603217024</v>
      </c>
      <c r="G16" s="70">
        <f>IF(OR(3007940.19782="",9689.51173="",24759.48769=""),"-",(9689.51173-24759.48769)/3007940.19782*100)</f>
        <v>-0.5010065017556514</v>
      </c>
    </row>
    <row r="17" spans="1:7" s="11" customFormat="1" ht="25.5">
      <c r="A17" s="22" t="s">
        <v>32</v>
      </c>
      <c r="B17" s="36">
        <f>IF(31752.0631="","-",31752.0631)</f>
        <v>31752.0631</v>
      </c>
      <c r="C17" s="70">
        <f>IF(OR(28144.78686="",31752.0631=""),"-",31752.0631/28144.78686*100)</f>
        <v>112.81685399837488</v>
      </c>
      <c r="D17" s="70">
        <f>IF(28144.78686="","-",28144.78686/3007940.19782*100)</f>
        <v>0.9356830591378743</v>
      </c>
      <c r="E17" s="70">
        <f>IF(31752.0631="","-",31752.0631/3707625.63971*100)</f>
        <v>0.8563988435057741</v>
      </c>
      <c r="F17" s="70">
        <f>IF(OR(2533522.81179="",26818.95155="",28144.78686=""),"-",(28144.78686-26818.95155)/2533522.81179*100)</f>
        <v>0.052331690238986296</v>
      </c>
      <c r="G17" s="70">
        <f>IF(OR(3007940.19782="",31752.0631="",28144.78686=""),"-",(31752.0631-28144.78686)/3007940.19782*100)</f>
        <v>0.11992513157722906</v>
      </c>
    </row>
    <row r="18" spans="1:7" s="11" customFormat="1" ht="25.5">
      <c r="A18" s="22" t="s">
        <v>33</v>
      </c>
      <c r="B18" s="36">
        <f>IF(24615.63648="","-",24615.63648)</f>
        <v>24615.63648</v>
      </c>
      <c r="C18" s="70">
        <f>IF(OR(20409.29178="",24615.63648=""),"-",24615.63648/20409.29178*100)</f>
        <v>120.60994935709621</v>
      </c>
      <c r="D18" s="70">
        <f>IF(20409.29178="","-",20409.29178/3007940.19782*100)</f>
        <v>0.6785138811865875</v>
      </c>
      <c r="E18" s="70">
        <f>IF(24615.63648="","-",24615.63648/3707625.63971*100)</f>
        <v>0.6639191458910444</v>
      </c>
      <c r="F18" s="70">
        <f>IF(OR(2533522.81179="",17266.56344="",20409.29178=""),"-",(20409.29178-17266.56344)/2533522.81179*100)</f>
        <v>0.12404578815611998</v>
      </c>
      <c r="G18" s="70">
        <f>IF(OR(3007940.19782="",24615.63648="",20409.29178=""),"-",(24615.63648-20409.29178)/3007940.19782*100)</f>
        <v>0.1398413672934237</v>
      </c>
    </row>
    <row r="19" spans="1:7" s="11" customFormat="1" ht="15.75" customHeight="1">
      <c r="A19" s="22" t="s">
        <v>34</v>
      </c>
      <c r="B19" s="36">
        <f>IF(45003.68628="","-",45003.68628)</f>
        <v>45003.68628</v>
      </c>
      <c r="C19" s="70">
        <f>IF(OR(43274.63783="",45003.68628=""),"-",45003.68628/43274.63783*100)</f>
        <v>103.99552379107688</v>
      </c>
      <c r="D19" s="70">
        <f>IF(43274.63783="","-",43274.63783/3007940.19782*100)</f>
        <v>1.4386801260664435</v>
      </c>
      <c r="E19" s="70">
        <f>IF(45003.68628="","-",45003.68628/3707625.63971*100)</f>
        <v>1.2138141941299139</v>
      </c>
      <c r="F19" s="70">
        <f>IF(OR(2533522.81179="",42095.13681="",43274.63783=""),"-",(43274.63783-42095.13681)/2533522.81179*100)</f>
        <v>0.04655576869136804</v>
      </c>
      <c r="G19" s="70">
        <f>IF(OR(3007940.19782="",45003.68628="",43274.63783=""),"-",(45003.68628-43274.63783)/3007940.19782*100)</f>
        <v>0.05748280671447947</v>
      </c>
    </row>
    <row r="20" spans="1:7" s="11" customFormat="1" ht="15.75">
      <c r="A20" s="53" t="s">
        <v>35</v>
      </c>
      <c r="B20" s="33">
        <f>IF(75337.42104="","-",75337.42104)</f>
        <v>75337.42104</v>
      </c>
      <c r="C20" s="69">
        <f>IF(72422.54175="","-",75337.42104/72422.54175*100)</f>
        <v>104.0248232381322</v>
      </c>
      <c r="D20" s="69">
        <f>IF(72422.54175="","-",72422.54175/3007940.19782*100)</f>
        <v>2.407712154732602</v>
      </c>
      <c r="E20" s="69">
        <f>IF(75337.42104="","-",75337.42104/3707625.63971*100)</f>
        <v>2.0319586808632786</v>
      </c>
      <c r="F20" s="69">
        <f>IF(2533522.81179="","-",(72422.54175-70239.4805)/2533522.81179*100)</f>
        <v>0.08616702560722589</v>
      </c>
      <c r="G20" s="69">
        <f>IF(3007940.19782="","-",(75337.42104-72422.54175)/3007940.19782*100)</f>
        <v>0.09690615831101135</v>
      </c>
    </row>
    <row r="21" spans="1:7" s="11" customFormat="1" ht="15.75">
      <c r="A21" s="22" t="s">
        <v>308</v>
      </c>
      <c r="B21" s="36">
        <f>IF(42012.84293="","-",42012.84293)</f>
        <v>42012.84293</v>
      </c>
      <c r="C21" s="70">
        <f>IF(OR(35611.64472="",42012.84293=""),"-",42012.84293/35611.64472*100)</f>
        <v>117.97501424135291</v>
      </c>
      <c r="D21" s="70">
        <f>IF(35611.64472="","-",35611.64472/3007940.19782*100)</f>
        <v>1.1839213008892093</v>
      </c>
      <c r="E21" s="70">
        <f>IF(42012.84293="","-",42012.84293/3707625.63971*100)</f>
        <v>1.1331468441696861</v>
      </c>
      <c r="F21" s="70">
        <f>IF(OR(2533522.81179="",33222.67496="",35611.64472=""),"-",(35611.64472-33222.67496)/2533522.81179*100)</f>
        <v>0.09429438522845311</v>
      </c>
      <c r="G21" s="70">
        <f>IF(OR(3007940.19782="",42012.84293="",35611.64472=""),"-",(42012.84293-35611.64472)/3007940.19782*100)</f>
        <v>0.21281002244124603</v>
      </c>
    </row>
    <row r="22" spans="1:7" s="11" customFormat="1" ht="15.75">
      <c r="A22" s="22" t="s">
        <v>36</v>
      </c>
      <c r="B22" s="36">
        <f>IF(33324.57811="","-",33324.57811)</f>
        <v>33324.57811</v>
      </c>
      <c r="C22" s="70">
        <f>IF(OR(36810.89703="",33324.57811=""),"-",33324.57811/36810.89703*100)</f>
        <v>90.52911175416689</v>
      </c>
      <c r="D22" s="70">
        <f>IF(36810.89703="","-",36810.89703/3007940.19782*100)</f>
        <v>1.2237908538433924</v>
      </c>
      <c r="E22" s="70">
        <f>IF(33324.57811="","-",33324.57811/3707625.63971*100)</f>
        <v>0.8988118366935924</v>
      </c>
      <c r="F22" s="70">
        <f>IF(OR(2533522.81179="",37016.80554="",36810.89703=""),"-",(36810.89703-37016.80554)/2533522.81179*100)</f>
        <v>-0.008127359621227225</v>
      </c>
      <c r="G22" s="70">
        <f>IF(OR(3007940.19782="",33324.57811="",36810.89703=""),"-",(33324.57811-36810.89703)/3007940.19782*100)</f>
        <v>-0.11590386413023444</v>
      </c>
    </row>
    <row r="23" spans="1:7" s="11" customFormat="1" ht="25.5">
      <c r="A23" s="53" t="s">
        <v>37</v>
      </c>
      <c r="B23" s="33">
        <f>IF(95863.95348="","-",95863.95348)</f>
        <v>95863.95348</v>
      </c>
      <c r="C23" s="69">
        <f>IF(77427.75006="","-",95863.95348/77427.75006*100)</f>
        <v>123.81084741028052</v>
      </c>
      <c r="D23" s="69">
        <f>IF(77427.75006="","-",77427.75006/3007940.19782*100)</f>
        <v>2.5741120157945843</v>
      </c>
      <c r="E23" s="69">
        <f>IF(95863.95348="","-",95863.95348/3707625.63971*100)</f>
        <v>2.5855888052251736</v>
      </c>
      <c r="F23" s="69">
        <f>IF(2533522.81179="","-",(77427.75006-67559.67897)/2533522.81179*100)</f>
        <v>0.3894999896617454</v>
      </c>
      <c r="G23" s="69">
        <f>IF(3007940.19782="","-",(95863.95348-77427.75006)/3007940.19782*100)</f>
        <v>0.6129178842505446</v>
      </c>
    </row>
    <row r="24" spans="1:7" s="11" customFormat="1" ht="12.75" customHeight="1">
      <c r="A24" s="22" t="s">
        <v>38</v>
      </c>
      <c r="B24" s="36">
        <f>IF(39.57298="","-",39.57298)</f>
        <v>39.57298</v>
      </c>
      <c r="C24" s="70">
        <f>IF(OR(26.97093="",39.57298=""),"-",39.57298/26.97093*100)</f>
        <v>146.7245660420312</v>
      </c>
      <c r="D24" s="70">
        <f>IF(26.97093="","-",26.97093/3007940.19782*100)</f>
        <v>0.0008966577865991864</v>
      </c>
      <c r="E24" s="70">
        <f>IF(39.57298="","-",39.57298/3707625.63971*100)</f>
        <v>0.0010673402291795373</v>
      </c>
      <c r="F24" s="70">
        <f>IF(OR(2533522.81179="",40.49872="",26.97093=""),"-",(26.97093-40.49872)/2533522.81179*100)</f>
        <v>-0.0005339517740691769</v>
      </c>
      <c r="G24" s="70">
        <f>IF(OR(3007940.19782="",39.57298="",26.97093=""),"-",(39.57298-26.97093)/3007940.19782*100)</f>
        <v>0.0004189594596705519</v>
      </c>
    </row>
    <row r="25" spans="1:7" s="11" customFormat="1" ht="15.75">
      <c r="A25" s="22" t="s">
        <v>39</v>
      </c>
      <c r="B25" s="36">
        <f>IF(31977.10198="","-",31977.10198)</f>
        <v>31977.10198</v>
      </c>
      <c r="C25" s="70">
        <f>IF(OR(24583.38402="",31977.10198=""),"-",31977.10198/24583.38402*100)</f>
        <v>130.07607884246036</v>
      </c>
      <c r="D25" s="70">
        <f>IF(24583.38402="","-",24583.38402/3007940.19782*100)</f>
        <v>0.8172830044233184</v>
      </c>
      <c r="E25" s="70">
        <f>IF(31977.10198="","-",31977.10198/3707625.63971*100)</f>
        <v>0.862468466004598</v>
      </c>
      <c r="F25" s="70">
        <f>IF(OR(2533522.81179="",22104.56922="",24583.38402=""),"-",(24583.38402-22104.56922)/2533522.81179*100)</f>
        <v>0.09784063472665765</v>
      </c>
      <c r="G25" s="70">
        <f>IF(OR(3007940.19782="",31977.10198="",24583.38402=""),"-",(31977.10198-24583.38402)/3007940.19782*100)</f>
        <v>0.24580668077638593</v>
      </c>
    </row>
    <row r="26" spans="1:7" s="11" customFormat="1" ht="25.5">
      <c r="A26" s="22" t="s">
        <v>40</v>
      </c>
      <c r="B26" s="36">
        <f>IF(607.60564="","-",607.60564)</f>
        <v>607.60564</v>
      </c>
      <c r="C26" s="70">
        <f>IF(OR(406.89175="",607.60564=""),"-",607.60564/406.89175*100)</f>
        <v>149.3285720342081</v>
      </c>
      <c r="D26" s="70">
        <f>IF(406.89175="","-",406.89175/3007940.19782*100)</f>
        <v>0.0135272553056372</v>
      </c>
      <c r="E26" s="70">
        <f>IF(607.60564="","-",607.60564/3707625.63971*100)</f>
        <v>0.01638799865586012</v>
      </c>
      <c r="F26" s="70">
        <f>IF(OR(2533522.81179="",428.08467="",406.89175=""),"-",(406.89175-428.08467)/2533522.81179*100)</f>
        <v>-0.0008365000662862262</v>
      </c>
      <c r="G26" s="70">
        <f>IF(OR(3007940.19782="",607.60564="",406.89175=""),"-",(607.60564-406.89175)/3007940.19782*100)</f>
        <v>0.006672801877692484</v>
      </c>
    </row>
    <row r="27" spans="1:7" s="11" customFormat="1" ht="15.75">
      <c r="A27" s="22" t="s">
        <v>41</v>
      </c>
      <c r="B27" s="36">
        <f>IF(22353.03588="","-",22353.03588)</f>
        <v>22353.03588</v>
      </c>
      <c r="C27" s="70">
        <f>IF(OR(20677.21258="",22353.03588=""),"-",22353.03588/20677.21258*100)</f>
        <v>108.1046867101465</v>
      </c>
      <c r="D27" s="70">
        <f>IF(20677.21258="","-",20677.21258/3007940.19782*100)</f>
        <v>0.6874209997587645</v>
      </c>
      <c r="E27" s="70">
        <f>IF(22353.03588="","-",22353.03588/3707625.63971*100)</f>
        <v>0.602893551079995</v>
      </c>
      <c r="F27" s="70">
        <f>IF(OR(2533522.81179="",16680.7813="",20677.21258=""),"-",(20677.21258-16680.7813)/2533522.81179*100)</f>
        <v>0.1577420681354125</v>
      </c>
      <c r="G27" s="70">
        <f>IF(OR(3007940.19782="",22353.03588="",20677.21258=""),"-",(22353.03588-20677.21258)/3007940.19782*100)</f>
        <v>0.05571331841020478</v>
      </c>
    </row>
    <row r="28" spans="1:7" s="11" customFormat="1" ht="15.75">
      <c r="A28" s="22" t="s">
        <v>304</v>
      </c>
      <c r="B28" s="36">
        <f>IF(320.3113="","-",320.3113)</f>
        <v>320.3113</v>
      </c>
      <c r="C28" s="70">
        <f>IF(OR(345.13337="",320.3113=""),"-",320.3113/345.13337*100)</f>
        <v>92.80797739146463</v>
      </c>
      <c r="D28" s="70">
        <f>IF(345.13337="","-",345.13337/3007940.19782*100)</f>
        <v>0.011474076853327566</v>
      </c>
      <c r="E28" s="70">
        <f>IF(320.3113="","-",320.3113/3707625.63971*100)</f>
        <v>0.008639256794681511</v>
      </c>
      <c r="F28" s="70">
        <f>IF(OR(2533522.81179="",341.68832="",345.13337=""),"-",(345.13337-341.68832)/2533522.81179*100)</f>
        <v>0.00013597864538531703</v>
      </c>
      <c r="G28" s="70">
        <f>IF(OR(3007940.19782="",320.3113="",345.13337=""),"-",(320.3113-345.13337)/3007940.19782*100)</f>
        <v>-0.0008252182014120411</v>
      </c>
    </row>
    <row r="29" spans="1:7" s="11" customFormat="1" ht="38.25">
      <c r="A29" s="22" t="s">
        <v>305</v>
      </c>
      <c r="B29" s="36">
        <f>IF(5429.21505="","-",5429.21505)</f>
        <v>5429.21505</v>
      </c>
      <c r="C29" s="70">
        <f>IF(OR(5429.28235="",5429.21505=""),"-",5429.21505/5429.28235*100)</f>
        <v>99.99876042549158</v>
      </c>
      <c r="D29" s="70">
        <f>IF(5429.28235="","-",5429.28235/3007940.19782*100)</f>
        <v>0.18049834747163074</v>
      </c>
      <c r="E29" s="70">
        <f>IF(5429.21505="","-",5429.21505/3707625.63971*100)</f>
        <v>0.1464337443309044</v>
      </c>
      <c r="F29" s="70">
        <f>IF(OR(2533522.81179="",4931.37219="",5429.28235=""),"-",(5429.28235-4931.37219)/2533522.81179*100)</f>
        <v>0.0196528785011497</v>
      </c>
      <c r="G29" s="70">
        <f>IF(OR(3007940.19782="",5429.21505="",5429.28235=""),"-",(5429.21505-5429.28235)/3007940.19782*100)</f>
        <v>-2.237411503373294E-06</v>
      </c>
    </row>
    <row r="30" spans="1:7" s="11" customFormat="1" ht="38.25">
      <c r="A30" s="22" t="s">
        <v>42</v>
      </c>
      <c r="B30" s="36">
        <f>IF(9714.53366="","-",9714.53366)</f>
        <v>9714.53366</v>
      </c>
      <c r="C30" s="70">
        <f>IF(OR(6595.9751="",9714.53366=""),"-",9714.53366/6595.9751*100)</f>
        <v>147.27972002198734</v>
      </c>
      <c r="D30" s="70">
        <f>IF(6595.9751="","-",6595.9751/3007940.19782*100)</f>
        <v>0.21928544672465305</v>
      </c>
      <c r="E30" s="70">
        <f>IF(9714.53366="","-",9714.53366/3707625.63971*100)</f>
        <v>0.26201495523048124</v>
      </c>
      <c r="F30" s="70">
        <f>IF(OR(2533522.81179="",6709.71384="",6595.9751=""),"-",(6595.9751-6709.71384)/2533522.81179*100)</f>
        <v>-0.004489351328146964</v>
      </c>
      <c r="G30" s="70">
        <f>IF(OR(3007940.19782="",9714.53366="",6595.9751=""),"-",(9714.53366-6595.9751)/3007940.19782*100)</f>
        <v>0.10367754526038019</v>
      </c>
    </row>
    <row r="31" spans="1:7" s="11" customFormat="1" ht="14.25" customHeight="1">
      <c r="A31" s="22" t="s">
        <v>259</v>
      </c>
      <c r="B31" s="36">
        <f>IF(701.03296="","-",701.03296)</f>
        <v>701.03296</v>
      </c>
      <c r="C31" s="70">
        <f>IF(OR(730.25144="",701.03296=""),"-",701.03296/730.25144*100)</f>
        <v>95.99884664383545</v>
      </c>
      <c r="D31" s="70">
        <f>IF(730.25144="","-",730.25144/3007940.19782*100)</f>
        <v>0.02427745872505207</v>
      </c>
      <c r="E31" s="70">
        <f>IF(701.03296="","-",701.03296/3707625.63971*100)</f>
        <v>0.018907867949009893</v>
      </c>
      <c r="F31" s="70">
        <f>IF(OR(2533522.81179="",557.80396="",730.25144=""),"-",(730.25144-557.80396)/2533522.81179*100)</f>
        <v>0.006806628272597291</v>
      </c>
      <c r="G31" s="70">
        <f>IF(OR(3007940.19782="",701.03296="",730.25144=""),"-",(701.03296-730.25144)/3007940.19782*100)</f>
        <v>-0.0009713783545688857</v>
      </c>
    </row>
    <row r="32" spans="1:7" s="11" customFormat="1" ht="25.5">
      <c r="A32" s="22" t="s">
        <v>43</v>
      </c>
      <c r="B32" s="36">
        <f>IF(24721.54403="","-",24721.54403)</f>
        <v>24721.54403</v>
      </c>
      <c r="C32" s="70">
        <f>IF(OR(18632.64852="",24721.54403=""),"-",24721.54403/18632.64852*100)</f>
        <v>132.67863666007693</v>
      </c>
      <c r="D32" s="70">
        <f>IF(18632.64852="","-",18632.64852/3007940.19782*100)</f>
        <v>0.6194487687456015</v>
      </c>
      <c r="E32" s="70">
        <f>IF(24721.54403="","-",24721.54403/3707625.63971*100)</f>
        <v>0.6667756249504643</v>
      </c>
      <c r="F32" s="70">
        <f>IF(OR(2533522.81179="",15765.16675="",18632.64852=""),"-",(18632.64852-15765.16675)/2533522.81179*100)</f>
        <v>0.11318160454904479</v>
      </c>
      <c r="G32" s="70">
        <f>IF(OR(3007940.19782="",24721.54403="",18632.64852=""),"-",(24721.54403-18632.64852)/3007940.19782*100)</f>
        <v>0.2024274124336953</v>
      </c>
    </row>
    <row r="33" spans="1:7" s="11" customFormat="1" ht="25.5">
      <c r="A33" s="53" t="s">
        <v>44</v>
      </c>
      <c r="B33" s="33">
        <f>IF(604490.25925="","-",604490.25925)</f>
        <v>604490.25925</v>
      </c>
      <c r="C33" s="69">
        <f>IF(464853.78304="","-",604490.25925/464853.78304*100)</f>
        <v>130.0387952738215</v>
      </c>
      <c r="D33" s="69">
        <f>IF(464853.78304="","-",464853.78304/3007940.19782*100)</f>
        <v>15.454222905658233</v>
      </c>
      <c r="E33" s="69">
        <f>IF(604490.25925="","-",604490.25925/3707625.63971*100)</f>
        <v>16.30397235297147</v>
      </c>
      <c r="F33" s="69">
        <f>IF(2533522.81179="","-",(464853.78304-368178.60923)/2533522.81179*100)</f>
        <v>3.8158398795587107</v>
      </c>
      <c r="G33" s="69">
        <f>IF(3007940.19782="","-",(604490.25925-464853.78304)/3007940.19782*100)</f>
        <v>4.642262379790705</v>
      </c>
    </row>
    <row r="34" spans="1:7" s="11" customFormat="1" ht="15.75">
      <c r="A34" s="22" t="s">
        <v>302</v>
      </c>
      <c r="B34" s="36">
        <f>IF(9549.14009="","-",9549.14009)</f>
        <v>9549.14009</v>
      </c>
      <c r="C34" s="70">
        <f>IF(OR(13775.36019="",9549.14009=""),"-",9549.14009/13775.36019*100)</f>
        <v>69.32043850970986</v>
      </c>
      <c r="D34" s="70">
        <f>IF(13775.36019="","-",13775.36019/3007940.19782*100)</f>
        <v>0.4579665579782361</v>
      </c>
      <c r="E34" s="70">
        <f>IF(9549.14009="","-",9549.14009/3707625.63971*100)</f>
        <v>0.2575540525916448</v>
      </c>
      <c r="F34" s="70">
        <f>IF(OR(2533522.81179="",5463.03563="",13775.36019=""),"-",(13775.36019-5463.03563)/2533522.81179*100)</f>
        <v>0.32809353526709023</v>
      </c>
      <c r="G34" s="70">
        <f>IF(OR(3007940.19782="",9549.14009="",13775.36019=""),"-",(9549.14009-13775.36019)/3007940.19782*100)</f>
        <v>-0.14050213175989817</v>
      </c>
    </row>
    <row r="35" spans="1:7" s="11" customFormat="1" ht="25.5">
      <c r="A35" s="22" t="s">
        <v>45</v>
      </c>
      <c r="B35" s="36">
        <f>IF(402861.22541="","-",402861.22541)</f>
        <v>402861.22541</v>
      </c>
      <c r="C35" s="70">
        <f>IF(OR(287510.91611="",402861.22541=""),"-",402861.22541/287510.91611*100)</f>
        <v>140.12032338134517</v>
      </c>
      <c r="D35" s="70">
        <f>IF(287510.91611="","-",287510.91611/3007940.19782*100)</f>
        <v>9.55839867821751</v>
      </c>
      <c r="E35" s="70">
        <f>IF(402861.22541="","-",402861.22541/3707625.63971*100)</f>
        <v>10.865747099578012</v>
      </c>
      <c r="F35" s="70">
        <f>IF(OR(2533522.81179="",220151.56718="",287510.91611=""),"-",(287510.91611-220151.56718)/2533522.81179*100)</f>
        <v>2.658722811436177</v>
      </c>
      <c r="G35" s="70">
        <f>IF(OR(3007940.19782="",402861.22541="",287510.91611=""),"-",(402861.22541-287510.91611)/3007940.19782*100)</f>
        <v>3.8348604597790867</v>
      </c>
    </row>
    <row r="36" spans="1:7" s="11" customFormat="1" ht="25.5">
      <c r="A36" s="22" t="s">
        <v>46</v>
      </c>
      <c r="B36" s="36">
        <f>IF(151075.15646="","-",151075.15646)</f>
        <v>151075.15646</v>
      </c>
      <c r="C36" s="70">
        <f>IF(OR(119219.12244="",151075.15646=""),"-",151075.15646/119219.12244*100)</f>
        <v>126.72057415624103</v>
      </c>
      <c r="D36" s="70">
        <f>IF(119219.12244="","-",119219.12244/3007940.19782*100)</f>
        <v>3.9634804749909556</v>
      </c>
      <c r="E36" s="70">
        <f>IF(151075.15646="","-",151075.15646/3707625.63971*100)</f>
        <v>4.074714416739676</v>
      </c>
      <c r="F36" s="70">
        <f>IF(OR(2533522.81179="",142311.47703="",119219.12244=""),"-",(119219.12244-142311.47703)/2533522.81179*100)</f>
        <v>-0.9114721399995862</v>
      </c>
      <c r="G36" s="70">
        <f>IF(OR(3007940.19782="",151075.15646="",119219.12244=""),"-",(151075.15646-119219.12244)/3007940.19782*100)</f>
        <v>1.0590647394880923</v>
      </c>
    </row>
    <row r="37" spans="1:7" s="11" customFormat="1" ht="15.75">
      <c r="A37" s="22" t="s">
        <v>47</v>
      </c>
      <c r="B37" s="36">
        <f>IF(41004.73729="","-",41004.73729)</f>
        <v>41004.73729</v>
      </c>
      <c r="C37" s="70">
        <f>IF(OR(44348.3843="",41004.73729=""),"-",41004.73729/44348.3843*100)</f>
        <v>92.4604987018659</v>
      </c>
      <c r="D37" s="70">
        <f>IF(44348.3843="","-",44348.3843/3007940.19782*100)</f>
        <v>1.4743771944715331</v>
      </c>
      <c r="E37" s="70">
        <f>IF(41004.73729="","-",41004.73729/3707625.63971*100)</f>
        <v>1.1059567840621383</v>
      </c>
      <c r="F37" s="70">
        <f>IF(OR(2533522.81179="",252.52939="",44348.3843=""),"-",(44348.3843-252.52939)/2533522.81179*100)</f>
        <v>1.7404956728550283</v>
      </c>
      <c r="G37" s="70">
        <f>IF(OR(3007940.19782="",41004.73729="",44348.3843=""),"-",(41004.73729-44348.3843)/3007940.19782*100)</f>
        <v>-0.11116068771657442</v>
      </c>
    </row>
    <row r="38" spans="1:7" s="11" customFormat="1" ht="25.5">
      <c r="A38" s="53" t="s">
        <v>48</v>
      </c>
      <c r="B38" s="33">
        <f>IF(7546.48614="","-",7546.48614)</f>
        <v>7546.48614</v>
      </c>
      <c r="C38" s="69">
        <f>IF(10528.89335="","-",7546.48614/10528.89335*100)</f>
        <v>71.67406762648992</v>
      </c>
      <c r="D38" s="69">
        <f>IF(10528.89335="","-",10528.89335/3007940.19782*100)</f>
        <v>0.35003665822980123</v>
      </c>
      <c r="E38" s="69">
        <f>IF(7546.48614="","-",7546.48614/3707625.63971*100)</f>
        <v>0.20353959308012187</v>
      </c>
      <c r="F38" s="69">
        <f>IF(2533522.81179="","-",(10528.89335-6381.37316)/2533522.81179*100)</f>
        <v>0.1637056580149625</v>
      </c>
      <c r="G38" s="69">
        <f>IF(3007940.19782="","-",(7546.48614-10528.89335)/3007940.19782*100)</f>
        <v>-0.09915114709266812</v>
      </c>
    </row>
    <row r="39" spans="1:7" s="11" customFormat="1" ht="15.75">
      <c r="A39" s="22" t="s">
        <v>306</v>
      </c>
      <c r="B39" s="36">
        <f>IF(997.03127="","-",997.03127)</f>
        <v>997.03127</v>
      </c>
      <c r="C39" s="70">
        <f>IF(OR(738.23888="",997.03127=""),"-",997.03127/738.23888*100)</f>
        <v>135.05537259159257</v>
      </c>
      <c r="D39" s="70">
        <f>IF(738.23888="","-",738.23888/3007940.19782*100)</f>
        <v>0.024543003897984327</v>
      </c>
      <c r="E39" s="70">
        <f>IF(997.03127="","-",997.03127/3707625.63971*100)</f>
        <v>0.02689136840897413</v>
      </c>
      <c r="F39" s="70">
        <f>IF(OR(2533522.81179="",508.76115="",738.23888=""),"-",(738.23888-508.76115)/2533522.81179*100)</f>
        <v>0.009057653988039998</v>
      </c>
      <c r="G39" s="70">
        <f>IF(OR(3007940.19782="",997.03127="",738.23888=""),"-",(997.03127-738.23888)/3007940.19782*100)</f>
        <v>0.008603641461607492</v>
      </c>
    </row>
    <row r="40" spans="1:7" s="11" customFormat="1" ht="25.5">
      <c r="A40" s="22" t="s">
        <v>50</v>
      </c>
      <c r="B40" s="36">
        <f>IF(4736.41838="","-",4736.41838)</f>
        <v>4736.41838</v>
      </c>
      <c r="C40" s="70">
        <f>IF(OR(8347.74454="",4736.41838=""),"-",4736.41838/8347.74454*100)</f>
        <v>56.73889943929693</v>
      </c>
      <c r="D40" s="70">
        <f>IF(8347.74454="","-",8347.74454/3007940.19782*100)</f>
        <v>0.2775236205177887</v>
      </c>
      <c r="E40" s="70">
        <f>IF(4736.41838="","-",4736.41838/3707625.63971*100)</f>
        <v>0.12774802097793428</v>
      </c>
      <c r="F40" s="70">
        <f>IF(OR(2533522.81179="",4696.33837="",8347.74454=""),"-",(8347.74454-4696.33837)/2533522.81179*100)</f>
        <v>0.14412367447444396</v>
      </c>
      <c r="G40" s="70">
        <f>IF(OR(3007940.19782="",4736.41838="",8347.74454=""),"-",(4736.41838-8347.74454)/3007940.19782*100)</f>
        <v>-0.12005977255190456</v>
      </c>
    </row>
    <row r="41" spans="1:7" s="11" customFormat="1" ht="63.75">
      <c r="A41" s="22" t="s">
        <v>237</v>
      </c>
      <c r="B41" s="36">
        <f>IF(1813.03649="","-",1813.03649)</f>
        <v>1813.03649</v>
      </c>
      <c r="C41" s="70">
        <f>IF(OR(1442.90993="",1813.03649=""),"-",1813.03649/1442.90993*100)</f>
        <v>125.65139738140134</v>
      </c>
      <c r="D41" s="70">
        <f>IF(1442.90993="","-",1442.90993/3007940.19782*100)</f>
        <v>0.04797003381402818</v>
      </c>
      <c r="E41" s="70">
        <f>IF(1813.03649="","-",1813.03649/3707625.63971*100)</f>
        <v>0.0489002036932135</v>
      </c>
      <c r="F41" s="70">
        <f>IF(OR(2533522.81179="",1176.27364="",1442.90993=""),"-",(1442.90993-1176.27364)/2533522.81179*100)</f>
        <v>0.010524329552478536</v>
      </c>
      <c r="G41" s="70">
        <f>IF(OR(3007940.19782="",1813.03649="",1442.90993=""),"-",(1813.03649-1442.90993)/3007940.19782*100)</f>
        <v>0.01230498399762896</v>
      </c>
    </row>
    <row r="42" spans="1:7" s="11" customFormat="1" ht="25.5">
      <c r="A42" s="53" t="s">
        <v>51</v>
      </c>
      <c r="B42" s="33">
        <f>IF(544770.13502="","-",544770.13502)</f>
        <v>544770.13502</v>
      </c>
      <c r="C42" s="69">
        <f>IF(478675.99057="","-",544770.13502/478675.99057*100)</f>
        <v>113.80769993734094</v>
      </c>
      <c r="D42" s="69">
        <f>IF(478675.99057="","-",478675.99057/3007940.19782*100)</f>
        <v>15.91374691946734</v>
      </c>
      <c r="E42" s="69">
        <f>IF(544770.13502="","-",544770.13502/3707625.63971*100)</f>
        <v>14.693234645518594</v>
      </c>
      <c r="F42" s="69">
        <f>IF(2533522.81179="","-",(478675.99057-410380.70365)/2533522.81179*100)</f>
        <v>2.6956649690376238</v>
      </c>
      <c r="G42" s="69">
        <f>IF(3007940.19782="","-",(544770.13502-478675.99057)/3007940.19782*100)</f>
        <v>2.1973224234278876</v>
      </c>
    </row>
    <row r="43" spans="1:7" s="11" customFormat="1" ht="15.75">
      <c r="A43" s="22" t="s">
        <v>52</v>
      </c>
      <c r="B43" s="36">
        <f>IF(14852.77479="","-",14852.77479)</f>
        <v>14852.77479</v>
      </c>
      <c r="C43" s="70">
        <f>IF(OR(13693.70688="",14852.77479=""),"-",14852.77479/13693.70688*100)</f>
        <v>108.46423777109504</v>
      </c>
      <c r="D43" s="70">
        <f>IF(13693.70688="","-",13693.70688/3007940.19782*100)</f>
        <v>0.4552519657779265</v>
      </c>
      <c r="E43" s="70">
        <f>IF(14852.77479="","-",14852.77479/3707625.63971*100)</f>
        <v>0.40060071413147696</v>
      </c>
      <c r="F43" s="70">
        <f>IF(OR(2533522.81179="",10827.47801="",13693.70688=""),"-",(13693.70688-10827.47801)/2533522.81179*100)</f>
        <v>0.11313215166888248</v>
      </c>
      <c r="G43" s="70">
        <f>IF(OR(3007940.19782="",14852.77479="",13693.70688=""),"-",(14852.77479-13693.70688)/3007940.19782*100)</f>
        <v>0.038533608841027904</v>
      </c>
    </row>
    <row r="44" spans="1:7" s="11" customFormat="1" ht="15.75">
      <c r="A44" s="22" t="s">
        <v>53</v>
      </c>
      <c r="B44" s="36">
        <f>IF(10202.56633="","-",10202.56633)</f>
        <v>10202.56633</v>
      </c>
      <c r="C44" s="70">
        <f>IF(OR(7799.00742="",10202.56633=""),"-",10202.56633/7799.00742*100)</f>
        <v>130.81877962875436</v>
      </c>
      <c r="D44" s="70">
        <f>IF(7799.00742="","-",7799.00742/3007940.19782*100)</f>
        <v>0.25928066740330535</v>
      </c>
      <c r="E44" s="70">
        <f>IF(10202.56633="","-",10202.56633/3707625.63971*100)</f>
        <v>0.2751778987804717</v>
      </c>
      <c r="F44" s="70">
        <f>IF(OR(2533522.81179="",9438.95884="",7799.00742=""),"-",(7799.00742-9438.95884)/2533522.81179*100)</f>
        <v>-0.06473008304359142</v>
      </c>
      <c r="G44" s="70">
        <f>IF(OR(3007940.19782="",10202.56633="",7799.00742=""),"-",(10202.56633-7799.00742)/3007940.19782*100)</f>
        <v>0.07990713750698819</v>
      </c>
    </row>
    <row r="45" spans="1:7" s="11" customFormat="1" ht="15.75">
      <c r="A45" s="22" t="s">
        <v>54</v>
      </c>
      <c r="B45" s="36">
        <f>IF(24745.39374="","-",24745.39374)</f>
        <v>24745.39374</v>
      </c>
      <c r="C45" s="70">
        <f>IF(OR(21228.84901="",24745.39374=""),"-",24745.39374/21228.84901*100)</f>
        <v>116.56493354087876</v>
      </c>
      <c r="D45" s="70">
        <f>IF(21228.84901="","-",21228.84901/3007940.19782*100)</f>
        <v>0.7057603414251912</v>
      </c>
      <c r="E45" s="70">
        <f>IF(24745.39374="","-",24745.39374/3707625.63971*100)</f>
        <v>0.6674188859567687</v>
      </c>
      <c r="F45" s="70">
        <f>IF(OR(2533522.81179="",19437.88907="",21228.84901=""),"-",(21228.84901-19437.88907)/2533522.81179*100)</f>
        <v>0.07069049987099349</v>
      </c>
      <c r="G45" s="70">
        <f>IF(OR(3007940.19782="",24745.39374="",21228.84901=""),"-",(24745.39374-21228.84901)/3007940.19782*100)</f>
        <v>0.11690873151496192</v>
      </c>
    </row>
    <row r="46" spans="1:7" s="11" customFormat="1" ht="15.75">
      <c r="A46" s="22" t="s">
        <v>55</v>
      </c>
      <c r="B46" s="36">
        <f>IF(146846.37808="","-",146846.37808)</f>
        <v>146846.37808</v>
      </c>
      <c r="C46" s="70">
        <f>IF(OR(140576.02022="",146846.37808=""),"-",146846.37808/140576.02022*100)</f>
        <v>104.46047473117174</v>
      </c>
      <c r="D46" s="70">
        <f>IF(140576.02022="","-",140576.02022/3007940.19782*100)</f>
        <v>4.673497841542271</v>
      </c>
      <c r="E46" s="70">
        <f>IF(146846.37808="","-",146846.37808/3707625.63971*100)</f>
        <v>3.9606581772232516</v>
      </c>
      <c r="F46" s="70">
        <f>IF(OR(2533522.81179="",104900.11817="",140576.02022=""),"-",(140576.02022-104900.11817)/2533522.81179*100)</f>
        <v>1.4081539697996264</v>
      </c>
      <c r="G46" s="70">
        <f>IF(OR(3007940.19782="",146846.37808="",140576.02022=""),"-",(146846.37808-140576.02022)/3007940.19782*100)</f>
        <v>0.20846019028385013</v>
      </c>
    </row>
    <row r="47" spans="1:7" s="11" customFormat="1" ht="38.25">
      <c r="A47" s="22" t="s">
        <v>307</v>
      </c>
      <c r="B47" s="36">
        <f>IF(72727.3728="","-",72727.3728)</f>
        <v>72727.3728</v>
      </c>
      <c r="C47" s="70">
        <f>IF(OR(71247.3043="",72727.3728=""),"-",72727.3728/71247.3043*100)</f>
        <v>102.07736771873908</v>
      </c>
      <c r="D47" s="70">
        <f>IF(71247.3043="","-",71247.3043/3007940.19782*100)</f>
        <v>2.3686409840074742</v>
      </c>
      <c r="E47" s="70">
        <f>IF(72727.3728="","-",72727.3728/3707625.63971*100)</f>
        <v>1.9615619231095978</v>
      </c>
      <c r="F47" s="70">
        <f>IF(OR(2533522.81179="",72106.3755="",71247.3043=""),"-",(71247.3043-72106.3755)/2533522.81179*100)</f>
        <v>-0.03390816913122779</v>
      </c>
      <c r="G47" s="70">
        <f>IF(OR(3007940.19782="",72727.3728="",71247.3043=""),"-",(72727.3728-71247.3043)/3007940.19782*100)</f>
        <v>0.04920538317459474</v>
      </c>
    </row>
    <row r="48" spans="1:7" s="11" customFormat="1" ht="15.75">
      <c r="A48" s="22" t="s">
        <v>56</v>
      </c>
      <c r="B48" s="36">
        <f>IF(63025.89972="","-",63025.89972)</f>
        <v>63025.89972</v>
      </c>
      <c r="C48" s="70">
        <f>IF(OR(44998.96502="",63025.89972=""),"-",63025.89972/44998.96502*100)</f>
        <v>140.06077626893827</v>
      </c>
      <c r="D48" s="70">
        <f>IF(44998.96502="","-",44998.96502/3007940.19782*100)</f>
        <v>1.4960059728784814</v>
      </c>
      <c r="E48" s="70">
        <f>IF(63025.89972="","-",63025.89972/3707625.63971*100)</f>
        <v>1.699899230520202</v>
      </c>
      <c r="F48" s="70">
        <f>IF(OR(2533522.81179="",35713.87043="",44998.96502=""),"-",(44998.96502-35713.87043)/2533522.81179*100)</f>
        <v>0.36648948044954993</v>
      </c>
      <c r="G48" s="70">
        <f>IF(OR(3007940.19782="",63025.89972="",44998.96502=""),"-",(63025.89972-44998.96502)/3007940.19782*100)</f>
        <v>0.5993116057648018</v>
      </c>
    </row>
    <row r="49" spans="1:7" s="11" customFormat="1" ht="15.75">
      <c r="A49" s="22" t="s">
        <v>57</v>
      </c>
      <c r="B49" s="36">
        <f>IF(38214.86296="","-",38214.86296)</f>
        <v>38214.86296</v>
      </c>
      <c r="C49" s="70">
        <f>IF(OR(33191.16323="",38214.86296=""),"-",38214.86296/33191.16323*100)</f>
        <v>115.13565431614433</v>
      </c>
      <c r="D49" s="70">
        <f>IF(33191.16323="","-",33191.16323/3007940.19782*100)</f>
        <v>1.1034515664259297</v>
      </c>
      <c r="E49" s="70">
        <f>IF(38214.86296="","-",38214.86296/3707625.63971*100)</f>
        <v>1.0307098578320615</v>
      </c>
      <c r="F49" s="70">
        <f>IF(OR(2533522.81179="",30265.88375="",33191.16323=""),"-",(33191.16323-30265.88375)/2533522.81179*100)</f>
        <v>0.11546292247249239</v>
      </c>
      <c r="G49" s="70">
        <f>IF(OR(3007940.19782="",38214.86296="",33191.16323=""),"-",(38214.86296-33191.16323)/3007940.19782*100)</f>
        <v>0.1670146146403083</v>
      </c>
    </row>
    <row r="50" spans="1:7" s="11" customFormat="1" ht="15.75">
      <c r="A50" s="22" t="s">
        <v>58</v>
      </c>
      <c r="B50" s="36">
        <f>IF(72224.59849="","-",72224.59849)</f>
        <v>72224.59849</v>
      </c>
      <c r="C50" s="70">
        <f>IF(OR(62015.97487="",72224.59849=""),"-",72224.59849/62015.97487*100)</f>
        <v>116.46128056746616</v>
      </c>
      <c r="D50" s="70">
        <f>IF(62015.97487="","-",62015.97487/3007940.19782*100)</f>
        <v>2.061742281809525</v>
      </c>
      <c r="E50" s="70">
        <f>IF(72224.59849="","-",72224.59849/3707625.63971*100)</f>
        <v>1.948001376310722</v>
      </c>
      <c r="F50" s="70">
        <f>IF(OR(2533522.81179="",54156.58903="",62015.97487=""),"-",(62015.97487-54156.58903)/2533522.81179*100)</f>
        <v>0.31021571242325363</v>
      </c>
      <c r="G50" s="70">
        <f>IF(OR(3007940.19782="",72224.59849="",62015.97487=""),"-",(72224.59849-62015.97487)/3007940.19782*100)</f>
        <v>0.33938918158674464</v>
      </c>
    </row>
    <row r="51" spans="1:7" s="11" customFormat="1" ht="15.75">
      <c r="A51" s="22" t="s">
        <v>59</v>
      </c>
      <c r="B51" s="36">
        <f>IF(101930.28811="","-",101930.28811)</f>
        <v>101930.28811</v>
      </c>
      <c r="C51" s="70">
        <f>IF(OR(83924.99962="",101930.28811=""),"-",101930.28811/83924.99962*100)</f>
        <v>121.45402272448649</v>
      </c>
      <c r="D51" s="70">
        <f>IF(83924.99962="","-",83924.99962/3007940.19782*100)</f>
        <v>2.7901152981972355</v>
      </c>
      <c r="E51" s="70">
        <f>IF(101930.28811="","-",101930.28811/3707625.63971*100)</f>
        <v>2.749206581654039</v>
      </c>
      <c r="F51" s="70">
        <f>IF(OR(2533522.81179="",73533.54085="",83924.99962=""),"-",(83924.99962-73533.54085)/2533522.81179*100)</f>
        <v>0.41015848452764314</v>
      </c>
      <c r="G51" s="70">
        <f>IF(OR(3007940.19782="",101930.28811="",83924.99962=""),"-",(101930.28811-83924.99962)/3007940.19782*100)</f>
        <v>0.5985919701146086</v>
      </c>
    </row>
    <row r="52" spans="1:7" s="11" customFormat="1" ht="25.5">
      <c r="A52" s="53" t="s">
        <v>263</v>
      </c>
      <c r="B52" s="33">
        <f>IF(751268.61472="","-",751268.61472)</f>
        <v>751268.61472</v>
      </c>
      <c r="C52" s="69">
        <f>IF(617576.3273="","-",751268.61472/617576.3273*100)</f>
        <v>121.64789703071897</v>
      </c>
      <c r="D52" s="69">
        <f>IF(617576.3273="","-",617576.3273/3007940.19782*100)</f>
        <v>20.53153609063064</v>
      </c>
      <c r="E52" s="69">
        <f>IF(751268.61472="","-",751268.61472/3707625.63971*100)</f>
        <v>20.262795862496034</v>
      </c>
      <c r="F52" s="69">
        <f>IF(2533522.81179="","-",(617576.3273-560938.30109)/2533522.81179*100)</f>
        <v>2.235544355331215</v>
      </c>
      <c r="G52" s="69">
        <f>IF(3007940.19782="","-",(751268.61472-617576.3273)/3007940.19782*100)</f>
        <v>4.444645791724624</v>
      </c>
    </row>
    <row r="53" spans="1:7" s="11" customFormat="1" ht="15.75">
      <c r="A53" s="22" t="s">
        <v>60</v>
      </c>
      <c r="B53" s="36">
        <f>IF(38934.54557="","-",38934.54557)</f>
        <v>38934.54557</v>
      </c>
      <c r="C53" s="70">
        <f>IF(OR(27294.98335="",38934.54557=""),"-",38934.54557/27294.98335*100)</f>
        <v>142.64359523780402</v>
      </c>
      <c r="D53" s="70">
        <f>IF(27294.98335="","-",27294.98335/3007940.19782*100)</f>
        <v>0.9074310509823965</v>
      </c>
      <c r="E53" s="70">
        <f>IF(38934.54557="","-",38934.54557/3707625.63971*100)</f>
        <v>1.0501207336845733</v>
      </c>
      <c r="F53" s="70">
        <f>IF(OR(2533522.81179="",25603.74049="",27294.98335=""),"-",(27294.98335-25603.74049)/2533522.81179*100)</f>
        <v>0.06675459372734407</v>
      </c>
      <c r="G53" s="70">
        <f>IF(OR(3007940.19782="",38934.54557="",27294.98335=""),"-",(38934.54557-27294.98335)/3007940.19782*100)</f>
        <v>0.3869612244430843</v>
      </c>
    </row>
    <row r="54" spans="1:7" s="11" customFormat="1" ht="15.75">
      <c r="A54" s="22" t="s">
        <v>61</v>
      </c>
      <c r="B54" s="36">
        <f>IF(42267.87223="","-",42267.87223)</f>
        <v>42267.87223</v>
      </c>
      <c r="C54" s="70">
        <f>IF(OR(33442.5452="",42267.87223=""),"-",42267.87223/33442.5452*100)</f>
        <v>126.38951962902631</v>
      </c>
      <c r="D54" s="70">
        <f>IF(33442.5452="","-",33442.5452/3007940.19782*100)</f>
        <v>1.1118088459417323</v>
      </c>
      <c r="E54" s="70">
        <f>IF(42267.87223="","-",42267.87223/3707625.63971*100)</f>
        <v>1.1400253514620229</v>
      </c>
      <c r="F54" s="70">
        <f>IF(OR(2533522.81179="",38371.31956="",33442.5452=""),"-",(33442.5452-38371.31956)/2533522.81179*100)</f>
        <v>-0.19454233200756912</v>
      </c>
      <c r="G54" s="70">
        <f>IF(OR(3007940.19782="",42267.87223="",33442.5452=""),"-",(42267.87223-33442.5452)/3007940.19782*100)</f>
        <v>0.29340101363704446</v>
      </c>
    </row>
    <row r="55" spans="1:7" s="11" customFormat="1" ht="15.75">
      <c r="A55" s="22" t="s">
        <v>62</v>
      </c>
      <c r="B55" s="36">
        <f>IF(54648.14024="","-",54648.14024)</f>
        <v>54648.14024</v>
      </c>
      <c r="C55" s="70">
        <f>IF(OR(42037.84712="",54648.14024=""),"-",54648.14024/42037.84712*100)</f>
        <v>129.99747604581898</v>
      </c>
      <c r="D55" s="70">
        <f>IF(42037.84712="","-",42037.84712/3007940.19782*100)</f>
        <v>1.3975625961735165</v>
      </c>
      <c r="E55" s="70">
        <f>IF(54648.14024="","-",54648.14024/3707625.63971*100)</f>
        <v>1.4739389989835765</v>
      </c>
      <c r="F55" s="70">
        <f>IF(OR(2533522.81179="",35866.04529="",42037.84712=""),"-",(42037.84712-35866.04529)/2533522.81179*100)</f>
        <v>0.24360553618380318</v>
      </c>
      <c r="G55" s="70">
        <f>IF(OR(3007940.19782="",54648.14024="",42037.84712=""),"-",(54648.14024-42037.84712)/3007940.19782*100)</f>
        <v>0.41923350501247636</v>
      </c>
    </row>
    <row r="56" spans="1:7" s="11" customFormat="1" ht="25.5">
      <c r="A56" s="22" t="s">
        <v>260</v>
      </c>
      <c r="B56" s="36">
        <f>IF(65236.2482="","-",65236.2482)</f>
        <v>65236.2482</v>
      </c>
      <c r="C56" s="70">
        <f>IF(OR(54493.52261="",65236.2482=""),"-",65236.2482/54493.52261*100)</f>
        <v>119.71376610553091</v>
      </c>
      <c r="D56" s="70">
        <f>IF(54493.52261="","-",54493.52261/3007940.19782*100)</f>
        <v>1.8116557852278479</v>
      </c>
      <c r="E56" s="70">
        <f>IF(65236.2482="","-",65236.2482/3707625.63971*100)</f>
        <v>1.7595155104468043</v>
      </c>
      <c r="F56" s="70">
        <f>IF(OR(2533522.81179="",50981.00507="",54493.52261=""),"-",(54493.52261-50981.00507)/2533522.81179*100)</f>
        <v>0.13864163857748396</v>
      </c>
      <c r="G56" s="70">
        <f>IF(OR(3007940.19782="",65236.2482="",54493.52261=""),"-",(65236.2482-54493.52261)/3007940.19782*100)</f>
        <v>0.3571455841371373</v>
      </c>
    </row>
    <row r="57" spans="1:7" s="11" customFormat="1" ht="25.5">
      <c r="A57" s="22" t="s">
        <v>261</v>
      </c>
      <c r="B57" s="36">
        <f>IF(199026.75581="","-",199026.75581)</f>
        <v>199026.75581</v>
      </c>
      <c r="C57" s="70">
        <f>IF(OR(179576.91127="",199026.75581=""),"-",199026.75581/179576.91127*100)</f>
        <v>110.83092720687043</v>
      </c>
      <c r="D57" s="70">
        <f>IF(179576.91127="","-",179576.91127/3007940.19782*100)</f>
        <v>5.970095795127447</v>
      </c>
      <c r="E57" s="70">
        <f>IF(199026.75581="","-",199026.75581/3707625.63971*100)</f>
        <v>5.368038069387375</v>
      </c>
      <c r="F57" s="70">
        <f>IF(OR(2533522.81179="",166501.41995="",179576.91127=""),"-",(179576.91127-166501.41995)/2533522.81179*100)</f>
        <v>0.51609921407267</v>
      </c>
      <c r="G57" s="70">
        <f>IF(OR(3007940.19782="",199026.75581="",179576.91127=""),"-",(199026.75581-179576.91127)/3007940.19782*100)</f>
        <v>0.6466167297506857</v>
      </c>
    </row>
    <row r="58" spans="1:7" s="11" customFormat="1" ht="15.75">
      <c r="A58" s="22" t="s">
        <v>63</v>
      </c>
      <c r="B58" s="36">
        <f>IF(81197.29698="","-",81197.29698)</f>
        <v>81197.29698</v>
      </c>
      <c r="C58" s="70">
        <f>IF(OR(75457.25758="",81197.29698=""),"-",81197.29698/75457.25758*100)</f>
        <v>107.60700770752818</v>
      </c>
      <c r="D58" s="70">
        <f>IF(75457.25758="","-",75457.25758/3007940.19782*100)</f>
        <v>2.5086023197764216</v>
      </c>
      <c r="E58" s="70">
        <f>IF(81197.29698="","-",81197.29698/3707625.63971*100)</f>
        <v>2.1900079692606456</v>
      </c>
      <c r="F58" s="70">
        <f>IF(OR(2533522.81179="",66464.84476="",75457.25758=""),"-",(75457.25758-66464.84476)/2533522.81179*100)</f>
        <v>0.354937116735358</v>
      </c>
      <c r="G58" s="70">
        <f>IF(OR(3007940.19782="",81197.29698="",75457.25758=""),"-",(81197.29698-75457.25758)/3007940.19782*100)</f>
        <v>0.1908295718166232</v>
      </c>
    </row>
    <row r="59" spans="1:7" s="11" customFormat="1" ht="15.75">
      <c r="A59" s="22" t="s">
        <v>262</v>
      </c>
      <c r="B59" s="36">
        <f>IF(90175.51983="","-",90175.51983)</f>
        <v>90175.51983</v>
      </c>
      <c r="C59" s="70">
        <f>IF(OR(68837.52478="",90175.51983=""),"-",90175.51983/68837.52478*100)</f>
        <v>130.99762101876087</v>
      </c>
      <c r="D59" s="70">
        <f>IF(68837.52478="","-",68837.52478/3007940.19782*100)</f>
        <v>2.2885270401948117</v>
      </c>
      <c r="E59" s="70">
        <f>IF(90175.51983="","-",90175.51983/3707625.63971*100)</f>
        <v>2.4321635621511475</v>
      </c>
      <c r="F59" s="70">
        <f>IF(OR(2533522.81179="",62556.81839="",68837.52478=""),"-",(68837.52478-62556.81839)/2533522.81179*100)</f>
        <v>0.24790407888857818</v>
      </c>
      <c r="G59" s="70">
        <f>IF(OR(3007940.19782="",90175.51983="",68837.52478=""),"-",(90175.51983-68837.52478)/3007940.19782*100)</f>
        <v>0.7093889388314527</v>
      </c>
    </row>
    <row r="60" spans="1:7" s="11" customFormat="1" ht="15.75">
      <c r="A60" s="22" t="s">
        <v>64</v>
      </c>
      <c r="B60" s="36">
        <f>IF(71264.33399="","-",71264.33399)</f>
        <v>71264.33399</v>
      </c>
      <c r="C60" s="70">
        <f>IF(OR(50643.87665="",71264.33399=""),"-",71264.33399/50643.87665*100)</f>
        <v>140.71658550649283</v>
      </c>
      <c r="D60" s="70">
        <f>IF(50643.87665="","-",50643.87665/3007940.19782*100)</f>
        <v>1.683672989466482</v>
      </c>
      <c r="E60" s="70">
        <f>IF(71264.33399="","-",71264.33399/3707625.63971*100)</f>
        <v>1.9221016606081647</v>
      </c>
      <c r="F60" s="70">
        <f>IF(OR(2533522.81179="",35785.75453="",50643.87665=""),"-",(50643.87665-35785.75453)/2533522.81179*100)</f>
        <v>0.5864609566906701</v>
      </c>
      <c r="G60" s="70">
        <f>IF(OR(3007940.19782="",71264.33399="",50643.87665=""),"-",(71264.33399-50643.87665)/3007940.19782*100)</f>
        <v>0.6855341524058439</v>
      </c>
    </row>
    <row r="61" spans="1:7" s="11" customFormat="1" ht="15.75">
      <c r="A61" s="22" t="s">
        <v>65</v>
      </c>
      <c r="B61" s="36">
        <f>IF(108517.90187="","-",108517.90187)</f>
        <v>108517.90187</v>
      </c>
      <c r="C61" s="70">
        <f>IF(OR(85791.85874="",108517.90187=""),"-",108517.90187/85791.85874*100)</f>
        <v>126.48974327374505</v>
      </c>
      <c r="D61" s="70">
        <f>IF(85791.85874="","-",85791.85874/3007940.19782*100)</f>
        <v>2.8521796677399873</v>
      </c>
      <c r="E61" s="70">
        <f>IF(108517.90187="","-",108517.90187/3707625.63971*100)</f>
        <v>2.9268840065117248</v>
      </c>
      <c r="F61" s="70">
        <f>IF(OR(2533522.81179="",78807.35305="",85791.85874=""),"-",(85791.85874-78807.35305)/2533522.81179*100)</f>
        <v>0.27568355246287496</v>
      </c>
      <c r="G61" s="70">
        <f>IF(OR(3007940.19782="",108517.90187="",85791.85874=""),"-",(108517.90187-85791.85874)/3007940.19782*100)</f>
        <v>0.7555350716902773</v>
      </c>
    </row>
    <row r="62" spans="1:7" s="11" customFormat="1" ht="15.75">
      <c r="A62" s="53" t="s">
        <v>66</v>
      </c>
      <c r="B62" s="33">
        <f>IF(895490.2056="","-",895490.2056)</f>
        <v>895490.2056</v>
      </c>
      <c r="C62" s="69">
        <f>IF(651546.94626="","-",895490.2056/651546.94626*100)</f>
        <v>137.44062661029716</v>
      </c>
      <c r="D62" s="69">
        <f>IF(651546.94626="","-",651546.94626/3007940.19782*100)</f>
        <v>21.660900929220855</v>
      </c>
      <c r="E62" s="69">
        <f>IF(895490.2056="","-",895490.2056/3707625.63971*100)</f>
        <v>24.152659751000176</v>
      </c>
      <c r="F62" s="69">
        <f>IF(2533522.81179="","-",(651546.94626-529417.18633)/2533522.81179*100)</f>
        <v>4.820551027275419</v>
      </c>
      <c r="G62" s="69">
        <f>IF(3007940.19782="","-",(895490.2056-651546.94626)/3007940.19782*100)</f>
        <v>8.109977037335964</v>
      </c>
    </row>
    <row r="63" spans="1:7" s="11" customFormat="1" ht="25.5">
      <c r="A63" s="22" t="s">
        <v>67</v>
      </c>
      <c r="B63" s="36">
        <f>IF(17441.38985="","-",17441.38985)</f>
        <v>17441.38985</v>
      </c>
      <c r="C63" s="70" t="s">
        <v>159</v>
      </c>
      <c r="D63" s="70">
        <f>IF(9993.47724="","-",9993.47724/3007940.19782*100)</f>
        <v>0.33223656664593126</v>
      </c>
      <c r="E63" s="70">
        <f>IF(17441.38985="","-",17441.38985/3707625.63971*100)</f>
        <v>0.4704193881711374</v>
      </c>
      <c r="F63" s="70">
        <f>IF(OR(2533522.81179="",6872.28742="",9993.47724=""),"-",(9993.47724-6872.28742)/2533522.81179*100)</f>
        <v>0.12319564700484374</v>
      </c>
      <c r="G63" s="70">
        <f>IF(OR(3007940.19782="",17441.38985="",9993.47724=""),"-",(17441.38985-9993.47724)/3007940.19782*100)</f>
        <v>0.24760840043953877</v>
      </c>
    </row>
    <row r="64" spans="1:7" s="11" customFormat="1" ht="25.5">
      <c r="A64" s="22" t="s">
        <v>68</v>
      </c>
      <c r="B64" s="36">
        <f>IF(148559.01568="","-",148559.01568)</f>
        <v>148559.01568</v>
      </c>
      <c r="C64" s="70">
        <f>IF(OR(101610.23035="",148559.01568=""),"-",148559.01568/101610.23035*100)</f>
        <v>146.20478190855712</v>
      </c>
      <c r="D64" s="70">
        <f>IF(101610.23035="","-",101610.23035/3007940.19782*100)</f>
        <v>3.3780668386838895</v>
      </c>
      <c r="E64" s="70">
        <f>IF(148559.01568="","-",148559.01568/3707625.63971*100)</f>
        <v>4.006850478346025</v>
      </c>
      <c r="F64" s="70">
        <f>IF(OR(2533522.81179="",83476.62619="",101610.23035=""),"-",(101610.23035-83476.62619)/2533522.81179*100)</f>
        <v>0.715746630565688</v>
      </c>
      <c r="G64" s="70">
        <f>IF(OR(3007940.19782="",148559.01568="",101610.23035=""),"-",(148559.01568-101610.23035)/3007940.19782*100)</f>
        <v>1.5608284155391812</v>
      </c>
    </row>
    <row r="65" spans="1:7" s="11" customFormat="1" ht="25.5">
      <c r="A65" s="22" t="s">
        <v>69</v>
      </c>
      <c r="B65" s="36">
        <f>IF(9358.15185="","-",9358.15185)</f>
        <v>9358.15185</v>
      </c>
      <c r="C65" s="70">
        <f>IF(OR(6685.47617="",9358.15185=""),"-",9358.15185/6685.47617*100)</f>
        <v>139.97734210755553</v>
      </c>
      <c r="D65" s="70">
        <f>IF(6685.47617="","-",6685.47617/3007940.19782*100)</f>
        <v>0.22226094038855193</v>
      </c>
      <c r="E65" s="70">
        <f>IF(9358.15185="","-",9358.15185/3707625.63971*100)</f>
        <v>0.25240282486373056</v>
      </c>
      <c r="F65" s="70">
        <f>IF(OR(2533522.81179="",4024.334="",6685.47617=""),"-",(6685.47617-4024.334)/2533522.81179*100)</f>
        <v>0.1050372294899462</v>
      </c>
      <c r="G65" s="70">
        <f>IF(OR(3007940.19782="",9358.15185="",6685.47617=""),"-",(9358.15185-6685.47617)/3007940.19782*100)</f>
        <v>0.08885401651060144</v>
      </c>
    </row>
    <row r="66" spans="1:7" s="11" customFormat="1" ht="38.25">
      <c r="A66" s="22" t="s">
        <v>70</v>
      </c>
      <c r="B66" s="36">
        <f>IF(116521.17435="","-",116521.17435)</f>
        <v>116521.17435</v>
      </c>
      <c r="C66" s="70">
        <f>IF(OR(95824.49121="",116521.17435=""),"-",116521.17435/95824.49121*100)</f>
        <v>121.5985317309362</v>
      </c>
      <c r="D66" s="70">
        <f>IF(95824.49121="","-",95824.49121/3007940.19782*100)</f>
        <v>3.1857179633906503</v>
      </c>
      <c r="E66" s="70">
        <f>IF(116521.17435="","-",116521.17435/3707625.63971*100)</f>
        <v>3.142743784647955</v>
      </c>
      <c r="F66" s="70">
        <f>IF(OR(2533522.81179="",74296.25618="",95824.49121=""),"-",(95824.49121-74296.25618)/2533522.81179*100)</f>
        <v>0.849735195981509</v>
      </c>
      <c r="G66" s="70">
        <f>IF(OR(3007940.19782="",116521.17435="",95824.49121=""),"-",(116521.17435-95824.49121)/3007940.19782*100)</f>
        <v>0.6880683051810637</v>
      </c>
    </row>
    <row r="67" spans="1:7" s="11" customFormat="1" ht="25.5">
      <c r="A67" s="22" t="s">
        <v>71</v>
      </c>
      <c r="B67" s="36">
        <f>IF(34342.53353="","-",34342.53353)</f>
        <v>34342.53353</v>
      </c>
      <c r="C67" s="70">
        <f>IF(OR(26394.603="",34342.53353=""),"-",34342.53353/26394.603*100)</f>
        <v>130.11195330348406</v>
      </c>
      <c r="D67" s="70">
        <f>IF(26394.603="","-",26394.603/3007940.19782*100)</f>
        <v>0.8774975984937948</v>
      </c>
      <c r="E67" s="70">
        <f>IF(34342.53353="","-",34342.53353/3707625.63971*100)</f>
        <v>0.9262675595448244</v>
      </c>
      <c r="F67" s="70">
        <f>IF(OR(2533522.81179="",21199.27214="",26394.603=""),"-",(26394.603-21199.27214)/2533522.81179*100)</f>
        <v>0.20506351219033866</v>
      </c>
      <c r="G67" s="70">
        <f>IF(OR(3007940.19782="",34342.53353="",26394.603=""),"-",(34342.53353-26394.603)/3007940.19782*100)</f>
        <v>0.2642316670976455</v>
      </c>
    </row>
    <row r="68" spans="1:7" s="11" customFormat="1" ht="38.25">
      <c r="A68" s="22" t="s">
        <v>72</v>
      </c>
      <c r="B68" s="36">
        <f>IF(94795.26835="","-",94795.26835)</f>
        <v>94795.26835</v>
      </c>
      <c r="C68" s="70">
        <f>IF(OR(63367.26069="",94795.26835=""),"-",94795.26835/63367.26069*100)</f>
        <v>149.59660133290197</v>
      </c>
      <c r="D68" s="70">
        <f>IF(63367.26069="","-",63367.26069/3007940.19782*100)</f>
        <v>2.1066662407691927</v>
      </c>
      <c r="E68" s="70">
        <f>IF(94795.26835="","-",94795.26835/3707625.63971*100)</f>
        <v>2.5567648290784453</v>
      </c>
      <c r="F68" s="70">
        <f>IF(OR(2533522.81179="",44408.87141="",63367.26069=""),"-",(63367.26069-44408.87141)/2533522.81179*100)</f>
        <v>0.7483015030208237</v>
      </c>
      <c r="G68" s="70">
        <f>IF(OR(3007940.19782="",94795.26835="",63367.26069=""),"-",(94795.26835-63367.26069)/3007940.19782*100)</f>
        <v>1.0448348568491286</v>
      </c>
    </row>
    <row r="69" spans="1:7" s="11" customFormat="1" ht="39" customHeight="1">
      <c r="A69" s="22" t="s">
        <v>73</v>
      </c>
      <c r="B69" s="36">
        <f>IF(277275.32403="","-",277275.32403)</f>
        <v>277275.32403</v>
      </c>
      <c r="C69" s="70">
        <f>IF(OR(189616.74579="",277275.32403=""),"-",277275.32403/189616.74579*100)</f>
        <v>146.22934428854805</v>
      </c>
      <c r="D69" s="70">
        <f>IF(189616.74579="","-",189616.74579/3007940.19782*100)</f>
        <v>6.303873525392042</v>
      </c>
      <c r="E69" s="70">
        <f>IF(277275.32403="","-",277275.32403/3707625.63971*100)</f>
        <v>7.478514579796889</v>
      </c>
      <c r="F69" s="70">
        <f>IF(OR(2533522.81179="",163456.49844="",189616.74579=""),"-",(189616.74579-163456.49844)/2533522.81179*100)</f>
        <v>1.0325641130310996</v>
      </c>
      <c r="G69" s="70">
        <f>IF(OR(3007940.19782="",277275.32403="",189616.74579=""),"-",(277275.32403-189616.74579)/3007940.19782*100)</f>
        <v>2.9142393955681185</v>
      </c>
    </row>
    <row r="70" spans="1:7" s="11" customFormat="1" ht="25.5">
      <c r="A70" s="22" t="s">
        <v>74</v>
      </c>
      <c r="B70" s="36">
        <f>IF(194812.0605="","-",194812.0605)</f>
        <v>194812.0605</v>
      </c>
      <c r="C70" s="70">
        <f>IF(OR(156581.81187="",194812.0605=""),"-",194812.0605/156581.81187*100)</f>
        <v>124.41551044366517</v>
      </c>
      <c r="D70" s="70">
        <f>IF(156581.81187="","-",156581.81187/3007940.19782*100)</f>
        <v>5.205615855776735</v>
      </c>
      <c r="E70" s="70">
        <f>IF(194812.0605="","-",194812.0605/3707625.63971*100)</f>
        <v>5.254361670539036</v>
      </c>
      <c r="F70" s="70">
        <f>IF(OR(2533522.81179="",131046.50844="",156581.81187=""),"-",(156581.81187-131046.50844)/2533522.81179*100)</f>
        <v>1.0078971190300292</v>
      </c>
      <c r="G70" s="70">
        <f>IF(OR(3007940.19782="",194812.0605="",156581.81187=""),"-",(194812.0605-156581.81187)/3007940.19782*100)</f>
        <v>1.2709776829242583</v>
      </c>
    </row>
    <row r="71" spans="1:7" s="11" customFormat="1" ht="15.75">
      <c r="A71" s="22" t="s">
        <v>75</v>
      </c>
      <c r="B71" s="36">
        <f>IF(2385.28746="","-",2385.28746)</f>
        <v>2385.28746</v>
      </c>
      <c r="C71" s="70" t="s">
        <v>217</v>
      </c>
      <c r="D71" s="70">
        <f>IF(1472.84994="","-",1472.84994/3007940.19782*100)</f>
        <v>0.04896539968006831</v>
      </c>
      <c r="E71" s="70">
        <f>IF(2385.28746="","-",2385.28746/3707625.63971*100)</f>
        <v>0.06433463601213446</v>
      </c>
      <c r="F71" s="70">
        <f>IF(OR(2533522.81179="",636.53211="",1472.84994=""),"-",(1472.84994-636.53211)/2533522.81179*100)</f>
        <v>0.033010076961143275</v>
      </c>
      <c r="G71" s="70">
        <f>IF(OR(3007940.19782="",2385.28746="",1472.84994=""),"-",(2385.28746-1472.84994)/3007940.19782*100)</f>
        <v>0.03033429722643049</v>
      </c>
    </row>
    <row r="72" spans="1:7" s="11" customFormat="1" ht="15.75">
      <c r="A72" s="53" t="s">
        <v>76</v>
      </c>
      <c r="B72" s="33">
        <f>IF(370739.84619="","-",370739.84619)</f>
        <v>370739.84619</v>
      </c>
      <c r="C72" s="69">
        <f>IF(320163.9892="","-",370739.84619/320163.9892*100)</f>
        <v>115.79685995179372</v>
      </c>
      <c r="D72" s="69">
        <f>IF(320163.9892="","-",320163.9892/3007940.19782*100)</f>
        <v>10.643961254018228</v>
      </c>
      <c r="E72" s="69">
        <f>IF(370739.84619="","-",370739.84619/3707625.63971*100)</f>
        <v>9.999387268748047</v>
      </c>
      <c r="F72" s="69">
        <f>IF(2533522.81179="","-",(320163.9892-244244.88907)/2533522.81179*100)</f>
        <v>2.9965824573081767</v>
      </c>
      <c r="G72" s="69">
        <f>IF(3007940.19782="","-",(370739.84619-320163.9892)/3007940.19782*100)</f>
        <v>1.681411652620447</v>
      </c>
    </row>
    <row r="73" spans="1:7" s="11" customFormat="1" ht="38.25">
      <c r="A73" s="22" t="s">
        <v>238</v>
      </c>
      <c r="B73" s="36">
        <f>IF(25962.0542="","-",25962.0542)</f>
        <v>25962.0542</v>
      </c>
      <c r="C73" s="70">
        <f>IF(OR(22914.10054="",25962.0542=""),"-",25962.0542/22914.10054*100)</f>
        <v>113.30165089691972</v>
      </c>
      <c r="D73" s="70">
        <f>IF(22914.10054="","-",22914.10054/3007940.19782*100)</f>
        <v>0.7617871045643447</v>
      </c>
      <c r="E73" s="70">
        <f>IF(25962.0542="","-",25962.0542/3707625.63971*100)</f>
        <v>0.7002339697389373</v>
      </c>
      <c r="F73" s="70">
        <f>IF(OR(2533522.81179="",19223.44301="",22914.10054=""),"-",(22914.10054-19223.44301)/2533522.81179*100)</f>
        <v>0.14567295438687816</v>
      </c>
      <c r="G73" s="70">
        <f>IF(OR(3007940.19782="",25962.0542="",22914.10054=""),"-",(25962.0542-22914.10054)/3007940.19782*100)</f>
        <v>0.10133026122690202</v>
      </c>
    </row>
    <row r="74" spans="1:7" s="11" customFormat="1" ht="15.75">
      <c r="A74" s="22" t="s">
        <v>77</v>
      </c>
      <c r="B74" s="36">
        <f>IF(33436.19875="","-",33436.19875)</f>
        <v>33436.19875</v>
      </c>
      <c r="C74" s="70">
        <f>IF(OR(29005.55498="",33436.19875=""),"-",33436.19875/29005.55498*100)</f>
        <v>115.2751559935848</v>
      </c>
      <c r="D74" s="70">
        <f>IF(29005.55498="","-",29005.55498/3007940.19782*100)</f>
        <v>0.9642995895005404</v>
      </c>
      <c r="E74" s="70">
        <f>IF(33436.19875="","-",33436.19875/3707625.63971*100)</f>
        <v>0.9018224060133344</v>
      </c>
      <c r="F74" s="70">
        <f>IF(OR(2533522.81179="",25599.4943="",29005.55498=""),"-",(29005.55498-25599.4943)/2533522.81179*100)</f>
        <v>0.13443970838350303</v>
      </c>
      <c r="G74" s="70">
        <f>IF(OR(3007940.19782="",33436.19875="",29005.55498=""),"-",(33436.19875-29005.55498)/3007940.19782*100)</f>
        <v>0.14729826654170533</v>
      </c>
    </row>
    <row r="75" spans="1:7" s="11" customFormat="1" ht="15.75">
      <c r="A75" s="22" t="s">
        <v>78</v>
      </c>
      <c r="B75" s="36">
        <f>IF(5633.19353="","-",5633.19353)</f>
        <v>5633.19353</v>
      </c>
      <c r="C75" s="70">
        <f>IF(OR(10544.20525="",5633.19353=""),"-",5633.19353/10544.20525*100)</f>
        <v>53.42454358994955</v>
      </c>
      <c r="D75" s="70">
        <f>IF(10544.20525="","-",10544.20525/3007940.19782*100)</f>
        <v>0.35054570757895714</v>
      </c>
      <c r="E75" s="70">
        <f>IF(5633.19353="","-",5633.19353/3707625.63971*100)</f>
        <v>0.1519353375288615</v>
      </c>
      <c r="F75" s="70">
        <f>IF(OR(2533522.81179="",3132.6142="",10544.20525=""),"-",(10544.20525-3132.6142)/2533522.81179*100)</f>
        <v>0.2925409242620365</v>
      </c>
      <c r="G75" s="70">
        <f>IF(OR(3007940.19782="",5633.19353="",10544.20525=""),"-",(5633.19353-10544.20525)/3007940.19782*100)</f>
        <v>-0.16326826323074006</v>
      </c>
    </row>
    <row r="76" spans="1:7" s="11" customFormat="1" ht="15.75">
      <c r="A76" s="22" t="s">
        <v>79</v>
      </c>
      <c r="B76" s="36">
        <f>IF(94115.04376="","-",94115.04376)</f>
        <v>94115.04376</v>
      </c>
      <c r="C76" s="70">
        <f>IF(OR(82336.08768="",94115.04376=""),"-",94115.04376/82336.08768*100)</f>
        <v>114.30594580322912</v>
      </c>
      <c r="D76" s="70">
        <f>IF(82336.08768="","-",82336.08768/3007940.19782*100)</f>
        <v>2.7372913776568084</v>
      </c>
      <c r="E76" s="70">
        <f>IF(94115.04376="","-",94115.04376/3707625.63971*100)</f>
        <v>2.538418192818448</v>
      </c>
      <c r="F76" s="70">
        <f>IF(OR(2533522.81179="",62467.92309="",82336.08768=""),"-",(82336.08768-62467.92309)/2533522.81179*100)</f>
        <v>0.7842110004907601</v>
      </c>
      <c r="G76" s="70">
        <f>IF(OR(3007940.19782="",94115.04376="",82336.08768=""),"-",(94115.04376-82336.08768)/3007940.19782*100)</f>
        <v>0.3915954209640466</v>
      </c>
    </row>
    <row r="77" spans="1:7" s="11" customFormat="1" ht="15.75">
      <c r="A77" s="22" t="s">
        <v>80</v>
      </c>
      <c r="B77" s="36">
        <f>IF(27616.23569="","-",27616.23569)</f>
        <v>27616.23569</v>
      </c>
      <c r="C77" s="70">
        <f>IF(OR(26799.12021="",27616.23569=""),"-",27616.23569/26799.12021*100)</f>
        <v>103.04903845199776</v>
      </c>
      <c r="D77" s="70">
        <f>IF(26799.12021="","-",26799.12021/3007940.19782*100)</f>
        <v>0.8909459114055067</v>
      </c>
      <c r="E77" s="70">
        <f>IF(27616.23569="","-",27616.23569/3707625.63971*100)</f>
        <v>0.7448496254373748</v>
      </c>
      <c r="F77" s="70">
        <f>IF(OR(2533522.81179="",15300.80698="",26799.12021=""),"-",(26799.12021-15300.80698)/2533522.81179*100)</f>
        <v>0.4538468403162371</v>
      </c>
      <c r="G77" s="70">
        <f>IF(OR(3007940.19782="",27616.23569="",26799.12021=""),"-",(27616.23569-26799.12021)/3007940.19782*100)</f>
        <v>0.027165283425255718</v>
      </c>
    </row>
    <row r="78" spans="1:7" ht="25.5">
      <c r="A78" s="22" t="s">
        <v>303</v>
      </c>
      <c r="B78" s="36">
        <f>IF(36795.58209="","-",36795.58209)</f>
        <v>36795.58209</v>
      </c>
      <c r="C78" s="70">
        <f>IF(OR(29677.1395="",36795.58209=""),"-",36795.58209/29677.1395*100)</f>
        <v>123.98628274129993</v>
      </c>
      <c r="D78" s="70">
        <f>IF(29677.1395="","-",29677.1395/3007940.19782*100)</f>
        <v>0.9866266464176536</v>
      </c>
      <c r="E78" s="70">
        <f>IF(36795.58209="","-",36795.58209/3707625.63971*100)</f>
        <v>0.9924298099545469</v>
      </c>
      <c r="F78" s="70">
        <f>IF(OR(2533522.81179="",24869.68037="",29677.1395=""),"-",(29677.1395-24869.68037)/2533522.81179*100)</f>
        <v>0.18975393107289243</v>
      </c>
      <c r="G78" s="70">
        <f>IF(OR(3007940.19782="",36795.58209="",29677.1395=""),"-",(36795.58209-29677.1395)/3007940.19782*100)</f>
        <v>0.23665505701074385</v>
      </c>
    </row>
    <row r="79" spans="1:7" ht="25.5">
      <c r="A79" s="22" t="s">
        <v>82</v>
      </c>
      <c r="B79" s="36">
        <f>IF(8077.75784="","-",8077.75784)</f>
        <v>8077.75784</v>
      </c>
      <c r="C79" s="70">
        <f>IF(OR(6514.21097="",8077.75784=""),"-",8077.75784/6514.21097*100)</f>
        <v>124.00209138452267</v>
      </c>
      <c r="D79" s="70">
        <f>IF(6514.21097="","-",6514.21097/3007940.19782*100)</f>
        <v>0.2165671702755648</v>
      </c>
      <c r="E79" s="70">
        <f>IF(8077.75784="","-",8077.75784/3707625.63971*100)</f>
        <v>0.21786875550444787</v>
      </c>
      <c r="F79" s="70">
        <f>IF(OR(2533522.81179="",4760.45295="",6514.21097=""),"-",(6514.21097-4760.45295)/2533522.81179*100)</f>
        <v>0.06922211285561405</v>
      </c>
      <c r="G79" s="70">
        <f>IF(OR(3007940.19782="",8077.75784="",6514.21097=""),"-",(8077.75784-6514.21097)/3007940.19782*100)</f>
        <v>0.051980650118415864</v>
      </c>
    </row>
    <row r="80" spans="1:7" s="1" customFormat="1" ht="15.75">
      <c r="A80" s="22" t="s">
        <v>83</v>
      </c>
      <c r="B80" s="36">
        <f>IF(139103.78033="","-",139103.78033)</f>
        <v>139103.78033</v>
      </c>
      <c r="C80" s="70">
        <f>IF(OR(112373.57007="",139103.78033=""),"-",139103.78033/112373.57007*100)</f>
        <v>123.7869191513175</v>
      </c>
      <c r="D80" s="70">
        <f>IF(112373.57007="","-",112373.57007/3007940.19782*100)</f>
        <v>3.735897746618851</v>
      </c>
      <c r="E80" s="70">
        <f>IF(139103.78033="","-",139103.78033/3707625.63971*100)</f>
        <v>3.7518291717520955</v>
      </c>
      <c r="F80" s="70">
        <f>IF(OR(2533522.81179="",88890.47417="",112373.57007=""),"-",(112373.57007-88890.47417)/2533522.81179*100)</f>
        <v>0.9268949855402556</v>
      </c>
      <c r="G80" s="70">
        <f>IF(OR(3007940.19782="",139103.78033="",112373.57007=""),"-",(139103.78033-112373.57007)/3007940.19782*100)</f>
        <v>0.8886549765641181</v>
      </c>
    </row>
    <row r="81" spans="1:7" s="1" customFormat="1" ht="25.5">
      <c r="A81" s="45" t="s">
        <v>216</v>
      </c>
      <c r="B81" s="67">
        <f>IF(303.21356="","-",303.21356)</f>
        <v>303.21356</v>
      </c>
      <c r="C81" s="73">
        <f>IF(614.56106="","-",303.21356/614.56106*100)</f>
        <v>49.3382317454347</v>
      </c>
      <c r="D81" s="73">
        <f>IF(614.56106="","-",614.56106/3007940.19782*100)</f>
        <v>0.02043129249861424</v>
      </c>
      <c r="E81" s="73">
        <f>IF(303.21356="","-",303.21356/3707625.63971*100)</f>
        <v>0.008178106137590431</v>
      </c>
      <c r="F81" s="73">
        <f>IF(2533522.81179="","-",(614.56106-3389.18381)/2533522.81179*100)</f>
        <v>-0.10951639105391187</v>
      </c>
      <c r="G81" s="73">
        <f>IF(3007940.19782="","-",(303.21356-614.56106)/3007940.19782*100)</f>
        <v>-0.010350854057060332</v>
      </c>
    </row>
    <row r="82" spans="1:7" s="1" customFormat="1" ht="15.75">
      <c r="A82" s="44" t="s">
        <v>20</v>
      </c>
      <c r="B82" s="43"/>
      <c r="C82" s="43"/>
      <c r="D82" s="43"/>
      <c r="E82" s="43"/>
      <c r="F82" s="43"/>
      <c r="G82" s="43"/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5"/>
  <sheetViews>
    <sheetView zoomScalePageLayoutView="0" workbookViewId="0" topLeftCell="A1">
      <selection activeCell="G25" sqref="G25"/>
    </sheetView>
  </sheetViews>
  <sheetFormatPr defaultColWidth="9.00390625" defaultRowHeight="15.75"/>
  <cols>
    <col min="1" max="1" width="43.25390625" style="0" customWidth="1"/>
    <col min="2" max="2" width="13.875" style="0" customWidth="1"/>
    <col min="3" max="3" width="13.50390625" style="0" customWidth="1"/>
    <col min="4" max="4" width="16.125" style="0" customWidth="1"/>
    <col min="5" max="5" width="10.375" style="0" customWidth="1"/>
    <col min="6" max="6" width="12.125" style="0" bestFit="1" customWidth="1"/>
  </cols>
  <sheetData>
    <row r="1" spans="1:4" ht="15.75">
      <c r="A1" s="103" t="s">
        <v>205</v>
      </c>
      <c r="B1" s="103"/>
      <c r="C1" s="103"/>
      <c r="D1" s="103"/>
    </row>
    <row r="2" spans="1:4" ht="15.75">
      <c r="A2" s="103" t="s">
        <v>23</v>
      </c>
      <c r="B2" s="103"/>
      <c r="C2" s="103"/>
      <c r="D2" s="103"/>
    </row>
    <row r="3" ht="15.75">
      <c r="A3" s="5"/>
    </row>
    <row r="4" spans="1:7" ht="26.25" customHeight="1">
      <c r="A4" s="104"/>
      <c r="B4" s="108" t="s">
        <v>266</v>
      </c>
      <c r="C4" s="109"/>
      <c r="D4" s="106" t="s">
        <v>267</v>
      </c>
      <c r="E4" s="1"/>
      <c r="F4" s="1"/>
      <c r="G4" s="1"/>
    </row>
    <row r="5" spans="1:7" ht="26.25" customHeight="1">
      <c r="A5" s="105"/>
      <c r="B5" s="26">
        <v>2017</v>
      </c>
      <c r="C5" s="25">
        <v>2018</v>
      </c>
      <c r="D5" s="107"/>
      <c r="E5" s="1"/>
      <c r="F5" s="1"/>
      <c r="G5" s="1"/>
    </row>
    <row r="6" spans="1:7" ht="16.5" customHeight="1">
      <c r="A6" s="51" t="s">
        <v>239</v>
      </c>
      <c r="B6" s="61">
        <f>IF(-1580276.51501="","-",-1580276.51501)</f>
        <v>-1580276.51501</v>
      </c>
      <c r="C6" s="61">
        <f>IF(-1954892.39225="","-",-1954892.39225)</f>
        <v>-1954892.39225</v>
      </c>
      <c r="D6" s="62">
        <f>IF(-1580276.51501="","-",-1954892.39225/-1580276.51501*100)</f>
        <v>123.70571692243553</v>
      </c>
      <c r="E6" s="35"/>
      <c r="F6" s="35"/>
      <c r="G6" s="35"/>
    </row>
    <row r="7" spans="1:4" ht="15.75">
      <c r="A7" s="7" t="s">
        <v>214</v>
      </c>
      <c r="B7" s="54"/>
      <c r="C7" s="54"/>
      <c r="D7" s="74"/>
    </row>
    <row r="8" spans="1:4" ht="15.75">
      <c r="A8" s="53" t="s">
        <v>24</v>
      </c>
      <c r="B8" s="33">
        <f>IF(-8234.13124="","-",-8234.13124)</f>
        <v>-8234.13124</v>
      </c>
      <c r="C8" s="33">
        <f>IF(24354.96032="","-",24354.96032)</f>
        <v>24354.96032</v>
      </c>
      <c r="D8" s="69" t="s">
        <v>22</v>
      </c>
    </row>
    <row r="9" spans="1:4" ht="15.75">
      <c r="A9" s="22" t="s">
        <v>25</v>
      </c>
      <c r="B9" s="36">
        <f>IF(OR(954.36805="",954.36805=0),"-",954.36805)</f>
        <v>954.36805</v>
      </c>
      <c r="C9" s="36">
        <f>IF(OR(7005.72947="",7005.72947=0),"-",7005.72947)</f>
        <v>7005.72947</v>
      </c>
      <c r="D9" s="70" t="s">
        <v>310</v>
      </c>
    </row>
    <row r="10" spans="1:4" ht="15.75">
      <c r="A10" s="22" t="s">
        <v>26</v>
      </c>
      <c r="B10" s="36">
        <f>IF(OR(-17004.21045="",-17004.21045=0),"-",-17004.21045)</f>
        <v>-17004.21045</v>
      </c>
      <c r="C10" s="36">
        <f>IF(OR(-23456.62384="",-23456.62384=0),"-",-23456.62384)</f>
        <v>-23456.62384</v>
      </c>
      <c r="D10" s="70">
        <f>IF(OR(-17004.21045="",-23456.62384="",-17004.21045=0,-23456.62384=0),"-",-23456.62384/-17004.21045*100)</f>
        <v>137.94597466887976</v>
      </c>
    </row>
    <row r="11" spans="1:4" ht="15.75">
      <c r="A11" s="22" t="s">
        <v>27</v>
      </c>
      <c r="B11" s="36">
        <f>IF(OR(-18030.24727="",-18030.24727=0),"-",-18030.24727)</f>
        <v>-18030.24727</v>
      </c>
      <c r="C11" s="36">
        <f>IF(OR(-22242.73104="",-22242.73104=0),"-",-22242.73104)</f>
        <v>-22242.73104</v>
      </c>
      <c r="D11" s="70">
        <f>IF(OR(-18030.24727="",-22242.73104="",-18030.24727=0,-22242.73104=0),"-",-22242.73104/-18030.24727*100)</f>
        <v>123.36342761648658</v>
      </c>
    </row>
    <row r="12" spans="1:4" ht="15.75">
      <c r="A12" s="22" t="s">
        <v>28</v>
      </c>
      <c r="B12" s="36">
        <f>IF(OR(-26738.56674="",-26738.56674=0),"-",-26738.56674)</f>
        <v>-26738.56674</v>
      </c>
      <c r="C12" s="36">
        <f>IF(OR(-32106.06781="",-32106.06781=0),"-",-32106.06781)</f>
        <v>-32106.06781</v>
      </c>
      <c r="D12" s="70">
        <f>IF(OR(-26738.56674="",-32106.06781="",-26738.56674=0,-32106.06781=0),"-",-32106.06781/-26738.56674*100)</f>
        <v>120.07400442287133</v>
      </c>
    </row>
    <row r="13" spans="1:4" ht="15.75">
      <c r="A13" s="22" t="s">
        <v>29</v>
      </c>
      <c r="B13" s="36">
        <f>IF(OR(70035.21849="",70035.21849=0),"-",70035.21849)</f>
        <v>70035.21849</v>
      </c>
      <c r="C13" s="36">
        <f>IF(OR(95275.57086="",95275.57086=0),"-",95275.57086)</f>
        <v>95275.57086</v>
      </c>
      <c r="D13" s="70">
        <f>IF(OR(70035.21849="",95275.57086="",70035.21849=0,95275.57086=0),"-",95275.57086/70035.21849*100)</f>
        <v>136.03951399623887</v>
      </c>
    </row>
    <row r="14" spans="1:4" ht="15.75">
      <c r="A14" s="22" t="s">
        <v>30</v>
      </c>
      <c r="B14" s="36">
        <f>IF(OR(55672.46992="",55672.46992=0),"-",55672.46992)</f>
        <v>55672.46992</v>
      </c>
      <c r="C14" s="36">
        <f>IF(OR(71653.42697="",71653.42697=0),"-",71653.42697)</f>
        <v>71653.42697</v>
      </c>
      <c r="D14" s="70">
        <f>IF(OR(55672.46992="",71653.42697="",55672.46992=0,71653.42697=0),"-",71653.42697/55672.46992*100)</f>
        <v>128.70531354718813</v>
      </c>
    </row>
    <row r="15" spans="1:4" ht="15.75">
      <c r="A15" s="22" t="s">
        <v>31</v>
      </c>
      <c r="B15" s="36">
        <f>IF(OR(3820.35811="",3820.35811=0),"-",3820.35811)</f>
        <v>3820.35811</v>
      </c>
      <c r="C15" s="36">
        <f>IF(OR(9072.86123="",9072.86123=0),"-",9072.86123)</f>
        <v>9072.86123</v>
      </c>
      <c r="D15" s="70" t="s">
        <v>254</v>
      </c>
    </row>
    <row r="16" spans="1:4" ht="15.75">
      <c r="A16" s="22" t="s">
        <v>32</v>
      </c>
      <c r="B16" s="36">
        <f>IF(OR(-22313.80143="",-22313.80143=0),"-",-22313.80143)</f>
        <v>-22313.80143</v>
      </c>
      <c r="C16" s="36">
        <f>IF(OR(-25010.24202="",-25010.24202=0),"-",-25010.24202)</f>
        <v>-25010.24202</v>
      </c>
      <c r="D16" s="70">
        <f>IF(OR(-22313.80143="",-25010.24202="",-22313.80143=0,-25010.24202=0),"-",-25010.24202/-22313.80143*100)</f>
        <v>112.08418295940712</v>
      </c>
    </row>
    <row r="17" spans="1:4" ht="15.75">
      <c r="A17" s="22" t="s">
        <v>33</v>
      </c>
      <c r="B17" s="36">
        <f>IF(OR(-13281.5672="",-13281.5672=0),"-",-13281.5672)</f>
        <v>-13281.5672</v>
      </c>
      <c r="C17" s="36">
        <f>IF(OR(-12474.04293="",-12474.04293=0),"-",-12474.04293)</f>
        <v>-12474.04293</v>
      </c>
      <c r="D17" s="70">
        <f>IF(OR(-13281.5672="",-12474.04293="",-13281.5672=0,-12474.04293=0),"-",-12474.04293/-13281.5672*100)</f>
        <v>93.91996247250098</v>
      </c>
    </row>
    <row r="18" spans="1:4" ht="15.75">
      <c r="A18" s="22" t="s">
        <v>34</v>
      </c>
      <c r="B18" s="36">
        <f>IF(OR(-41348.15272="",-41348.15272=0),"-",-41348.15272)</f>
        <v>-41348.15272</v>
      </c>
      <c r="C18" s="36">
        <f>IF(OR(-43362.92057="",-43362.92057=0),"-",-43362.92057)</f>
        <v>-43362.92057</v>
      </c>
      <c r="D18" s="70">
        <f>IF(OR(-41348.15272="",-43362.92057="",-41348.15272=0,-43362.92057=0),"-",-43362.92057/-41348.15272*100)</f>
        <v>104.8726913234638</v>
      </c>
    </row>
    <row r="19" spans="1:4" ht="15.75">
      <c r="A19" s="53" t="s">
        <v>35</v>
      </c>
      <c r="B19" s="33">
        <f>IF(47689.11778="","-",47689.11778)</f>
        <v>47689.11778</v>
      </c>
      <c r="C19" s="33">
        <f>IF(68415.98243="","-",68415.98243)</f>
        <v>68415.98243</v>
      </c>
      <c r="D19" s="69">
        <f>IF(47689.11778="","-",68415.98243/47689.11778*100)</f>
        <v>143.46246190927127</v>
      </c>
    </row>
    <row r="20" spans="1:4" ht="15.75">
      <c r="A20" s="22" t="s">
        <v>308</v>
      </c>
      <c r="B20" s="36">
        <f>IF(OR(72732.53936="",72732.53936=0),"-",72732.53936)</f>
        <v>72732.53936</v>
      </c>
      <c r="C20" s="36">
        <f>IF(OR(87210.86219="",87210.86219=0),"-",87210.86219)</f>
        <v>87210.86219</v>
      </c>
      <c r="D20" s="70">
        <f>IF(OR(72732.53936="",87210.86219="",72732.53936=0,87210.86219=0),"-",87210.86219/72732.53936*100)</f>
        <v>119.90625235609814</v>
      </c>
    </row>
    <row r="21" spans="1:4" ht="15.75">
      <c r="A21" s="22" t="s">
        <v>36</v>
      </c>
      <c r="B21" s="36">
        <f>IF(OR(-25043.42158="",-25043.42158=0),"-",-25043.42158)</f>
        <v>-25043.42158</v>
      </c>
      <c r="C21" s="36">
        <f>IF(OR(-18794.87976="",-18794.87976=0),"-",-18794.87976)</f>
        <v>-18794.87976</v>
      </c>
      <c r="D21" s="70">
        <f>IF(OR(-25043.42158="",-18794.87976="",-25043.42158=0,-18794.87976=0),"-",-18794.87976/-25043.42158*100)</f>
        <v>75.0491689003464</v>
      </c>
    </row>
    <row r="22" spans="1:4" ht="15.75">
      <c r="A22" s="53" t="s">
        <v>37</v>
      </c>
      <c r="B22" s="33">
        <f>IF(84831.482="","-",84831.482)</f>
        <v>84831.482</v>
      </c>
      <c r="C22" s="33">
        <f>IF(77283.11545="","-",77283.11545)</f>
        <v>77283.11545</v>
      </c>
      <c r="D22" s="69">
        <f>IF(84831.482="","-",77283.11545/84831.482*100)</f>
        <v>91.10192776073391</v>
      </c>
    </row>
    <row r="23" spans="1:4" ht="15.75">
      <c r="A23" s="22" t="s">
        <v>38</v>
      </c>
      <c r="B23" s="36">
        <f>IF(OR(2541.96232="",2541.96232=0),"-",2541.96232)</f>
        <v>2541.96232</v>
      </c>
      <c r="C23" s="36">
        <f>IF(OR(2167.86698="",2167.86698=0),"-",2167.86698)</f>
        <v>2167.86698</v>
      </c>
      <c r="D23" s="70">
        <f>IF(OR(2541.96232="",2167.86698="",2541.96232=0,2167.86698=0),"-",2167.86698/2541.96232*100)</f>
        <v>85.28320671566838</v>
      </c>
    </row>
    <row r="24" spans="1:4" ht="15.75">
      <c r="A24" s="22" t="s">
        <v>39</v>
      </c>
      <c r="B24" s="36">
        <f>IF(OR(114143.20906="",114143.20906=0),"-",114143.20906)</f>
        <v>114143.20906</v>
      </c>
      <c r="C24" s="36">
        <f>IF(OR(113997.66276="",113997.66276=0),"-",113997.66276)</f>
        <v>113997.66276</v>
      </c>
      <c r="D24" s="70">
        <f>IF(OR(114143.20906="",113997.66276="",114143.20906=0,113997.66276=0),"-",113997.66276/114143.20906*100)</f>
        <v>99.87248799013221</v>
      </c>
    </row>
    <row r="25" spans="1:4" ht="15.75">
      <c r="A25" s="22" t="s">
        <v>40</v>
      </c>
      <c r="B25" s="36">
        <f>IF(OR(-406.44227="",-406.44227=0),"-",-406.44227)</f>
        <v>-406.44227</v>
      </c>
      <c r="C25" s="36">
        <f>IF(OR(-606.66876="",-606.66876=0),"-",-606.66876)</f>
        <v>-606.66876</v>
      </c>
      <c r="D25" s="70">
        <f>IF(OR(-406.44227="",-606.66876="",-406.44227=0,-606.66876=0),"-",-606.66876/-406.44227*100)</f>
        <v>149.26320532556815</v>
      </c>
    </row>
    <row r="26" spans="1:4" ht="15.75">
      <c r="A26" s="22" t="s">
        <v>41</v>
      </c>
      <c r="B26" s="36">
        <f>IF(OR(-20287.06081="",-20287.06081=0),"-",-20287.06081)</f>
        <v>-20287.06081</v>
      </c>
      <c r="C26" s="36">
        <f>IF(OR(-21806.23222="",-21806.23222=0),"-",-21806.23222)</f>
        <v>-21806.23222</v>
      </c>
      <c r="D26" s="70">
        <f>IF(OR(-20287.06081="",-21806.23222="",-20287.06081=0,-21806.23222=0),"-",-21806.23222/-20287.06081*100)</f>
        <v>107.488376084776</v>
      </c>
    </row>
    <row r="27" spans="1:4" ht="15.75">
      <c r="A27" s="22" t="s">
        <v>236</v>
      </c>
      <c r="B27" s="36">
        <f>IF(OR(1542.01117="",1542.01117=0),"-",1542.01117)</f>
        <v>1542.01117</v>
      </c>
      <c r="C27" s="36">
        <f>IF(OR(1801.56778="",1801.56778=0),"-",1801.56778)</f>
        <v>1801.56778</v>
      </c>
      <c r="D27" s="70">
        <f>IF(OR(1542.01117="",1801.56778="",1542.01117=0,1801.56778=0),"-",1801.56778/1542.01117*100)</f>
        <v>116.83234304975885</v>
      </c>
    </row>
    <row r="28" spans="1:4" ht="25.5">
      <c r="A28" s="22" t="s">
        <v>258</v>
      </c>
      <c r="B28" s="36">
        <f>IF(OR(-5131.29453="",-5131.29453=0),"-",-5131.29453)</f>
        <v>-5131.29453</v>
      </c>
      <c r="C28" s="36">
        <f>IF(OR(-5123.60251="",-5123.60251=0),"-",-5123.60251)</f>
        <v>-5123.60251</v>
      </c>
      <c r="D28" s="70">
        <f>IF(OR(-5131.29453="",-5123.60251="",-5131.29453=0,-5123.60251=0),"-",-5123.60251/-5131.29453*100)</f>
        <v>99.85009591721877</v>
      </c>
    </row>
    <row r="29" spans="1:4" ht="25.5">
      <c r="A29" s="22" t="s">
        <v>42</v>
      </c>
      <c r="B29" s="36">
        <f>IF(OR(486.51114="",486.51114=0),"-",486.51114)</f>
        <v>486.51114</v>
      </c>
      <c r="C29" s="36">
        <f>IF(OR(-1511.65525="",-1511.65525=0),"-",-1511.65525)</f>
        <v>-1511.65525</v>
      </c>
      <c r="D29" s="70" t="s">
        <v>22</v>
      </c>
    </row>
    <row r="30" spans="1:4" ht="15.75">
      <c r="A30" s="22" t="s">
        <v>259</v>
      </c>
      <c r="B30" s="36">
        <f>IF(OR(9349.29906="",9349.29906=0),"-",9349.29906)</f>
        <v>9349.29906</v>
      </c>
      <c r="C30" s="36">
        <f>IF(OR(10814.31527="",10814.31527=0),"-",10814.31527)</f>
        <v>10814.31527</v>
      </c>
      <c r="D30" s="70">
        <f>IF(OR(9349.29906="",10814.31527="",9349.29906=0,10814.31527=0),"-",10814.31527/9349.29906*100)</f>
        <v>115.6697972821077</v>
      </c>
    </row>
    <row r="31" spans="1:4" ht="15.75">
      <c r="A31" s="22" t="s">
        <v>43</v>
      </c>
      <c r="B31" s="36">
        <f>IF(OR(-17406.71314="",-17406.71314=0),"-",-17406.71314)</f>
        <v>-17406.71314</v>
      </c>
      <c r="C31" s="36">
        <f>IF(OR(-22450.1386="",-22450.1386=0),"-",-22450.1386)</f>
        <v>-22450.1386</v>
      </c>
      <c r="D31" s="70">
        <f>IF(OR(-17406.71314="",-22450.1386="",-17406.71314=0,-22450.1386=0),"-",-22450.1386/-17406.71314*100)</f>
        <v>128.97402524782458</v>
      </c>
    </row>
    <row r="32" spans="1:4" ht="15.75">
      <c r="A32" s="53" t="s">
        <v>44</v>
      </c>
      <c r="B32" s="33">
        <f>IF(-454748.96261="","-",-454748.96261)</f>
        <v>-454748.96261</v>
      </c>
      <c r="C32" s="33">
        <f>IF(-591016.21383="","-",-591016.21383)</f>
        <v>-591016.21383</v>
      </c>
      <c r="D32" s="69">
        <f>IF(-454748.96261="","-",-591016.21383/-454748.96261*100)</f>
        <v>129.96537923647008</v>
      </c>
    </row>
    <row r="33" spans="1:4" ht="15.75">
      <c r="A33" s="22" t="s">
        <v>302</v>
      </c>
      <c r="B33" s="36">
        <f>IF(OR(-13772.15856="",-13772.15856=0),"-",-13772.15856)</f>
        <v>-13772.15856</v>
      </c>
      <c r="C33" s="36">
        <f>IF(OR(-9530.88283="",-9530.88283=0),"-",-9530.88283)</f>
        <v>-9530.88283</v>
      </c>
      <c r="D33" s="70">
        <f>IF(OR(-13772.15856="",-9530.88283="",-13772.15856=0,-9530.88283=0),"-",-9530.88283/-13772.15856*100)</f>
        <v>69.20398707637302</v>
      </c>
    </row>
    <row r="34" spans="1:4" ht="15.75">
      <c r="A34" s="22" t="s">
        <v>45</v>
      </c>
      <c r="B34" s="36">
        <f>IF(OR(-277413.93094="",-277413.93094=0),"-",-277413.93094)</f>
        <v>-277413.93094</v>
      </c>
      <c r="C34" s="36">
        <f>IF(OR(-389420.58288="",-389420.58288=0),"-",-389420.58288)</f>
        <v>-389420.58288</v>
      </c>
      <c r="D34" s="70">
        <f>IF(OR(-277413.93094="",-389420.58288="",-277413.93094=0,-389420.58288=0),"-",-389420.58288/-277413.93094*100)</f>
        <v>140.3752802032949</v>
      </c>
    </row>
    <row r="35" spans="1:4" ht="15.75">
      <c r="A35" s="22" t="s">
        <v>46</v>
      </c>
      <c r="B35" s="36">
        <f>IF(OR(-119219.12244="",-119219.12244=0),"-",-119219.12244)</f>
        <v>-119219.12244</v>
      </c>
      <c r="C35" s="36">
        <f>IF(OR(-151065.77509="",-151065.77509=0),"-",-151065.77509)</f>
        <v>-151065.77509</v>
      </c>
      <c r="D35" s="70">
        <f>IF(OR(-119219.12244="",-151065.77509="",-119219.12244=0,-151065.77509=0),"-",-151065.77509/-119219.12244*100)</f>
        <v>126.71270514176753</v>
      </c>
    </row>
    <row r="36" spans="1:4" ht="15.75">
      <c r="A36" s="22" t="s">
        <v>47</v>
      </c>
      <c r="B36" s="36">
        <f>IF(OR(-44343.75067="",-44343.75067=0),"-",-44343.75067)</f>
        <v>-44343.75067</v>
      </c>
      <c r="C36" s="36">
        <f>IF(OR(-40998.97303="",-40998.97303=0),"-",-40998.97303)</f>
        <v>-40998.97303</v>
      </c>
      <c r="D36" s="70">
        <f>IF(OR(-44343.75067="",-40998.97303="",-44343.75067=0,-40998.97303=0),"-",-40998.97303/-44343.75067*100)</f>
        <v>92.4571611795056</v>
      </c>
    </row>
    <row r="37" spans="1:4" ht="15.75">
      <c r="A37" s="53" t="s">
        <v>48</v>
      </c>
      <c r="B37" s="33">
        <f>IF(14936.02333="","-",14936.02333)</f>
        <v>14936.02333</v>
      </c>
      <c r="C37" s="33">
        <f>IF(41757.10944="","-",41757.10944)</f>
        <v>41757.10944</v>
      </c>
      <c r="D37" s="69" t="s">
        <v>218</v>
      </c>
    </row>
    <row r="38" spans="1:4" ht="15.75">
      <c r="A38" s="22" t="s">
        <v>49</v>
      </c>
      <c r="B38" s="36">
        <f>IF(OR(-738.23888="",-738.23888=0),"-",-738.23888)</f>
        <v>-738.23888</v>
      </c>
      <c r="C38" s="36">
        <f>IF(OR(-997.02819="",-997.02819=0),"-",-997.02819)</f>
        <v>-997.02819</v>
      </c>
      <c r="D38" s="70">
        <f>IF(OR(-738.23888="",-997.02819="",-738.23888=0,-997.02819=0),"-",-997.02819/-738.23888*100)</f>
        <v>135.05495538246373</v>
      </c>
    </row>
    <row r="39" spans="1:4" ht="15.75">
      <c r="A39" s="22" t="s">
        <v>50</v>
      </c>
      <c r="B39" s="36">
        <f>IF(OR(17020.0068="",17020.0068=0),"-",17020.0068)</f>
        <v>17020.0068</v>
      </c>
      <c r="C39" s="36">
        <f>IF(OR(44399.4126099999="",44399.4126099999=0),"-",44399.4126099999)</f>
        <v>44399.4126099999</v>
      </c>
      <c r="D39" s="70" t="s">
        <v>153</v>
      </c>
    </row>
    <row r="40" spans="1:4" ht="38.25">
      <c r="A40" s="22" t="s">
        <v>237</v>
      </c>
      <c r="B40" s="36">
        <f>IF(OR(-1345.74459="",-1345.74459=0),"-",-1345.74459)</f>
        <v>-1345.74459</v>
      </c>
      <c r="C40" s="36">
        <f>IF(OR(-1645.27498="",-1645.27498=0),"-",-1645.27498)</f>
        <v>-1645.27498</v>
      </c>
      <c r="D40" s="70">
        <f>IF(OR(-1345.74459="",-1645.27498="",-1345.74459=0,-1645.27498=0),"-",-1645.27498/-1345.74459*100)</f>
        <v>122.2575957002361</v>
      </c>
    </row>
    <row r="41" spans="1:4" ht="15" customHeight="1">
      <c r="A41" s="53" t="s">
        <v>51</v>
      </c>
      <c r="B41" s="33">
        <f>IF(-391959.97677="","-",-391959.97677)</f>
        <v>-391959.97677</v>
      </c>
      <c r="C41" s="33">
        <f>IF(-460667.71504="","-",-460667.71504)</f>
        <v>-460667.71504</v>
      </c>
      <c r="D41" s="69">
        <f>IF(-391959.97677="","-",-460667.71504/-391959.97677*100)</f>
        <v>117.5292739927672</v>
      </c>
    </row>
    <row r="42" spans="1:4" ht="15.75">
      <c r="A42" s="22" t="s">
        <v>52</v>
      </c>
      <c r="B42" s="36">
        <f>IF(OR(2134.08888="",2134.08888=0),"-",2134.08888)</f>
        <v>2134.08888</v>
      </c>
      <c r="C42" s="36">
        <f>IF(OR(2646.2773="",2646.2773=0),"-",2646.2773)</f>
        <v>2646.2773</v>
      </c>
      <c r="D42" s="70">
        <f>IF(OR(2134.08888="",2646.2773="",2134.08888=0,2646.2773=0),"-",2646.2773/2134.08888*100)</f>
        <v>124.00033216985791</v>
      </c>
    </row>
    <row r="43" spans="1:4" ht="15.75">
      <c r="A43" s="22" t="s">
        <v>53</v>
      </c>
      <c r="B43" s="36">
        <f>IF(OR(-7050.81691="",-7050.81691=0),"-",-7050.81691)</f>
        <v>-7050.81691</v>
      </c>
      <c r="C43" s="36">
        <f>IF(OR(-9506.42993="",-9506.42993=0),"-",-9506.42993)</f>
        <v>-9506.42993</v>
      </c>
      <c r="D43" s="70">
        <f>IF(OR(-7050.81691="",-9506.42993="",-7050.81691=0,-9506.42993=0),"-",-9506.42993/-7050.81691*100)</f>
        <v>134.82735477810047</v>
      </c>
    </row>
    <row r="44" spans="1:4" ht="15.75">
      <c r="A44" s="22" t="s">
        <v>54</v>
      </c>
      <c r="B44" s="36">
        <f>IF(OR(-20537.78168="",-20537.78168=0),"-",-20537.78168)</f>
        <v>-20537.78168</v>
      </c>
      <c r="C44" s="36">
        <f>IF(OR(-22385.83129="",-22385.83129=0),"-",-22385.83129)</f>
        <v>-22385.83129</v>
      </c>
      <c r="D44" s="70">
        <f>IF(OR(-20537.78168="",-22385.83129="",-20537.78168=0,-22385.83129=0),"-",-22385.83129/-20537.78168*100)</f>
        <v>108.99829221478021</v>
      </c>
    </row>
    <row r="45" spans="1:4" ht="15.75">
      <c r="A45" s="22" t="s">
        <v>55</v>
      </c>
      <c r="B45" s="36">
        <f>IF(OR(-99137.20693="",-99137.20693=0),"-",-99137.20693)</f>
        <v>-99137.20693</v>
      </c>
      <c r="C45" s="36">
        <f>IF(OR(-103283.91427="",-103283.91427=0),"-",-103283.91427)</f>
        <v>-103283.91427</v>
      </c>
      <c r="D45" s="70">
        <f>IF(OR(-99137.20693="",-103283.91427="",-99137.20693=0,-103283.91427=0),"-",-103283.91427/-99137.20693*100)</f>
        <v>104.18279621588285</v>
      </c>
    </row>
    <row r="46" spans="1:4" ht="25.5">
      <c r="A46" s="22" t="s">
        <v>307</v>
      </c>
      <c r="B46" s="36">
        <f>IF(OR(-51392.99875="",-51392.99875=0),"-",-51392.99875)</f>
        <v>-51392.99875</v>
      </c>
      <c r="C46" s="36">
        <f>IF(OR(-57396.52588="",-57396.52588=0),"-",-57396.52588)</f>
        <v>-57396.52588</v>
      </c>
      <c r="D46" s="70">
        <f>IF(OR(-51392.99875="",-57396.52588="",-51392.99875=0,-57396.52588=0),"-",-57396.52588/-51392.99875*100)</f>
        <v>111.6816050357443</v>
      </c>
    </row>
    <row r="47" spans="1:4" ht="15.75">
      <c r="A47" s="22" t="s">
        <v>56</v>
      </c>
      <c r="B47" s="36">
        <f>IF(OR(-44948.56502="",-44948.56502=0),"-",-44948.56502)</f>
        <v>-44948.56502</v>
      </c>
      <c r="C47" s="36">
        <f>IF(OR(-63025.89972="",-63025.89972=0),"-",-63025.89972)</f>
        <v>-63025.89972</v>
      </c>
      <c r="D47" s="70">
        <f>IF(OR(-44948.56502="",-63025.89972="",-44948.56502=0,-63025.89972=0),"-",-63025.89972/-44948.56502*100)</f>
        <v>140.21782384366762</v>
      </c>
    </row>
    <row r="48" spans="1:4" ht="15.75">
      <c r="A48" s="22" t="s">
        <v>57</v>
      </c>
      <c r="B48" s="36">
        <f>IF(OR(-30628.8617="",-30628.8617=0),"-",-30628.8617)</f>
        <v>-30628.8617</v>
      </c>
      <c r="C48" s="36">
        <f>IF(OR(-36627.3765899999="",-36627.3765899999=0),"-",-36627.3765899999)</f>
        <v>-36627.3765899999</v>
      </c>
      <c r="D48" s="70">
        <f>IF(OR(-30628.8617="",-36627.3765899999="",-30628.8617=0,-36627.3765899999=0),"-",-36627.3765899999/-30628.8617*100)</f>
        <v>119.584517860159</v>
      </c>
    </row>
    <row r="49" spans="1:4" ht="15.75">
      <c r="A49" s="22" t="s">
        <v>58</v>
      </c>
      <c r="B49" s="36">
        <f>IF(OR(-59944.2567="",-59944.2567=0),"-",-59944.2567)</f>
        <v>-59944.2567</v>
      </c>
      <c r="C49" s="36">
        <f>IF(OR(-70974.615="",-70974.615=0),"-",-70974.615)</f>
        <v>-70974.615</v>
      </c>
      <c r="D49" s="70">
        <f>IF(OR(-59944.2567="",-70974.615="",-59944.2567=0,-70974.615=0),"-",-70974.615/-59944.2567*100)</f>
        <v>118.40102606527108</v>
      </c>
    </row>
    <row r="50" spans="1:4" ht="15.75">
      <c r="A50" s="22" t="s">
        <v>59</v>
      </c>
      <c r="B50" s="36">
        <f>IF(OR(-80453.57796="",-80453.57796=0),"-",-80453.57796)</f>
        <v>-80453.57796</v>
      </c>
      <c r="C50" s="36">
        <f>IF(OR(-100113.39966="",-100113.39966=0),"-",-100113.39966)</f>
        <v>-100113.39966</v>
      </c>
      <c r="D50" s="70">
        <f>IF(OR(-80453.57796="",-100113.39966="",-80453.57796=0,-100113.39966=0),"-",-100113.39966/-80453.57796*100)</f>
        <v>124.43623043063977</v>
      </c>
    </row>
    <row r="51" spans="1:4" ht="27.75" customHeight="1">
      <c r="A51" s="53" t="s">
        <v>263</v>
      </c>
      <c r="B51" s="33">
        <f>IF(-506619.84069="","-",-506619.84069)</f>
        <v>-506619.84069</v>
      </c>
      <c r="C51" s="33">
        <f>IF(-631165.3136="","-",-631165.3136)</f>
        <v>-631165.3136</v>
      </c>
      <c r="D51" s="69">
        <f>IF(-506619.84069="","-",-631165.3136/-506619.84069*100)</f>
        <v>124.58361534762892</v>
      </c>
    </row>
    <row r="52" spans="1:4" ht="15.75">
      <c r="A52" s="22" t="s">
        <v>60</v>
      </c>
      <c r="B52" s="36">
        <f>IF(OR(-25675.09235="",-25675.09235=0),"-",-25675.09235)</f>
        <v>-25675.09235</v>
      </c>
      <c r="C52" s="36">
        <f>IF(OR(-37778.50199="",-37778.50199=0),"-",-37778.50199)</f>
        <v>-37778.50199</v>
      </c>
      <c r="D52" s="70">
        <f>IF(OR(-25675.09235="",-37778.50199="",-25675.09235=0,-37778.50199=0),"-",-37778.50199/-25675.09235*100)</f>
        <v>147.14066642880059</v>
      </c>
    </row>
    <row r="53" spans="1:4" ht="15.75">
      <c r="A53" s="22" t="s">
        <v>61</v>
      </c>
      <c r="B53" s="36">
        <f>IF(OR(-31969.62943="",-31969.62943=0),"-",-31969.62943)</f>
        <v>-31969.62943</v>
      </c>
      <c r="C53" s="36">
        <f>IF(OR(-41263.83513="",-41263.83513=0),"-",-41263.83513)</f>
        <v>-41263.83513</v>
      </c>
      <c r="D53" s="70">
        <f>IF(OR(-31969.62943="",-41263.83513="",-31969.62943=0,-41263.83513=0),"-",-41263.83513/-31969.62943*100)</f>
        <v>129.07198446059684</v>
      </c>
    </row>
    <row r="54" spans="1:4" ht="15.75">
      <c r="A54" s="22" t="s">
        <v>62</v>
      </c>
      <c r="B54" s="36">
        <f>IF(OR(-35859.96293="",-35859.96293=0),"-",-35859.96293)</f>
        <v>-35859.96293</v>
      </c>
      <c r="C54" s="36">
        <f>IF(OR(-43859.73114="",-43859.73114=0),"-",-43859.73114)</f>
        <v>-43859.73114</v>
      </c>
      <c r="D54" s="70">
        <f>IF(OR(-35859.96293="",-43859.73114="",-35859.96293=0,-43859.73114=0),"-",-43859.73114/-35859.96293*100)</f>
        <v>122.30835605049523</v>
      </c>
    </row>
    <row r="55" spans="1:4" ht="25.5">
      <c r="A55" s="22" t="s">
        <v>260</v>
      </c>
      <c r="B55" s="36">
        <f>IF(OR(-49575.5103="",-49575.5103=0),"-",-49575.5103)</f>
        <v>-49575.5103</v>
      </c>
      <c r="C55" s="36">
        <f>IF(OR(-58887.89146="",-58887.89146=0),"-",-58887.89146)</f>
        <v>-58887.89146</v>
      </c>
      <c r="D55" s="70">
        <f>IF(OR(-49575.5103="",-58887.89146="",-49575.5103=0,-58887.89146=0),"-",-58887.89146/-49575.5103*100)</f>
        <v>118.78423661934549</v>
      </c>
    </row>
    <row r="56" spans="1:4" ht="25.5">
      <c r="A56" s="22" t="s">
        <v>261</v>
      </c>
      <c r="B56" s="36">
        <f>IF(OR(-124274.16889="",-124274.16889=0),"-",-124274.16889)</f>
        <v>-124274.16889</v>
      </c>
      <c r="C56" s="36">
        <f>IF(OR(-150711.70938="",-150711.70938=0),"-",-150711.70938)</f>
        <v>-150711.70938</v>
      </c>
      <c r="D56" s="70">
        <f>IF(OR(-124274.16889="",-150711.70938="",-124274.16889=0,-150711.70938=0),"-",-150711.70938/-124274.16889*100)</f>
        <v>121.2735604881823</v>
      </c>
    </row>
    <row r="57" spans="1:4" ht="15.75">
      <c r="A57" s="22" t="s">
        <v>63</v>
      </c>
      <c r="B57" s="36">
        <f>IF(OR(-55552.64699="",-55552.64699=0),"-",-55552.64699)</f>
        <v>-55552.64699</v>
      </c>
      <c r="C57" s="36">
        <f>IF(OR(-48241.7355="",-48241.7355=0),"-",-48241.7355)</f>
        <v>-48241.7355</v>
      </c>
      <c r="D57" s="70">
        <f>IF(OR(-55552.64699="",-48241.7355="",-55552.64699=0,-48241.7355=0),"-",-48241.7355/-55552.64699*100)</f>
        <v>86.83967031973107</v>
      </c>
    </row>
    <row r="58" spans="1:4" ht="15.75">
      <c r="A58" s="22" t="s">
        <v>262</v>
      </c>
      <c r="B58" s="36">
        <f>IF(OR(-67128.13941="",-67128.13941=0),"-",-67128.13941)</f>
        <v>-67128.13941</v>
      </c>
      <c r="C58" s="36">
        <f>IF(OR(-88196.17185="",-88196.17185=0),"-",-88196.17185)</f>
        <v>-88196.17185</v>
      </c>
      <c r="D58" s="70">
        <f>IF(OR(-67128.13941="",-88196.17185="",-67128.13941=0,-88196.17185=0),"-",-88196.17185/-67128.13941*100)</f>
        <v>131.38480021220656</v>
      </c>
    </row>
    <row r="59" spans="1:4" ht="15.75">
      <c r="A59" s="22" t="s">
        <v>64</v>
      </c>
      <c r="B59" s="36">
        <f>IF(OR(-48285.80802="",-48285.80802=0),"-",-48285.80802)</f>
        <v>-48285.80802</v>
      </c>
      <c r="C59" s="36">
        <f>IF(OR(-69635.87486="",-69635.87486=0),"-",-69635.87486)</f>
        <v>-69635.87486</v>
      </c>
      <c r="D59" s="70">
        <f>IF(OR(-48285.80802="",-69635.87486="",-48285.80802=0,-69635.87486=0),"-",-69635.87486/-48285.80802*100)</f>
        <v>144.21602892335733</v>
      </c>
    </row>
    <row r="60" spans="1:4" ht="15.75">
      <c r="A60" s="22" t="s">
        <v>65</v>
      </c>
      <c r="B60" s="36">
        <f>IF(OR(-68298.88237="",-68298.88237=0),"-",-68298.88237)</f>
        <v>-68298.88237</v>
      </c>
      <c r="C60" s="36">
        <f>IF(OR(-92589.86229="",-92589.86229=0),"-",-92589.86229)</f>
        <v>-92589.86229</v>
      </c>
      <c r="D60" s="70">
        <f>IF(OR(-68298.88237="",-92589.86229="",-68298.88237=0,-92589.86229=0),"-",-92589.86229/-68298.88237*100)</f>
        <v>135.56570631479278</v>
      </c>
    </row>
    <row r="61" spans="1:4" ht="15.75">
      <c r="A61" s="53" t="s">
        <v>66</v>
      </c>
      <c r="B61" s="33">
        <f>IF(-386955.93863="","-",-386955.93863)</f>
        <v>-386955.93863</v>
      </c>
      <c r="C61" s="33">
        <f>IF(-527679.95318="","-",-527679.95318)</f>
        <v>-527679.95318</v>
      </c>
      <c r="D61" s="69">
        <f>IF(-386955.93863="","-",-527679.95318/-386955.93863*100)</f>
        <v>136.36693496634967</v>
      </c>
    </row>
    <row r="62" spans="1:4" ht="15.75">
      <c r="A62" s="22" t="s">
        <v>67</v>
      </c>
      <c r="B62" s="36">
        <f>IF(OR(-8124.32775="",-8124.32775=0),"-",-8124.32775)</f>
        <v>-8124.32775</v>
      </c>
      <c r="C62" s="36">
        <f>IF(OR(-15367.31849="",-15367.31849=0),"-",-15367.31849)</f>
        <v>-15367.31849</v>
      </c>
      <c r="D62" s="70" t="s">
        <v>160</v>
      </c>
    </row>
    <row r="63" spans="1:4" ht="15.75">
      <c r="A63" s="22" t="s">
        <v>68</v>
      </c>
      <c r="B63" s="36">
        <f>IF(OR(-95943.35668="",-95943.35668=0),"-",-95943.35668)</f>
        <v>-95943.35668</v>
      </c>
      <c r="C63" s="36">
        <f>IF(OR(-138766.90951="",-138766.90951=0),"-",-138766.90951)</f>
        <v>-138766.90951</v>
      </c>
      <c r="D63" s="70">
        <f>IF(OR(-95943.35668="",-138766.90951="",-95943.35668=0,-138766.90951=0),"-",-138766.90951/-95943.35668*100)</f>
        <v>144.63420325476986</v>
      </c>
    </row>
    <row r="64" spans="1:4" ht="15.75">
      <c r="A64" s="22" t="s">
        <v>69</v>
      </c>
      <c r="B64" s="36">
        <f>IF(OR(-5702.1236="",-5702.1236=0),"-",-5702.1236)</f>
        <v>-5702.1236</v>
      </c>
      <c r="C64" s="36">
        <f>IF(OR(-7806.99029="",-7806.99029=0),"-",-7806.99029)</f>
        <v>-7806.99029</v>
      </c>
      <c r="D64" s="70">
        <f>IF(OR(-5702.1236="",-7806.99029="",-5702.1236=0,-7806.99029=0),"-",-7806.99029/-5702.1236*100)</f>
        <v>136.91373315723988</v>
      </c>
    </row>
    <row r="65" spans="1:4" ht="25.5">
      <c r="A65" s="22" t="s">
        <v>70</v>
      </c>
      <c r="B65" s="36">
        <f>IF(OR(-75868.76303="",-75868.76303=0),"-",-75868.76303)</f>
        <v>-75868.76303</v>
      </c>
      <c r="C65" s="36">
        <f>IF(OR(-103026.20906="",-103026.20906=0),"-",-103026.20906)</f>
        <v>-103026.20906</v>
      </c>
      <c r="D65" s="70">
        <f>IF(OR(-75868.76303="",-103026.20906="",-75868.76303=0,-103026.20906=0),"-",-103026.20906/-75868.76303*100)</f>
        <v>135.79529301045991</v>
      </c>
    </row>
    <row r="66" spans="1:4" ht="25.5">
      <c r="A66" s="22" t="s">
        <v>71</v>
      </c>
      <c r="B66" s="36">
        <f>IF(OR(-25845.41944="",-25845.41944=0),"-",-25845.41944)</f>
        <v>-25845.41944</v>
      </c>
      <c r="C66" s="36">
        <f>IF(OR(-33452.10253="",-33452.10253=0),"-",-33452.10253)</f>
        <v>-33452.10253</v>
      </c>
      <c r="D66" s="70">
        <f>IF(OR(-25845.41944="",-33452.10253="",-25845.41944=0,-33452.10253=0),"-",-33452.10253/-25845.41944*100)</f>
        <v>129.4314553790039</v>
      </c>
    </row>
    <row r="67" spans="1:4" ht="25.5">
      <c r="A67" s="22" t="s">
        <v>72</v>
      </c>
      <c r="B67" s="36">
        <f>IF(OR(-60439.85017="",-60439.85017=0),"-",-60439.85017)</f>
        <v>-60439.85017</v>
      </c>
      <c r="C67" s="36">
        <f>IF(OR(-91804.46101="",-91804.46101=0),"-",-91804.46101)</f>
        <v>-91804.46101</v>
      </c>
      <c r="D67" s="70">
        <f>IF(OR(-60439.85017="",-91804.46101="",-60439.85017=0,-91804.46101=0),"-",-91804.46101/-60439.85017*100)</f>
        <v>151.89392553386602</v>
      </c>
    </row>
    <row r="68" spans="1:4" ht="25.5">
      <c r="A68" s="22" t="s">
        <v>73</v>
      </c>
      <c r="B68" s="36">
        <f>IF(OR(11854.52806="",11854.52806=0),"-",11854.52806)</f>
        <v>11854.52806</v>
      </c>
      <c r="C68" s="36">
        <f>IF(OR(46164.829="",46164.829=0),"-",46164.829)</f>
        <v>46164.829</v>
      </c>
      <c r="D68" s="70" t="s">
        <v>280</v>
      </c>
    </row>
    <row r="69" spans="1:4" ht="15.75">
      <c r="A69" s="22" t="s">
        <v>74</v>
      </c>
      <c r="B69" s="36">
        <f>IF(OR(-138142.53469="",-138142.53469=0),"-",-138142.53469)</f>
        <v>-138142.53469</v>
      </c>
      <c r="C69" s="36">
        <f>IF(OR(-181605.53258="",-181605.53258=0),"-",-181605.53258)</f>
        <v>-181605.53258</v>
      </c>
      <c r="D69" s="70">
        <f>IF(OR(-138142.53469="",-181605.53258="",-138142.53469=0,-181605.53258=0),"-",-181605.53258/-138142.53469*100)</f>
        <v>131.4624297198061</v>
      </c>
    </row>
    <row r="70" spans="1:4" ht="15.75">
      <c r="A70" s="22" t="s">
        <v>75</v>
      </c>
      <c r="B70" s="36">
        <f>IF(OR(11255.90867="",11255.90867=0),"-",11255.90867)</f>
        <v>11255.90867</v>
      </c>
      <c r="C70" s="36">
        <f>IF(OR(-2015.25871="",-2015.25871=0),"-",-2015.25871)</f>
        <v>-2015.25871</v>
      </c>
      <c r="D70" s="70" t="s">
        <v>22</v>
      </c>
    </row>
    <row r="71" spans="1:4" ht="15.75">
      <c r="A71" s="53" t="s">
        <v>76</v>
      </c>
      <c r="B71" s="33">
        <f>IF(21082.33619="","-",21082.33619)</f>
        <v>21082.33619</v>
      </c>
      <c r="C71" s="33">
        <f>IF(43381.56872="","-",43381.56872)</f>
        <v>43381.56872</v>
      </c>
      <c r="D71" s="69" t="s">
        <v>144</v>
      </c>
    </row>
    <row r="72" spans="1:4" ht="25.5">
      <c r="A72" s="22" t="s">
        <v>238</v>
      </c>
      <c r="B72" s="36">
        <f>IF(OR(-16730.04561="",-16730.04561=0),"-",-16730.04561)</f>
        <v>-16730.04561</v>
      </c>
      <c r="C72" s="36">
        <f>IF(OR(-20990.46166="",-20990.46166=0),"-",-20990.46166)</f>
        <v>-20990.46166</v>
      </c>
      <c r="D72" s="70">
        <f>IF(OR(-16730.04561="",-20990.46166="",-16730.04561=0,-20990.46166=0),"-",-20990.46166/-16730.04561*100)</f>
        <v>125.46565711365088</v>
      </c>
    </row>
    <row r="73" spans="1:4" ht="15.75">
      <c r="A73" s="22" t="s">
        <v>77</v>
      </c>
      <c r="B73" s="36">
        <f>IF(OR(55319.4259="",55319.4259=0),"-",55319.4259)</f>
        <v>55319.4259</v>
      </c>
      <c r="C73" s="36">
        <f>IF(OR(71856.92844="",71856.92844=0),"-",71856.92844)</f>
        <v>71856.92844</v>
      </c>
      <c r="D73" s="70">
        <f>IF(OR(55319.4259="",71856.92844="",55319.4259=0,71856.92844=0),"-",71856.92844/55319.4259*100)</f>
        <v>129.89456645825385</v>
      </c>
    </row>
    <row r="74" spans="1:4" ht="15.75">
      <c r="A74" s="22" t="s">
        <v>78</v>
      </c>
      <c r="B74" s="36">
        <f>IF(OR(-2569.56985="",-2569.56985=0),"-",-2569.56985)</f>
        <v>-2569.56985</v>
      </c>
      <c r="C74" s="36">
        <f>IF(OR(6084.95676="",6084.95676=0),"-",6084.95676)</f>
        <v>6084.95676</v>
      </c>
      <c r="D74" s="70" t="s">
        <v>22</v>
      </c>
    </row>
    <row r="75" spans="1:4" ht="15.75">
      <c r="A75" s="22" t="s">
        <v>79</v>
      </c>
      <c r="B75" s="36">
        <f>IF(OR(93468.09281="",93468.09281=0),"-",93468.09281)</f>
        <v>93468.09281</v>
      </c>
      <c r="C75" s="36">
        <f>IF(OR(118197.83532="",118197.83532=0),"-",118197.83532)</f>
        <v>118197.83532</v>
      </c>
      <c r="D75" s="70">
        <f>IF(OR(93468.09281="",118197.83532="",93468.09281=0,118197.83532=0),"-",118197.83532/93468.09281*100)</f>
        <v>126.45795133561792</v>
      </c>
    </row>
    <row r="76" spans="1:4" ht="15.75">
      <c r="A76" s="22" t="s">
        <v>80</v>
      </c>
      <c r="B76" s="36">
        <f>IF(OR(-4679.76824="",-4679.76824=0),"-",-4679.76824)</f>
        <v>-4679.76824</v>
      </c>
      <c r="C76" s="36">
        <f>IF(OR(-2452.05263="",-2452.05263=0),"-",-2452.05263)</f>
        <v>-2452.05263</v>
      </c>
      <c r="D76" s="70">
        <f>IF(OR(-4679.76824="",-2452.05263="",-4679.76824=0,-2452.05263=0),"-",-2452.05263/-4679.76824*100)</f>
        <v>52.39688173104914</v>
      </c>
    </row>
    <row r="77" spans="1:4" ht="15.75">
      <c r="A77" s="22" t="s">
        <v>81</v>
      </c>
      <c r="B77" s="36">
        <f>IF(OR(-13832.85396="",-13832.85396=0),"-",-13832.85396)</f>
        <v>-13832.85396</v>
      </c>
      <c r="C77" s="36">
        <f>IF(OR(-21263.9223="",-21263.9223=0),"-",-21263.9223)</f>
        <v>-21263.9223</v>
      </c>
      <c r="D77" s="70">
        <f>IF(OR(-13832.85396="",-21263.9223="",-13832.85396=0,-21263.9223=0),"-",-21263.9223/-13832.85396*100)</f>
        <v>153.72042791377808</v>
      </c>
    </row>
    <row r="78" spans="1:4" ht="25.5">
      <c r="A78" s="22" t="s">
        <v>82</v>
      </c>
      <c r="B78" s="36">
        <f>IF(OR(-4829.36648="",-4829.36648=0),"-",-4829.36648)</f>
        <v>-4829.36648</v>
      </c>
      <c r="C78" s="36">
        <f>IF(OR(-5760.0275="",-5760.0275=0),"-",-5760.0275)</f>
        <v>-5760.0275</v>
      </c>
      <c r="D78" s="70">
        <f>IF(OR(-4829.36648="",-5760.0275="",-4829.36648=0,-5760.0275=0),"-",-5760.0275/-4829.36648*100)</f>
        <v>119.27087173554078</v>
      </c>
    </row>
    <row r="79" spans="1:4" s="1" customFormat="1" ht="15.75">
      <c r="A79" s="50" t="s">
        <v>83</v>
      </c>
      <c r="B79" s="43">
        <f>IF(OR(-85063.57838="",-85063.57838=0),"-",-85063.57838)</f>
        <v>-85063.57838</v>
      </c>
      <c r="C79" s="43">
        <f>IF(OR(-102291.68771="",-102291.68771=0),"-",-102291.68771)</f>
        <v>-102291.68771</v>
      </c>
      <c r="D79" s="71">
        <f>IF(OR(-85063.57838="",-102291.68771="",-85063.57838=0,-102291.68771=0),"-",-102291.68771/-85063.57838*100)</f>
        <v>120.25321489890513</v>
      </c>
    </row>
    <row r="80" spans="1:4" s="1" customFormat="1" ht="15.75">
      <c r="A80" s="45" t="s">
        <v>216</v>
      </c>
      <c r="B80" s="67">
        <f>IF(-296.62437="","-",-296.62437)</f>
        <v>-296.62437</v>
      </c>
      <c r="C80" s="67">
        <f>IF(444.06704="","-",444.06704)</f>
        <v>444.06704</v>
      </c>
      <c r="D80" s="73" t="s">
        <v>22</v>
      </c>
    </row>
    <row r="81" spans="1:4" s="1" customFormat="1" ht="15.75">
      <c r="A81" s="44" t="s">
        <v>20</v>
      </c>
      <c r="B81" s="40"/>
      <c r="C81" s="40"/>
      <c r="D81" s="40"/>
    </row>
    <row r="82" spans="2:4" ht="15.75">
      <c r="B82" s="13"/>
      <c r="C82" s="23"/>
      <c r="D82" s="14"/>
    </row>
    <row r="83" spans="2:4" ht="15.75">
      <c r="B83" s="13"/>
      <c r="C83" s="13"/>
      <c r="D83" s="14"/>
    </row>
    <row r="84" spans="2:4" ht="15.75">
      <c r="B84" s="13"/>
      <c r="C84" s="13"/>
      <c r="D84" s="14"/>
    </row>
    <row r="85" ht="15.75">
      <c r="C85" s="13"/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2018-10-08T10:21:50Z</cp:lastPrinted>
  <dcterms:created xsi:type="dcterms:W3CDTF">2016-09-01T07:59:47Z</dcterms:created>
  <dcterms:modified xsi:type="dcterms:W3CDTF">2018-10-08T13:27:58Z</dcterms:modified>
  <cp:category/>
  <cp:version/>
  <cp:contentType/>
  <cp:contentStatus/>
</cp:coreProperties>
</file>