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tabRatio="810" activeTab="0"/>
  </bookViews>
  <sheets>
    <sheet name="Export_Tari" sheetId="1" r:id="rId1"/>
    <sheet name="Import_Tari" sheetId="2" r:id="rId2"/>
    <sheet name="Balanta Comerciala_Tari" sheetId="3" r:id="rId3"/>
    <sheet name="Export_Moduri_Transport" sheetId="4" r:id="rId4"/>
    <sheet name="Import_Moduri_Transport" sheetId="5" r:id="rId5"/>
    <sheet name="Export_Grupe_Marfuri_CSCI" sheetId="6" r:id="rId6"/>
    <sheet name="Import_Grupe_Marfuri_CSCI" sheetId="7" r:id="rId7"/>
    <sheet name="Balanta_Comerciala_Gr_Marf_CSCI" sheetId="8" r:id="rId8"/>
  </sheets>
  <definedNames>
    <definedName name="_xlnm.Print_Titles" localSheetId="2">'Balanta Comerciala_Tari'!$3:$4</definedName>
    <definedName name="_xlnm.Print_Titles" localSheetId="7">'Balanta_Comerciala_Gr_Marf_CSCI'!$4:$5</definedName>
    <definedName name="_xlnm.Print_Titles" localSheetId="5">'Export_Grupe_Marfuri_CSCI'!$4:$6</definedName>
    <definedName name="_xlnm.Print_Titles" localSheetId="0">'Export_Tari'!$3:$5</definedName>
    <definedName name="_xlnm.Print_Titles" localSheetId="6">'Import_Grupe_Marfuri_CSCI'!$4:$6</definedName>
    <definedName name="_xlnm.Print_Titles" localSheetId="1">'Import_Tari'!$3:$5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<sst xmlns="http://schemas.openxmlformats.org/spreadsheetml/2006/main" count="839" uniqueCount="359">
  <si>
    <t>Structura, %</t>
  </si>
  <si>
    <t>Gradul de influenţă a ţărilor, grupelor de ţări  la creşterea (+),  scăderea (-) exporturilor, %</t>
  </si>
  <si>
    <t xml:space="preserve">      din care:</t>
  </si>
  <si>
    <t>Italia</t>
  </si>
  <si>
    <t>Germania</t>
  </si>
  <si>
    <t>Polonia</t>
  </si>
  <si>
    <t>Bulgaria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</si>
  <si>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</si>
  <si>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</si>
  <si>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</si>
  <si>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</si>
  <si>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</si>
  <si>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</si>
  <si>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</si>
  <si>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</si>
  <si>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</si>
  <si>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</si>
  <si>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</si>
  <si>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</si>
  <si>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¹ În preţuri curente</t>
  </si>
  <si>
    <t xml:space="preserve">  din care:</t>
  </si>
  <si>
    <t>x</t>
  </si>
  <si>
    <t>conform Clasificării Standard de Comerţ Internaţional</t>
  </si>
  <si>
    <t>Produse alimentare şi animale vii</t>
  </si>
  <si>
    <t>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</si>
  <si>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</si>
  <si>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</si>
  <si>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</si>
  <si>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</si>
  <si>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</si>
  <si>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</si>
  <si>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</si>
  <si>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</si>
  <si>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</si>
  <si>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Băuturi şi tutun</t>
  </si>
  <si>
    <t>Tutun brut şi prelucrat</t>
  </si>
  <si>
    <t>Materiale brute necomestibile, exclusiv combustibili</t>
  </si>
  <si>
    <t>Piei crude, piei tăbăcite şi blănuri brute</t>
  </si>
  <si>
    <t>Seminţe şi fructe oleaginoase</t>
  </si>
  <si>
    <t>Cauciuc brut (inclusiv cauciuc sintetic şi regenerat)</t>
  </si>
  <si>
    <t>Lemn şi plută</t>
  </si>
  <si>
    <t>Îngrăşăminte naturale şi minerale naturale (exclusiv cărbune, petrol şi pietre preţioase)</t>
  </si>
  <si>
    <t>Alte materii brute de origine animală sau vegetală</t>
  </si>
  <si>
    <t>Combustibili minerali, lubrifianţi şi materiale derivate</t>
  </si>
  <si>
    <t>Petrol, produse petroliere şi produse înrudite</t>
  </si>
  <si>
    <t>Gaz şi produse industriale obţinute din gaz</t>
  </si>
  <si>
    <t>Energie electrică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</si>
  <si>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</si>
  <si>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</si>
  <si>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</si>
  <si>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Produse chimice şi produse derivate nespecificate în altă parte</t>
  </si>
  <si>
    <t>Produse chimice organice</t>
  </si>
  <si>
    <t>Produse chimice anorganice</t>
  </si>
  <si>
    <t>Produse tanante şi colorante</t>
  </si>
  <si>
    <t>Produse medicinale şi farmaceutice</t>
  </si>
  <si>
    <t>Îngrăşăminte minerale sau chimice</t>
  </si>
  <si>
    <t>Materiale plastice sub forme primare</t>
  </si>
  <si>
    <t>Materiale plastice prelucrate</t>
  </si>
  <si>
    <t>Alte materiale şi produse chimice</t>
  </si>
  <si>
    <t>Piele, altă piele şi blană prelucrate</t>
  </si>
  <si>
    <t>Cauciuc prelucrat</t>
  </si>
  <si>
    <t>Articole din lemn (exclusiv mobilă)</t>
  </si>
  <si>
    <t>Articole din minerale nemetalice</t>
  </si>
  <si>
    <t>Metale neferoase</t>
  </si>
  <si>
    <t>Articole prelucrate din metal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</si>
  <si>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</si>
  <si>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</si>
  <si>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</si>
  <si>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</si>
  <si>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</si>
  <si>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</si>
  <si>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</si>
  <si>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Vehicule rutiere (inclusiv vehicule cu pernă de aer)</t>
  </si>
  <si>
    <t>Alte echipamente de transport</t>
  </si>
  <si>
    <t>Articole manufacturate diverse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</si>
  <si>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</si>
  <si>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</si>
  <si>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</si>
  <si>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</si>
  <si>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</si>
  <si>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Alte articole diverse</t>
  </si>
  <si>
    <t>Coreea de Sud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</si>
  <si>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</si>
  <si>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</si>
  <si>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</si>
  <si>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</si>
  <si>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</si>
  <si>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</si>
  <si>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</si>
  <si>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</si>
  <si>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</si>
  <si>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</si>
  <si>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</si>
  <si>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</si>
  <si>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</si>
  <si>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</si>
  <si>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</si>
  <si>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</si>
  <si>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</si>
  <si>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</si>
  <si>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</si>
  <si>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</si>
  <si>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</si>
  <si>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</si>
  <si>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</si>
  <si>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</si>
  <si>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</si>
  <si>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</si>
  <si>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</si>
  <si>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Macedonia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</si>
  <si>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</si>
  <si>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</si>
  <si>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</si>
  <si>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</si>
  <si>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</si>
  <si>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</si>
  <si>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</si>
  <si>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</si>
  <si>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</si>
  <si>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</si>
  <si>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</si>
  <si>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</si>
  <si>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</si>
  <si>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</si>
  <si>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Cote D'Ivoire</t>
  </si>
  <si>
    <t>Cambodjia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</si>
  <si>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</si>
  <si>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</si>
  <si>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</si>
  <si>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</si>
  <si>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</si>
  <si>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</si>
  <si>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</si>
  <si>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</si>
  <si>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</si>
  <si>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</si>
  <si>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</si>
  <si>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</si>
  <si>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</si>
  <si>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</si>
  <si>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</si>
  <si>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2017¹</t>
  </si>
  <si>
    <t>Mongolia</t>
  </si>
  <si>
    <t>Peru</t>
  </si>
  <si>
    <t>Kenya</t>
  </si>
  <si>
    <t>mii dolari        SUA</t>
  </si>
  <si>
    <t>EXPORT - total</t>
  </si>
  <si>
    <t>de 2,6 ori</t>
  </si>
  <si>
    <t>Oman</t>
  </si>
  <si>
    <t>Ghana</t>
  </si>
  <si>
    <t>Albania</t>
  </si>
  <si>
    <t>de 1,8 ori</t>
  </si>
  <si>
    <t>Gradul de influenţă a grupelor de mărfuri  la creşterea (+),  scăderea (-) exporturilor, %</t>
  </si>
  <si>
    <t>Panama</t>
  </si>
  <si>
    <t>Qatar</t>
  </si>
  <si>
    <t xml:space="preserve">. </t>
  </si>
  <si>
    <t>Ponderea, %</t>
  </si>
  <si>
    <t>Swaziland</t>
  </si>
  <si>
    <t>de 2,3 ori</t>
  </si>
  <si>
    <t>Andorra</t>
  </si>
  <si>
    <t>2018¹</t>
  </si>
  <si>
    <t>mii dolari         SUA</t>
  </si>
  <si>
    <t>Belize</t>
  </si>
  <si>
    <t>Angola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</si>
  <si>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</si>
  <si>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</si>
  <si>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</si>
  <si>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</si>
  <si>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</si>
  <si>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</si>
  <si>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</si>
  <si>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 xml:space="preserve"> 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</si>
  <si>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</si>
  <si>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</si>
  <si>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Etiopia</t>
  </si>
  <si>
    <t>Senegal</t>
  </si>
  <si>
    <t>Mali</t>
  </si>
  <si>
    <t>Siria</t>
  </si>
  <si>
    <t>Kosovo</t>
  </si>
  <si>
    <t>San Marino</t>
  </si>
  <si>
    <t>Madagascar</t>
  </si>
  <si>
    <t>mii dolari SUA</t>
  </si>
  <si>
    <t>Benin</t>
  </si>
  <si>
    <r>
      <rPr>
        <b/>
        <sz val="12"/>
        <rFont val="Times New Roman"/>
        <family val="1"/>
      </rPr>
      <t xml:space="preserve">Anexa 1.  </t>
    </r>
    <r>
      <rPr>
        <b/>
        <i/>
        <sz val="12"/>
        <rFont val="Times New Roman"/>
        <family val="1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</si>
  <si>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</rPr>
      <t xml:space="preserve">Anexa 2.  </t>
    </r>
    <r>
      <rPr>
        <b/>
        <i/>
        <sz val="12"/>
        <color indexed="8"/>
        <rFont val="Times New Roman"/>
        <family val="1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</si>
  <si>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</rPr>
      <t xml:space="preserve">Anexa 3.  </t>
    </r>
    <r>
      <rPr>
        <b/>
        <i/>
        <sz val="12"/>
        <color indexed="8"/>
        <rFont val="Times New Roman"/>
        <family val="1"/>
      </rPr>
      <t>Balanţa comercială structurată pe principalele ţări şi grupe de ţări</t>
    </r>
  </si>
  <si>
    <r>
      <rPr>
        <b/>
        <sz val="12"/>
        <color indexed="8"/>
        <rFont val="Times New Roman"/>
        <family val="1"/>
      </rPr>
      <t>Anexa 6.</t>
    </r>
    <r>
      <rPr>
        <b/>
        <i/>
        <sz val="12"/>
        <color indexed="8"/>
        <rFont val="Times New Roman"/>
        <family val="1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</si>
  <si>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</rPr>
      <t>Anexa 7.</t>
    </r>
    <r>
      <rPr>
        <b/>
        <i/>
        <sz val="12"/>
        <color indexed="8"/>
        <rFont val="Times New Roman"/>
        <family val="1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</si>
  <si>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</rPr>
      <t xml:space="preserve">Anexa 8.  </t>
    </r>
    <r>
      <rPr>
        <b/>
        <i/>
        <sz val="12"/>
        <color indexed="8"/>
        <rFont val="Times New Roman"/>
        <family val="1"/>
      </rPr>
      <t xml:space="preserve">Balanţa comercială structurată pe grupe de mărfuri, </t>
    </r>
  </si>
  <si>
    <t>Libia</t>
  </si>
  <si>
    <t>Palau</t>
  </si>
  <si>
    <t>Guatemala</t>
  </si>
  <si>
    <t>Cuba</t>
  </si>
  <si>
    <t xml:space="preserve">   din care:</t>
  </si>
  <si>
    <t>Bunuri neclasificate în altă secţiune din CSCI</t>
  </si>
  <si>
    <t>de 1,6 ori</t>
  </si>
  <si>
    <t>România</t>
  </si>
  <si>
    <t>Republica Cehă</t>
  </si>
  <si>
    <t>Arabia Saudită</t>
  </si>
  <si>
    <t>IMPORT - total</t>
  </si>
  <si>
    <t>Noua Zeelandă</t>
  </si>
  <si>
    <t xml:space="preserve">Celelalte ţări ale lumii </t>
  </si>
  <si>
    <t xml:space="preserve">Ţările CSI </t>
  </si>
  <si>
    <t>Pastă de hârtie şi deşeuri de hârtie</t>
  </si>
  <si>
    <t>Alte uleiuri şi grăsimi animale sau vegetale prelucrate; ceară de origine animală sau vegetală, amestecuri sau preparate necomestibile din uleiuri animale sau vegetale</t>
  </si>
  <si>
    <t>Construcţii prefabricate; alte instalaţii şi accesorii pentru instalaţii sanitare, de încălzit şi de iluminat</t>
  </si>
  <si>
    <t>BALANŢA COMERCIALĂ - total, mii dolari SUA</t>
  </si>
  <si>
    <t xml:space="preserve">Țările CSI </t>
  </si>
  <si>
    <t xml:space="preserve">Celelalte țări ale lumii </t>
  </si>
  <si>
    <t xml:space="preserve">IMPORT - total      </t>
  </si>
  <si>
    <t>Celelalte țări ale lumii</t>
  </si>
  <si>
    <t>Țările Uniunii Europene (UE-28)</t>
  </si>
  <si>
    <r>
      <rPr>
        <b/>
        <sz val="12"/>
        <rFont val="Times New Roman"/>
        <family val="1"/>
      </rPr>
      <t>Anexa 5.</t>
    </r>
    <r>
      <rPr>
        <b/>
        <i/>
        <sz val="12"/>
        <rFont val="Times New Roman"/>
        <family val="1"/>
      </rPr>
      <t xml:space="preserve">  Importurile structurate pe moduri de transport a mărfurilor și grupe de ţări   </t>
    </r>
  </si>
  <si>
    <r>
      <rPr>
        <b/>
        <sz val="12"/>
        <rFont val="Times New Roman"/>
        <family val="1"/>
      </rPr>
      <t xml:space="preserve">Anexa 4.  </t>
    </r>
    <r>
      <rPr>
        <b/>
        <i/>
        <sz val="12"/>
        <rFont val="Times New Roman"/>
        <family val="1"/>
      </rPr>
      <t xml:space="preserve">Exporturile structurate pe moduri de transport a mărfurilor și  grupe de ţări </t>
    </r>
  </si>
  <si>
    <t>Haiti</t>
  </si>
  <si>
    <t>Kuwait</t>
  </si>
  <si>
    <t>Republica Yemen</t>
  </si>
  <si>
    <t>Fibre textile (cu excepţia lânii în fuior şi a lânii pieptănate) şi deşeurile lor (neprelucrate în fire sau ţesături)</t>
  </si>
  <si>
    <t>Minereuri metalifere şi deşeuri de metale</t>
  </si>
  <si>
    <t>Hârtie, carton şi articole din pastă de celuloză, din hârtie sau din carton</t>
  </si>
  <si>
    <t>Fire, ţesături, articole textile necuprinse în altă parte şi produse conexe</t>
  </si>
  <si>
    <t>Fier şi oţel</t>
  </si>
  <si>
    <t>Mărfuri manufacturate, clasificate mai ales după materia primă</t>
  </si>
  <si>
    <t xml:space="preserve">EXPORT- total      </t>
  </si>
  <si>
    <t>Insulele Virgine Britanice</t>
  </si>
  <si>
    <t>Insulele Faroe</t>
  </si>
  <si>
    <t>Insulele Folkland</t>
  </si>
  <si>
    <t>Cărbune, cocs şi brichete</t>
  </si>
  <si>
    <t>Uleiuri esenţiale, rezinoide şi substanţe parfumate, preparate pentru toaletă, produse pentru înfrumuseţare</t>
  </si>
  <si>
    <t>Ţările Uniunii Europene (UE-28)</t>
  </si>
  <si>
    <t>Celelalte ţări ale lumii</t>
  </si>
  <si>
    <t>Afganistan</t>
  </si>
  <si>
    <t>de 3,2 ori</t>
  </si>
  <si>
    <t>Liberia</t>
  </si>
  <si>
    <t>Kârgâzstan</t>
  </si>
  <si>
    <t>Burkina Faso</t>
  </si>
  <si>
    <t>de 1,5 ori</t>
  </si>
  <si>
    <t>Bauturi (alcoolice şi nealcoolice)</t>
  </si>
  <si>
    <t>Marfuri manufacturate, clasificate mai ales după materia primă</t>
  </si>
  <si>
    <t>Maşini şi aparate electrice şi părti ale acestora (inclusiv echivalente neelectrice ale maşinilor şi aparatelor de uz casnic)</t>
  </si>
  <si>
    <t>Instrumente şi aparate, profesionale, stiinţifice şi de control</t>
  </si>
  <si>
    <t>Zimbabwe</t>
  </si>
  <si>
    <t>Mauritius</t>
  </si>
  <si>
    <t>Republica Dominicană</t>
  </si>
  <si>
    <t>Ianuarie-noiembrie 2018</t>
  </si>
  <si>
    <t>în % faţă de ianuarie-noiembrie 2017¹</t>
  </si>
  <si>
    <t>ianuarie-noiembrie</t>
  </si>
  <si>
    <t>Ianuarie-noiembrie</t>
  </si>
  <si>
    <t>Ianuarie-noiembrie 2018  în % faţă de ianuarie-noiembrie 2017¹</t>
  </si>
  <si>
    <t xml:space="preserve"> ianuarie-noiembrie</t>
  </si>
  <si>
    <t>Regatul Unit al Marii Britanii și Irlandei de Nord</t>
  </si>
  <si>
    <t>Franța</t>
  </si>
  <si>
    <t>Croația</t>
  </si>
  <si>
    <t>Federația Rusă</t>
  </si>
  <si>
    <t>Elveția</t>
  </si>
  <si>
    <t>Bosnia și Hertegovina</t>
  </si>
  <si>
    <t>Șri Lanka</t>
  </si>
  <si>
    <t>Produse alimentare și animale vii</t>
  </si>
  <si>
    <t>Carne și preparate din carne</t>
  </si>
  <si>
    <t>Produse lactate și ouă de păsări</t>
  </si>
  <si>
    <t>Pește, crustacee, moluște</t>
  </si>
  <si>
    <t>Cereale și preparate pe bază de cereale</t>
  </si>
  <si>
    <t>Legume și fructe</t>
  </si>
  <si>
    <t>Cafea, ceai, cacao, condimente și înlocuitori ai acestora</t>
  </si>
  <si>
    <t>Produse și preparate alimentare diverse</t>
  </si>
  <si>
    <t>Băuturi și tutun</t>
  </si>
  <si>
    <t>Tutun brut și prelucrat</t>
  </si>
  <si>
    <t>Piei crude, piei tăbăcite și blănuri brute</t>
  </si>
  <si>
    <t>Semințe și fructe oleaginoase</t>
  </si>
  <si>
    <t>Cauciuc brut (inclusiv cauciuc sintetic și regenerat)</t>
  </si>
  <si>
    <t>Lemn și plută</t>
  </si>
  <si>
    <t>Pastă de hârtie și deșeuri de hârtie</t>
  </si>
  <si>
    <t>Fibre textile (cu excepția lânii în fuior și a lânii pieptănate) și deșeurile lor (neprelucrate în fire sau țesături)</t>
  </si>
  <si>
    <t>Îngrășăminte naturale și minerale naturale (exclusiv cărbune, petrol și pietre prețioase)</t>
  </si>
  <si>
    <t>Minereuri metalifere și deșeuri de metale</t>
  </si>
  <si>
    <t>Combustibili minerali, lubrifianți și materiale derivate</t>
  </si>
  <si>
    <t>Cărbune, cocs și brichete</t>
  </si>
  <si>
    <t>Petrol, produse petroliere și produse înrudite</t>
  </si>
  <si>
    <t>Gaz și produse industriale obținute din gaz</t>
  </si>
  <si>
    <t>Uleiuri, grăsimi și ceruri de origine animală sau vegetală</t>
  </si>
  <si>
    <t>Uleiuri și grăsimi de origine animală</t>
  </si>
  <si>
    <t>Grăsimi și uleiuri vegetale fixate, brute, rafinate sau fracționate</t>
  </si>
  <si>
    <t>Alte uleiuri și grăsimi animale sau vegetale prelucrate; ceară de origine animală sau vegetală, amestecuri sau preparate necomestibile din uleiuri animale sau vegetale</t>
  </si>
  <si>
    <t>Produse chimice și produse derivate nespecificate în altă parte</t>
  </si>
  <si>
    <t>Produse tanante și colorante</t>
  </si>
  <si>
    <t>Produse medicinale și farmaceutice</t>
  </si>
  <si>
    <t>Uleiuri esențiale, rezinoide și substanțe parfumate, preparate pentru toaletă, produse pentru înfrumusețare</t>
  </si>
  <si>
    <t>Îngrășăminte minerale sau chimice</t>
  </si>
  <si>
    <t>Alte materiale și produse chimice</t>
  </si>
  <si>
    <t>Piele, altă piele și blană prelucrate</t>
  </si>
  <si>
    <t>Hârtie, carton și articole din pastă de celuloză, din hârtie sau din carton</t>
  </si>
  <si>
    <t>Fire, țesături, articole textile necuprinse în altă parte și produse conexe</t>
  </si>
  <si>
    <t>Fier și oțel</t>
  </si>
  <si>
    <t>Mașini și echipamente pentru transport</t>
  </si>
  <si>
    <t>Mașini  generatoare de putere și echipamentele lor</t>
  </si>
  <si>
    <t>Mașini și aparate specializate pentru industriile specifice</t>
  </si>
  <si>
    <t>Mașini și aparate pentru prelucrarea metalelor</t>
  </si>
  <si>
    <t>Mașini și aparate industriale cu aplicații generale; părți și piese detașate ale acestor mașini</t>
  </si>
  <si>
    <t>Mașini și aparate de birou sau pentru prelucrarea automată a datelor</t>
  </si>
  <si>
    <t>Aparate și echipamente de telecomunicații și pentru înregistrarea și reproducerea sunetului și imaginii</t>
  </si>
  <si>
    <t>Mașini și aparate electrice și părți ale acestora (inclusiv echivalente neelectrice ale mașinilor și aparatelor de uz casnic)</t>
  </si>
  <si>
    <t>Construcții prefabricate; alte instalații și accesorii pentru instalații sanitare, de încălzit și de iluminat</t>
  </si>
  <si>
    <t>Mobilă și părțile ei</t>
  </si>
  <si>
    <t>Articole de voiaj; sacoșe și similare</t>
  </si>
  <si>
    <t>Îmbrăcăminte și accesorii</t>
  </si>
  <si>
    <t>Încălțăminte</t>
  </si>
  <si>
    <t>Instrumente și aparate, profesionale, științifice și de control</t>
  </si>
  <si>
    <t>Aparate fotografice, echipamente și furnituri de optică; ceasuri și orologii</t>
  </si>
  <si>
    <t>Bunuri neclasificate în altă secțiune din CSCI</t>
  </si>
  <si>
    <t>Ingrășăminte minerale sau chimice</t>
  </si>
  <si>
    <t>Mărfuri manufacturate, clasificate mai ales după materia prima</t>
  </si>
  <si>
    <t>de 27,4 ori</t>
  </si>
  <si>
    <t>Trinidad Tobago</t>
  </si>
  <si>
    <t>Liechtenstein</t>
  </si>
  <si>
    <t>Somalia</t>
  </si>
  <si>
    <t>Nepal</t>
  </si>
  <si>
    <t>Bahrain</t>
  </si>
  <si>
    <t>de 1,7 ori</t>
  </si>
  <si>
    <t>de 2,5 ori</t>
  </si>
  <si>
    <t>de 3,4 ori</t>
  </si>
  <si>
    <t>de 6,4 ori</t>
  </si>
  <si>
    <t>de 2,2 ori</t>
  </si>
  <si>
    <t>de 3,6 ori</t>
  </si>
  <si>
    <t>de 2,4 ori</t>
  </si>
  <si>
    <t>de 2,0 ori</t>
  </si>
  <si>
    <t>de 7,3 ori</t>
  </si>
  <si>
    <t>de 37,7 ori</t>
  </si>
  <si>
    <t>de 2,1 ori</t>
  </si>
  <si>
    <t>de 11,6 ori</t>
  </si>
  <si>
    <t>de 5,8 ori</t>
  </si>
  <si>
    <t>de 9,8 ori</t>
  </si>
  <si>
    <t>de 5,6 ori</t>
  </si>
  <si>
    <t>de 116,7 ori</t>
  </si>
  <si>
    <t>de 26,1 ori</t>
  </si>
  <si>
    <t>de 11,1 ori</t>
  </si>
  <si>
    <t>de 7,4 ori</t>
  </si>
  <si>
    <t>de 1008,1 ori</t>
  </si>
  <si>
    <t>de 11,7 ori</t>
  </si>
  <si>
    <t>de 2447,7</t>
  </si>
  <si>
    <t>de 3,3 ori</t>
  </si>
  <si>
    <t>de 3,1 ori</t>
  </si>
  <si>
    <t>de 5,5 ori</t>
  </si>
  <si>
    <t>de 5,4 ori</t>
  </si>
  <si>
    <t>de 1,9 ori</t>
  </si>
  <si>
    <t>de 14,3 ori</t>
  </si>
  <si>
    <t>de 33,1 ori</t>
  </si>
  <si>
    <t>de 3,8 ori</t>
  </si>
  <si>
    <t>de 5,1 ori</t>
  </si>
  <si>
    <t>de 6,6 ori</t>
  </si>
  <si>
    <t>de 8,9 ori</t>
  </si>
  <si>
    <t>de 63,2 ori</t>
  </si>
  <si>
    <t>de 1032,9 ori</t>
  </si>
  <si>
    <t>de 7,7 ori</t>
  </si>
  <si>
    <t>de 11,0 ori</t>
  </si>
  <si>
    <t>de 20,9 ori</t>
  </si>
  <si>
    <t>de 44,9 ori</t>
  </si>
  <si>
    <t>de 13,2 ori</t>
  </si>
  <si>
    <t>de 4,1 ori</t>
  </si>
  <si>
    <t>de 3,0 ori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</si>
</sst>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0.000"/>
  </numFmts>
  <fonts count="70"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0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Calibri"/>
      <family val="2"/>
    </font>
    <font>
      <b/>
      <sz val="11"/>
      <color indexed="10"/>
      <name val="Times New Roman"/>
      <family val="1"/>
    </font>
    <font>
      <b/>
      <sz val="13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C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left" vertical="top" wrapText="1"/>
    </xf>
    <xf numFmtId="165" fontId="13" fillId="0" borderId="0" xfId="0" applyNumberFormat="1" applyFont="1" applyFill="1" applyAlignment="1" applyProtection="1">
      <alignment horizontal="right"/>
      <protection/>
    </xf>
    <xf numFmtId="165" fontId="11" fillId="0" borderId="0" xfId="0" applyNumberFormat="1" applyFont="1" applyFill="1" applyAlignment="1" applyProtection="1">
      <alignment horizontal="right"/>
      <protection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4" fontId="11" fillId="0" borderId="0" xfId="0" applyNumberFormat="1" applyFont="1" applyFill="1" applyAlignment="1" applyProtection="1">
      <alignment horizontal="right"/>
      <protection/>
    </xf>
    <xf numFmtId="164" fontId="11" fillId="0" borderId="0" xfId="0" applyNumberFormat="1" applyFont="1" applyFill="1" applyAlignment="1" applyProtection="1">
      <alignment horizontal="right"/>
      <protection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6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2" fontId="15" fillId="0" borderId="0" xfId="0" applyNumberFormat="1" applyFont="1" applyFill="1" applyAlignment="1" applyProtection="1">
      <alignment horizontal="right"/>
      <protection/>
    </xf>
    <xf numFmtId="38" fontId="11" fillId="0" borderId="0" xfId="0" applyNumberFormat="1" applyFont="1" applyFill="1" applyAlignment="1" applyProtection="1">
      <alignment horizontal="left" vertical="top" wrapText="1"/>
      <protection/>
    </xf>
    <xf numFmtId="4" fontId="13" fillId="0" borderId="0" xfId="0" applyNumberFormat="1" applyFont="1" applyFill="1" applyAlignment="1" applyProtection="1">
      <alignment horizontal="right"/>
      <protection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0" xfId="0" applyNumberFormat="1" applyFont="1" applyFill="1" applyAlignment="1" applyProtection="1">
      <alignment horizontal="left" vertical="top" wrapText="1"/>
      <protection/>
    </xf>
    <xf numFmtId="0" fontId="11" fillId="0" borderId="0" xfId="0" applyNumberFormat="1" applyFont="1" applyFill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horizontal="right"/>
      <protection/>
    </xf>
    <xf numFmtId="4" fontId="14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Alignment="1">
      <alignment/>
    </xf>
    <xf numFmtId="0" fontId="5" fillId="0" borderId="0" xfId="0" applyFont="1" applyAlignment="1">
      <alignment/>
    </xf>
    <xf numFmtId="4" fontId="11" fillId="0" borderId="0" xfId="0" applyNumberFormat="1" applyFont="1" applyFill="1" applyBorder="1" applyAlignment="1" applyProtection="1">
      <alignment horizontal="right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38" fontId="13" fillId="0" borderId="13" xfId="0" applyNumberFormat="1" applyFont="1" applyFill="1" applyBorder="1" applyAlignment="1" applyProtection="1">
      <alignment horizontal="left" vertical="top" wrapText="1"/>
      <protection/>
    </xf>
    <xf numFmtId="166" fontId="15" fillId="0" borderId="0" xfId="0" applyNumberFormat="1" applyFont="1" applyAlignment="1">
      <alignment/>
    </xf>
    <xf numFmtId="38" fontId="1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38" fontId="13" fillId="0" borderId="0" xfId="0" applyNumberFormat="1" applyFont="1" applyFill="1" applyAlignment="1" applyProtection="1">
      <alignment horizontal="left" vertical="top" wrapText="1"/>
      <protection/>
    </xf>
    <xf numFmtId="4" fontId="65" fillId="0" borderId="0" xfId="0" applyNumberFormat="1" applyFont="1" applyBorder="1" applyAlignment="1">
      <alignment horizontal="right" vertical="top" wrapText="1"/>
    </xf>
    <xf numFmtId="2" fontId="66" fillId="0" borderId="0" xfId="0" applyNumberFormat="1" applyFont="1" applyAlignment="1">
      <alignment horizontal="right" vertical="top" wrapText="1"/>
    </xf>
    <xf numFmtId="4" fontId="66" fillId="0" borderId="0" xfId="0" applyNumberFormat="1" applyFont="1" applyFill="1" applyAlignment="1" applyProtection="1">
      <alignment horizontal="right" vertical="top" wrapText="1"/>
      <protection/>
    </xf>
    <xf numFmtId="4" fontId="65" fillId="0" borderId="0" xfId="0" applyNumberFormat="1" applyFont="1" applyAlignment="1">
      <alignment horizontal="right" vertical="top" wrapText="1"/>
    </xf>
    <xf numFmtId="4" fontId="66" fillId="0" borderId="0" xfId="0" applyNumberFormat="1" applyFont="1" applyAlignment="1">
      <alignment horizontal="right" vertical="top" wrapText="1"/>
    </xf>
    <xf numFmtId="4" fontId="66" fillId="0" borderId="0" xfId="0" applyNumberFormat="1" applyFont="1" applyFill="1" applyAlignment="1" applyProtection="1">
      <alignment horizontal="right" vertical="top"/>
      <protection/>
    </xf>
    <xf numFmtId="4" fontId="11" fillId="0" borderId="0" xfId="0" applyNumberFormat="1" applyFont="1" applyAlignment="1">
      <alignment horizontal="left" vertical="top" wrapText="1"/>
    </xf>
    <xf numFmtId="4" fontId="66" fillId="0" borderId="0" xfId="0" applyNumberFormat="1" applyFont="1" applyBorder="1" applyAlignment="1">
      <alignment horizontal="right" vertical="top" wrapText="1"/>
    </xf>
    <xf numFmtId="4" fontId="14" fillId="0" borderId="14" xfId="0" applyNumberFormat="1" applyFont="1" applyFill="1" applyBorder="1" applyAlignment="1" applyProtection="1">
      <alignment horizontal="left" vertical="top" wrapText="1"/>
      <protection/>
    </xf>
    <xf numFmtId="4" fontId="4" fillId="0" borderId="0" xfId="0" applyNumberFormat="1" applyFont="1" applyAlignment="1">
      <alignment horizontal="left" vertical="top" wrapText="1"/>
    </xf>
    <xf numFmtId="4" fontId="66" fillId="0" borderId="0" xfId="0" applyNumberFormat="1" applyFont="1" applyAlignment="1">
      <alignment horizontal="right" vertical="top" wrapText="1" indent="1"/>
    </xf>
    <xf numFmtId="4" fontId="3" fillId="0" borderId="0" xfId="0" applyNumberFormat="1" applyFont="1" applyAlignment="1">
      <alignment horizontal="left" vertical="top" wrapText="1"/>
    </xf>
    <xf numFmtId="4" fontId="13" fillId="0" borderId="0" xfId="0" applyNumberFormat="1" applyFont="1" applyFill="1" applyAlignment="1" applyProtection="1">
      <alignment horizontal="left" vertical="top" wrapText="1"/>
      <protection/>
    </xf>
    <xf numFmtId="4" fontId="11" fillId="0" borderId="0" xfId="0" applyNumberFormat="1" applyFont="1" applyFill="1" applyBorder="1" applyAlignment="1" applyProtection="1">
      <alignment horizontal="left" vertical="top" wrapText="1"/>
      <protection/>
    </xf>
    <xf numFmtId="2" fontId="67" fillId="0" borderId="0" xfId="0" applyNumberFormat="1" applyFont="1" applyAlignment="1">
      <alignment horizontal="right" vertical="top" wrapText="1"/>
    </xf>
    <xf numFmtId="4" fontId="68" fillId="0" borderId="0" xfId="0" applyNumberFormat="1" applyFont="1" applyFill="1" applyBorder="1" applyAlignment="1" applyProtection="1">
      <alignment horizontal="right" vertical="top" wrapText="1"/>
      <protection/>
    </xf>
    <xf numFmtId="38" fontId="11" fillId="0" borderId="13" xfId="0" applyNumberFormat="1" applyFont="1" applyFill="1" applyBorder="1" applyAlignment="1" applyProtection="1">
      <alignment horizontal="left" vertical="top" wrapText="1"/>
      <protection/>
    </xf>
    <xf numFmtId="0" fontId="14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 vertical="top" wrapText="1"/>
    </xf>
    <xf numFmtId="38" fontId="23" fillId="0" borderId="0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NumberFormat="1" applyFont="1" applyFill="1" applyBorder="1" applyAlignment="1" applyProtection="1">
      <alignment horizontal="left" vertical="top" wrapText="1"/>
      <protection/>
    </xf>
    <xf numFmtId="4" fontId="69" fillId="0" borderId="0" xfId="0" applyNumberFormat="1" applyFont="1" applyFill="1" applyAlignment="1" applyProtection="1">
      <alignment horizontal="right" vertical="top"/>
      <protection/>
    </xf>
    <xf numFmtId="4" fontId="13" fillId="0" borderId="0" xfId="0" applyNumberFormat="1" applyFont="1" applyFill="1" applyAlignment="1" applyProtection="1">
      <alignment horizontal="right" vertical="top"/>
      <protection/>
    </xf>
    <xf numFmtId="4" fontId="11" fillId="0" borderId="0" xfId="0" applyNumberFormat="1" applyFont="1" applyFill="1" applyAlignment="1" applyProtection="1">
      <alignment horizontal="right" vertical="top"/>
      <protection/>
    </xf>
    <xf numFmtId="4" fontId="11" fillId="0" borderId="0" xfId="0" applyNumberFormat="1" applyFont="1" applyFill="1" applyAlignment="1" applyProtection="1">
      <alignment horizontal="left" vertical="top" wrapText="1"/>
      <protection/>
    </xf>
    <xf numFmtId="4" fontId="11" fillId="0" borderId="13" xfId="0" applyNumberFormat="1" applyFont="1" applyFill="1" applyBorder="1" applyAlignment="1" applyProtection="1">
      <alignment horizontal="left" vertical="top" wrapText="1"/>
      <protection/>
    </xf>
    <xf numFmtId="4" fontId="11" fillId="0" borderId="13" xfId="0" applyNumberFormat="1" applyFont="1" applyFill="1" applyBorder="1" applyAlignment="1" applyProtection="1">
      <alignment horizontal="right" vertical="top"/>
      <protection/>
    </xf>
    <xf numFmtId="4" fontId="14" fillId="0" borderId="0" xfId="0" applyNumberFormat="1" applyFont="1" applyFill="1" applyAlignment="1" applyProtection="1">
      <alignment horizontal="right" vertical="top"/>
      <protection/>
    </xf>
    <xf numFmtId="4" fontId="14" fillId="0" borderId="14" xfId="0" applyNumberFormat="1" applyFont="1" applyFill="1" applyBorder="1" applyAlignment="1" applyProtection="1">
      <alignment horizontal="right" vertical="top"/>
      <protection/>
    </xf>
    <xf numFmtId="38" fontId="11" fillId="0" borderId="0" xfId="0" applyNumberFormat="1" applyFont="1" applyFill="1" applyAlignment="1" applyProtection="1">
      <alignment horizontal="left" wrapText="1"/>
      <protection/>
    </xf>
    <xf numFmtId="4" fontId="13" fillId="0" borderId="13" xfId="0" applyNumberFormat="1" applyFont="1" applyFill="1" applyBorder="1" applyAlignment="1" applyProtection="1">
      <alignment horizontal="right" vertical="top"/>
      <protection/>
    </xf>
    <xf numFmtId="4" fontId="14" fillId="0" borderId="14" xfId="0" applyNumberFormat="1" applyFont="1" applyFill="1" applyBorder="1" applyAlignment="1" applyProtection="1">
      <alignment horizontal="right"/>
      <protection/>
    </xf>
    <xf numFmtId="4" fontId="11" fillId="0" borderId="0" xfId="0" applyNumberFormat="1" applyFont="1" applyFill="1" applyBorder="1" applyAlignment="1" applyProtection="1">
      <alignment horizontal="right"/>
      <protection/>
    </xf>
    <xf numFmtId="4" fontId="11" fillId="0" borderId="13" xfId="0" applyNumberFormat="1" applyFont="1" applyFill="1" applyBorder="1" applyAlignment="1" applyProtection="1">
      <alignment horizontal="right"/>
      <protection/>
    </xf>
    <xf numFmtId="4" fontId="14" fillId="0" borderId="0" xfId="0" applyNumberFormat="1" applyFont="1" applyFill="1" applyAlignment="1" applyProtection="1">
      <alignment horizontal="right" vertical="center"/>
      <protection/>
    </xf>
    <xf numFmtId="4" fontId="67" fillId="0" borderId="0" xfId="0" applyNumberFormat="1" applyFont="1" applyAlignment="1">
      <alignment horizontal="right" vertical="top" wrapText="1"/>
    </xf>
    <xf numFmtId="4" fontId="11" fillId="0" borderId="0" xfId="0" applyNumberFormat="1" applyFont="1" applyFill="1" applyAlignment="1" applyProtection="1">
      <alignment horizontal="right" vertical="center"/>
      <protection/>
    </xf>
    <xf numFmtId="4" fontId="11" fillId="0" borderId="0" xfId="0" applyNumberFormat="1" applyFont="1" applyAlignment="1">
      <alignment horizontal="right" vertical="top" wrapText="1"/>
    </xf>
    <xf numFmtId="4" fontId="13" fillId="0" borderId="0" xfId="0" applyNumberFormat="1" applyFont="1" applyFill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66" fillId="0" borderId="0" xfId="0" applyNumberFormat="1" applyFont="1" applyFill="1" applyBorder="1" applyAlignment="1" applyProtection="1">
      <alignment horizontal="right" vertical="top" wrapText="1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11" fillId="0" borderId="13" xfId="0" applyNumberFormat="1" applyFont="1" applyFill="1" applyBorder="1" applyAlignment="1" applyProtection="1">
      <alignment horizontal="right" vertical="center"/>
      <protection/>
    </xf>
    <xf numFmtId="4" fontId="11" fillId="0" borderId="13" xfId="0" applyNumberFormat="1" applyFont="1" applyBorder="1" applyAlignment="1">
      <alignment horizontal="right" vertical="top"/>
    </xf>
    <xf numFmtId="2" fontId="14" fillId="0" borderId="14" xfId="0" applyNumberFormat="1" applyFont="1" applyFill="1" applyBorder="1" applyAlignment="1" applyProtection="1">
      <alignment horizontal="right"/>
      <protection/>
    </xf>
    <xf numFmtId="2" fontId="11" fillId="0" borderId="0" xfId="0" applyNumberFormat="1" applyFont="1" applyAlignment="1">
      <alignment horizontal="right" vertical="top" wrapText="1"/>
    </xf>
    <xf numFmtId="2" fontId="11" fillId="0" borderId="0" xfId="0" applyNumberFormat="1" applyFont="1" applyBorder="1" applyAlignment="1">
      <alignment horizontal="right" vertical="top" wrapText="1"/>
    </xf>
    <xf numFmtId="2" fontId="13" fillId="0" borderId="0" xfId="0" applyNumberFormat="1" applyFont="1" applyFill="1" applyAlignment="1" applyProtection="1">
      <alignment horizontal="right"/>
      <protection/>
    </xf>
    <xf numFmtId="2" fontId="11" fillId="0" borderId="0" xfId="0" applyNumberFormat="1" applyFont="1" applyFill="1" applyAlignment="1" applyProtection="1">
      <alignment horizontal="right" vertical="top"/>
      <protection/>
    </xf>
    <xf numFmtId="2" fontId="11" fillId="0" borderId="13" xfId="0" applyNumberFormat="1" applyFont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3" xfId="64"/>
    <cellStyle name="Обычный 3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12"/>
  <sheetViews>
    <sheetView tabSelected="1" zoomScalePageLayoutView="0" workbookViewId="0" topLeftCell="A1">
      <selection activeCell="C6" sqref="C6"/>
    </sheetView>
  </sheetViews>
  <sheetFormatPr defaultColWidth="9.00390625" defaultRowHeight="15.75"/>
  <cols>
    <col min="1" max="1" width="26.50390625" style="11" customWidth="1"/>
    <col min="2" max="2" width="12.875" style="11" customWidth="1"/>
    <col min="3" max="3" width="12.50390625" style="11" customWidth="1"/>
    <col min="4" max="4" width="8.50390625" style="11" customWidth="1"/>
    <col min="5" max="5" width="8.25390625" style="11" customWidth="1"/>
    <col min="6" max="6" width="10.00390625" style="11" customWidth="1"/>
    <col min="7" max="7" width="10.125" style="11" customWidth="1"/>
  </cols>
  <sheetData>
    <row r="1" spans="1:7" ht="15.75">
      <c r="A1" s="96" t="s">
        <v>183</v>
      </c>
      <c r="B1" s="96"/>
      <c r="C1" s="96"/>
      <c r="D1" s="96"/>
      <c r="E1" s="96"/>
      <c r="F1" s="96"/>
      <c r="G1" s="96"/>
    </row>
    <row r="3" spans="1:7" ht="55.5" customHeight="1">
      <c r="A3" s="97"/>
      <c r="B3" s="100" t="s">
        <v>244</v>
      </c>
      <c r="C3" s="101"/>
      <c r="D3" s="100" t="s">
        <v>156</v>
      </c>
      <c r="E3" s="101"/>
      <c r="F3" s="102" t="s">
        <v>1</v>
      </c>
      <c r="G3" s="103"/>
    </row>
    <row r="4" spans="1:7" ht="21.75" customHeight="1">
      <c r="A4" s="98"/>
      <c r="B4" s="104" t="s">
        <v>145</v>
      </c>
      <c r="C4" s="106" t="s">
        <v>245</v>
      </c>
      <c r="D4" s="108" t="s">
        <v>246</v>
      </c>
      <c r="E4" s="108"/>
      <c r="F4" s="108" t="s">
        <v>246</v>
      </c>
      <c r="G4" s="100"/>
    </row>
    <row r="5" spans="1:7" ht="31.5" customHeight="1">
      <c r="A5" s="99"/>
      <c r="B5" s="105"/>
      <c r="C5" s="107"/>
      <c r="D5" s="28">
        <v>2017</v>
      </c>
      <c r="E5" s="28">
        <v>2018</v>
      </c>
      <c r="F5" s="28" t="s">
        <v>141</v>
      </c>
      <c r="G5" s="24" t="s">
        <v>160</v>
      </c>
    </row>
    <row r="6" spans="1:7" ht="15.75" customHeight="1">
      <c r="A6" s="62" t="s">
        <v>146</v>
      </c>
      <c r="B6" s="73">
        <v>2487873.87</v>
      </c>
      <c r="C6" s="73">
        <v>113.5</v>
      </c>
      <c r="D6" s="73">
        <v>100</v>
      </c>
      <c r="E6" s="73">
        <v>100</v>
      </c>
      <c r="F6" s="73">
        <v>18.41</v>
      </c>
      <c r="G6" s="73">
        <v>13.5</v>
      </c>
    </row>
    <row r="7" spans="1:7" ht="13.5" customHeight="1">
      <c r="A7" s="51" t="s">
        <v>2</v>
      </c>
      <c r="B7" s="45"/>
      <c r="C7" s="52"/>
      <c r="D7" s="49"/>
      <c r="E7" s="49"/>
      <c r="F7" s="49"/>
      <c r="G7" s="49"/>
    </row>
    <row r="8" spans="1:7" ht="15.75" customHeight="1">
      <c r="A8" s="57" t="s">
        <v>229</v>
      </c>
      <c r="B8" s="68">
        <f>IF(1726127.03211="","-",1726127.03211)</f>
        <v>1726127.03211</v>
      </c>
      <c r="C8" s="68">
        <f>IF(1439561.18568="","-",1726127.03211/1439561.18568*100)</f>
        <v>119.90647214447061</v>
      </c>
      <c r="D8" s="68">
        <f>IF(1439561.18568="","-",1439561.18568/2191887.38519*100)</f>
        <v>65.67678592462059</v>
      </c>
      <c r="E8" s="68">
        <f>IF(1726127.03211="","-",1726127.03211/2487873.87382*100)</f>
        <v>69.38161336368802</v>
      </c>
      <c r="F8" s="68">
        <f>IF(1851128.77138="","-",(1439561.18568-1199698.31424)/1851128.77138*100)</f>
        <v>12.957654548321049</v>
      </c>
      <c r="G8" s="68">
        <f>IF(2191887.38519="","-",(1726127.03211-1439561.18568)/2191887.38519*100)</f>
        <v>13.073931095468186</v>
      </c>
    </row>
    <row r="9" spans="1:7" s="18" customFormat="1" ht="15.75">
      <c r="A9" s="22" t="s">
        <v>196</v>
      </c>
      <c r="B9" s="69">
        <f>IF(729778.93542="","-",729778.93542)</f>
        <v>729778.93542</v>
      </c>
      <c r="C9" s="69">
        <f>IF(OR(545827.68577="",729778.93542=""),"-",729778.93542/545827.68577*100)</f>
        <v>133.70134099931184</v>
      </c>
      <c r="D9" s="69">
        <f>IF(545827.68577="","-",545827.68577/2191887.38519*100)</f>
        <v>24.90217743201647</v>
      </c>
      <c r="E9" s="69">
        <f>IF(729778.93542="","-",729778.93542/2487873.87382*100)</f>
        <v>29.333437804042</v>
      </c>
      <c r="F9" s="69">
        <f>IF(OR(1851128.77138="",463381.88993="",545827.68577=""),"-",(545827.68577-463381.88993)/1851128.77138*100)</f>
        <v>4.453812026190775</v>
      </c>
      <c r="G9" s="69">
        <f>IF(OR(2191887.38519="",729778.93542="",545827.68577=""),"-",(729778.93542-545827.68577)/2191887.38519*100)</f>
        <v>8.392367732617547</v>
      </c>
    </row>
    <row r="10" spans="1:7" s="18" customFormat="1" ht="15.75">
      <c r="A10" s="22" t="s">
        <v>3</v>
      </c>
      <c r="B10" s="69">
        <f>IF(289745.3827="","-",289745.3827)</f>
        <v>289745.3827</v>
      </c>
      <c r="C10" s="69">
        <f>IF(OR(215220.30516="",289745.3827=""),"-",289745.3827/215220.30516*100)</f>
        <v>134.62734498243384</v>
      </c>
      <c r="D10" s="69">
        <f>IF(215220.30516="","-",215220.30516/2191887.38519*100)</f>
        <v>9.818949030601953</v>
      </c>
      <c r="E10" s="69">
        <f>IF(289745.3827="","-",289745.3827/2487873.87382*100)</f>
        <v>11.64630513423541</v>
      </c>
      <c r="F10" s="69">
        <f>IF(OR(1851128.77138="",180786.11436="",215220.30516=""),"-",(215220.30516-180786.11436)/1851128.77138*100)</f>
        <v>1.860172632632661</v>
      </c>
      <c r="G10" s="69">
        <f>IF(OR(2191887.38519="",289745.3827="",215220.30516=""),"-",(289745.3827-215220.30516)/2191887.38519*100)</f>
        <v>3.40004135447588</v>
      </c>
    </row>
    <row r="11" spans="1:7" s="18" customFormat="1" ht="15.75">
      <c r="A11" s="22" t="s">
        <v>4</v>
      </c>
      <c r="B11" s="69">
        <f>IF(204951.36233="","-",204951.36233)</f>
        <v>204951.36233</v>
      </c>
      <c r="C11" s="69">
        <f>IF(OR(148684.13819="",204951.36233=""),"-",204951.36233/148684.13819*100)</f>
        <v>137.84346119563705</v>
      </c>
      <c r="D11" s="69">
        <f>IF(148684.13819="","-",148684.13819/2191887.38519*100)</f>
        <v>6.783384000228258</v>
      </c>
      <c r="E11" s="69">
        <f>IF(204951.36233="","-",204951.36233/2487873.87382*100)</f>
        <v>8.238012565134902</v>
      </c>
      <c r="F11" s="69">
        <f>IF(OR(1851128.77138="",115548.75493="",148684.13819=""),"-",(148684.13819-115548.75493)/1851128.77138*100)</f>
        <v>1.7900096293840146</v>
      </c>
      <c r="G11" s="69">
        <f>IF(OR(2191887.38519="",204951.36233="",148684.13819=""),"-",(204951.36233-148684.13819)/2191887.38519*100)</f>
        <v>2.567067291877433</v>
      </c>
    </row>
    <row r="12" spans="1:7" s="18" customFormat="1" ht="15.75">
      <c r="A12" s="22" t="s">
        <v>5</v>
      </c>
      <c r="B12" s="69">
        <f>IF(90507.30192="","-",90507.30192)</f>
        <v>90507.30192</v>
      </c>
      <c r="C12" s="69">
        <f>IF(OR(93606.26972="",90507.30192=""),"-",90507.30192/93606.26972*100)</f>
        <v>96.68935872642955</v>
      </c>
      <c r="D12" s="69">
        <f>IF(93606.26972="","-",93606.26972/2191887.38519*100)</f>
        <v>4.270578422617543</v>
      </c>
      <c r="E12" s="69">
        <f>IF(90507.30192="","-",90507.30192/2487873.87382*100)</f>
        <v>3.6379377134995505</v>
      </c>
      <c r="F12" s="69">
        <f>IF(OR(1851128.77138="",66536.5062="",93606.26972=""),"-",(93606.26972-66536.5062)/1851128.77138*100)</f>
        <v>1.462338219713355</v>
      </c>
      <c r="G12" s="69">
        <f>IF(OR(2191887.38519="",90507.30192="",93606.26972=""),"-",(90507.30192-93606.26972)/2191887.38519*100)</f>
        <v>-0.14138353187937025</v>
      </c>
    </row>
    <row r="13" spans="1:7" s="18" customFormat="1" ht="25.5">
      <c r="A13" s="22" t="s">
        <v>250</v>
      </c>
      <c r="B13" s="69">
        <f>IF(74503.27974="","-",74503.27974)</f>
        <v>74503.27974</v>
      </c>
      <c r="C13" s="69">
        <f>IF(OR(124278.69079="",74503.27974=""),"-",74503.27974/124278.69079*100)</f>
        <v>59.94855535281746</v>
      </c>
      <c r="D13" s="69">
        <f>IF(124278.69079="","-",124278.69079/2191887.38519*100)</f>
        <v>5.669939597705524</v>
      </c>
      <c r="E13" s="69">
        <f>IF(74503.27974="","-",74503.27974/2487873.87382*100)</f>
        <v>2.994656623231632</v>
      </c>
      <c r="F13" s="69">
        <f>IF(OR(1851128.77138="",108695.66428="",124278.69079=""),"-",(124278.69079-108695.66428)/1851128.77138*100)</f>
        <v>0.841812128411952</v>
      </c>
      <c r="G13" s="69">
        <f>IF(OR(2191887.38519="",74503.27974="",124278.69079=""),"-",(74503.27974-124278.69079)/2191887.38519*100)</f>
        <v>-2.270892719503712</v>
      </c>
    </row>
    <row r="14" spans="1:7" s="18" customFormat="1" ht="15.75">
      <c r="A14" s="22" t="s">
        <v>6</v>
      </c>
      <c r="B14" s="69">
        <f>IF(45518.4645="","-",45518.4645)</f>
        <v>45518.4645</v>
      </c>
      <c r="C14" s="69">
        <f>IF(OR(72018.45897="",45518.4645=""),"-",45518.4645/72018.45897*100)</f>
        <v>63.20388571346849</v>
      </c>
      <c r="D14" s="69">
        <f>IF(72018.45897="","-",72018.45897/2191887.38519*100)</f>
        <v>3.2856824422919524</v>
      </c>
      <c r="E14" s="69">
        <f>IF(45518.4645="","-",45518.4645/2487873.87382*100)</f>
        <v>1.8296130273721949</v>
      </c>
      <c r="F14" s="69">
        <f>IF(OR(1851128.77138="",67171.72186="",72018.45897=""),"-",(72018.45897-67171.72186)/1851128.77138*100)</f>
        <v>0.26182603743913513</v>
      </c>
      <c r="G14" s="69">
        <f>IF(OR(2191887.38519="",45518.4645="",72018.45897=""),"-",(45518.4645-72018.45897)/2191887.38519*100)</f>
        <v>-1.2090034665582465</v>
      </c>
    </row>
    <row r="15" spans="1:7" s="20" customFormat="1" ht="15.75">
      <c r="A15" s="22" t="s">
        <v>251</v>
      </c>
      <c r="B15" s="69">
        <f>IF(45249.61835="","-",45249.61835)</f>
        <v>45249.61835</v>
      </c>
      <c r="C15" s="69">
        <f>IF(OR(42382.16085="",45249.61835=""),"-",45249.61835/42382.16085*100)</f>
        <v>106.76571803440737</v>
      </c>
      <c r="D15" s="69">
        <f>IF(42382.16085="","-",42382.16085/2191887.38519*100)</f>
        <v>1.9335920785148448</v>
      </c>
      <c r="E15" s="69">
        <f>IF(45249.61835="","-",45249.61835/2487873.87382*100)</f>
        <v>1.8188067661372875</v>
      </c>
      <c r="F15" s="69">
        <f>IF(OR(1851128.77138="",38276.05057="",42382.16085=""),"-",(42382.16085-38276.05057)/1851128.77138*100)</f>
        <v>0.22181656638284175</v>
      </c>
      <c r="G15" s="69">
        <f>IF(OR(2191887.38519="",45249.61835="",42382.16085=""),"-",(45249.61835-42382.16085)/2191887.38519*100)</f>
        <v>0.13082138796795148</v>
      </c>
    </row>
    <row r="16" spans="1:7" s="18" customFormat="1" ht="15.75">
      <c r="A16" s="22" t="s">
        <v>197</v>
      </c>
      <c r="B16" s="69">
        <f>IF(39436.68697="","-",39436.68697)</f>
        <v>39436.68697</v>
      </c>
      <c r="C16" s="69">
        <f>IF(OR(26974.6822099999="",39436.68697=""),"-",39436.68697/26974.6822099999*100)</f>
        <v>146.19889369959012</v>
      </c>
      <c r="D16" s="69">
        <f>IF(26974.6822099999="","-",26974.6822099999/2191887.38519*100)</f>
        <v>1.2306600417640365</v>
      </c>
      <c r="E16" s="69">
        <f>IF(39436.68697="","-",39436.68697/2487873.87382*100)</f>
        <v>1.585156200440621</v>
      </c>
      <c r="F16" s="69">
        <f>IF(OR(1851128.77138="",26675.42153="",26974.6822099999=""),"-",(26974.6822099999-26675.42153)/1851128.77138*100)</f>
        <v>0.016166389104135908</v>
      </c>
      <c r="G16" s="69">
        <f>IF(OR(2191887.38519="",39436.68697="",26974.6822099999=""),"-",(39436.68697-26974.6822099999)/2191887.38519*100)</f>
        <v>0.5685513244978987</v>
      </c>
    </row>
    <row r="17" spans="1:7" s="18" customFormat="1" ht="15.75">
      <c r="A17" s="22" t="s">
        <v>7</v>
      </c>
      <c r="B17" s="69">
        <f>IF(37502.68415="","-",37502.68415)</f>
        <v>37502.68415</v>
      </c>
      <c r="C17" s="69">
        <f>IF(OR(38267.03721="",37502.68415=""),"-",37502.68415/38267.03721*100)</f>
        <v>98.00258103127916</v>
      </c>
      <c r="D17" s="69">
        <f>IF(38267.03721="","-",38267.03721/2191887.38519*100)</f>
        <v>1.745848690428176</v>
      </c>
      <c r="E17" s="69">
        <f>IF(37502.68415="","-",37502.68415/2487873.87382*100)</f>
        <v>1.5074190273326273</v>
      </c>
      <c r="F17" s="69">
        <f>IF(OR(1851128.77138="",24232.25007="",38267.03721=""),"-",(38267.03721-24232.25007)/1851128.77138*100)</f>
        <v>0.7581745450121871</v>
      </c>
      <c r="G17" s="69">
        <f>IF(OR(2191887.38519="",37502.68415="",38267.03721=""),"-",(37502.68415-38267.03721)/2191887.38519*100)</f>
        <v>-0.03487191290777673</v>
      </c>
    </row>
    <row r="18" spans="1:7" s="18" customFormat="1" ht="15.75">
      <c r="A18" s="22" t="s">
        <v>9</v>
      </c>
      <c r="B18" s="69">
        <f>IF(34430.58855="","-",34430.58855)</f>
        <v>34430.58855</v>
      </c>
      <c r="C18" s="69">
        <f>IF(OR(23067.6885699999="",34430.58855=""),"-",34430.58855/23067.6885699999*100)</f>
        <v>149.25894480289557</v>
      </c>
      <c r="D18" s="69">
        <f>IF(23067.6885699999="","-",23067.6885699999/2191887.38519*100)</f>
        <v>1.0524121232624513</v>
      </c>
      <c r="E18" s="69">
        <f>IF(34430.58855="","-",34430.58855/2487873.87382*100)</f>
        <v>1.3839362562674304</v>
      </c>
      <c r="F18" s="69">
        <f>IF(OR(1851128.77138="",24518.82211="",23067.6885699999=""),"-",(23067.6885699999-24518.82211)/1851128.77138*100)</f>
        <v>-0.07839182030098822</v>
      </c>
      <c r="G18" s="69">
        <f>IF(OR(2191887.38519="",34430.58855="",23067.6885699999=""),"-",(34430.58855-23067.6885699999)/2191887.38519*100)</f>
        <v>0.5184071068968321</v>
      </c>
    </row>
    <row r="19" spans="1:7" s="18" customFormat="1" ht="15.75">
      <c r="A19" s="22" t="s">
        <v>8</v>
      </c>
      <c r="B19" s="69">
        <f>IF(32202.34669="","-",32202.34669)</f>
        <v>32202.34669</v>
      </c>
      <c r="C19" s="69">
        <f>IF(OR(27862.99243="",32202.34669=""),"-",32202.34669/27862.99243*100)</f>
        <v>115.57389885850104</v>
      </c>
      <c r="D19" s="69">
        <f>IF(27862.99243="","-",27862.99243/2191887.38519*100)</f>
        <v>1.271187225140435</v>
      </c>
      <c r="E19" s="69">
        <f>IF(32202.34669="","-",32202.34669/2487873.87382*100)</f>
        <v>1.2943721556332348</v>
      </c>
      <c r="F19" s="69">
        <f>IF(OR(1851128.77138="",25501.63062="",27862.99243=""),"-",(27862.99243-25501.63062)/1851128.77138*100)</f>
        <v>0.12756334656500554</v>
      </c>
      <c r="G19" s="69">
        <f>IF(OR(2191887.38519="",32202.34669="",27862.99243=""),"-",(32202.34669-27862.99243)/2191887.38519*100)</f>
        <v>0.19797341274555721</v>
      </c>
    </row>
    <row r="20" spans="1:9" s="18" customFormat="1" ht="15.75">
      <c r="A20" s="22" t="s">
        <v>84</v>
      </c>
      <c r="B20" s="69">
        <f>IF(24964.86688="","-",24964.86688)</f>
        <v>24964.86688</v>
      </c>
      <c r="C20" s="69">
        <f>IF(OR(21943.36166="",24964.86688=""),"-",24964.86688/21943.36166*100)</f>
        <v>113.76956396570644</v>
      </c>
      <c r="D20" s="69">
        <f>IF(21943.36166="","-",21943.36166/2191887.38519*100)</f>
        <v>1.0011172019267713</v>
      </c>
      <c r="E20" s="69">
        <f>IF(24964.86688="","-",24964.86688/2487873.87382*100)</f>
        <v>1.003461917531525</v>
      </c>
      <c r="F20" s="69">
        <f>IF(OR(1851128.77138="",13607.16363="",21943.36166=""),"-",(21943.36166-13607.16363)/1851128.77138*100)</f>
        <v>0.4503305312350279</v>
      </c>
      <c r="G20" s="69">
        <f>IF(OR(2191887.38519="",24964.86688="",21943.36166=""),"-",(24964.86688-21943.36166)/2191887.38519*100)</f>
        <v>0.1378494734909973</v>
      </c>
      <c r="I20" s="18" t="s">
        <v>171</v>
      </c>
    </row>
    <row r="21" spans="1:7" s="18" customFormat="1" ht="15.75">
      <c r="A21" s="22" t="s">
        <v>88</v>
      </c>
      <c r="B21" s="69">
        <f>IF(16856.34919="","-",16856.34919)</f>
        <v>16856.34919</v>
      </c>
      <c r="C21" s="69" t="s">
        <v>151</v>
      </c>
      <c r="D21" s="69">
        <f>IF(9351.27048="","-",9351.27048/2191887.38519*100)</f>
        <v>0.426630973068418</v>
      </c>
      <c r="E21" s="69">
        <f>IF(16856.34919="","-",16856.34919/2487873.87382*100)</f>
        <v>0.6775403434788261</v>
      </c>
      <c r="F21" s="69">
        <f>IF(OR(1851128.77138="",6509.97521="",9351.27048=""),"-",(9351.27048-6509.97521)/1851128.77138*100)</f>
        <v>0.15348987676755946</v>
      </c>
      <c r="G21" s="69">
        <f>IF(OR(2191887.38519="",16856.34919="",9351.27048=""),"-",(16856.34919-9351.27048)/2191887.38519*100)</f>
        <v>0.3424025687044792</v>
      </c>
    </row>
    <row r="22" spans="1:7" s="11" customFormat="1" ht="15.75">
      <c r="A22" s="22" t="s">
        <v>85</v>
      </c>
      <c r="B22" s="69">
        <f>IF(13646.39075="","-",13646.39075)</f>
        <v>13646.39075</v>
      </c>
      <c r="C22" s="69">
        <f>IF(OR(11642.01511="",13646.39075=""),"-",13646.39075/11642.01511*100)</f>
        <v>117.21674144090679</v>
      </c>
      <c r="D22" s="69">
        <f>IF(11642.01511="","-",11642.01511/2191887.38519*100)</f>
        <v>0.5311411155820323</v>
      </c>
      <c r="E22" s="69">
        <f>IF(13646.39075="","-",13646.39075/2487873.87382*100)</f>
        <v>0.5485161805669305</v>
      </c>
      <c r="F22" s="69">
        <f>IF(OR(1851128.77138="",8922.5979="",11642.01511=""),"-",(11642.01511-8922.5979)/1851128.77138*100)</f>
        <v>0.1469058907216216</v>
      </c>
      <c r="G22" s="69">
        <f>IF(OR(2191887.38519="",13646.39075="",11642.01511=""),"-",(13646.39075-11642.01511)/2191887.38519*100)</f>
        <v>0.09144519255610636</v>
      </c>
    </row>
    <row r="23" spans="1:7" s="11" customFormat="1" ht="15.75">
      <c r="A23" s="22" t="s">
        <v>95</v>
      </c>
      <c r="B23" s="69">
        <f>IF(9350.49588="","-",9350.49588)</f>
        <v>9350.49588</v>
      </c>
      <c r="C23" s="69" t="s">
        <v>344</v>
      </c>
      <c r="D23" s="69">
        <f>IF(653.25696="","-",653.25696/2191887.38519*100)</f>
        <v>0.029803399773815187</v>
      </c>
      <c r="E23" s="69">
        <f>IF(9350.49588="","-",9350.49588/2487873.87382*100)</f>
        <v>0.3758428422917921</v>
      </c>
      <c r="F23" s="69">
        <f>IF(OR(1851128.77138="",547.45044="",653.25696=""),"-",(653.25696-547.45044)/1851128.77138*100)</f>
        <v>0.005715783884722524</v>
      </c>
      <c r="G23" s="69">
        <f>IF(OR(2191887.38519="",9350.49588="",653.25696=""),"-",(9350.49588-653.25696)/2191887.38519*100)</f>
        <v>0.3967922338877869</v>
      </c>
    </row>
    <row r="24" spans="1:7" s="18" customFormat="1" ht="15.75">
      <c r="A24" s="22" t="s">
        <v>91</v>
      </c>
      <c r="B24" s="69">
        <f>IF(8575.90671="","-",8575.90671)</f>
        <v>8575.90671</v>
      </c>
      <c r="C24" s="69">
        <f>IF(OR(7802.82751="",8575.90671=""),"-",8575.90671/7802.82751*100)</f>
        <v>109.90768024807971</v>
      </c>
      <c r="D24" s="69">
        <f>IF(7802.82751="","-",7802.82751/2191887.38519*100)</f>
        <v>0.35598669725103715</v>
      </c>
      <c r="E24" s="69">
        <f>IF(8575.90671="","-",8575.90671/2487873.87382*100)</f>
        <v>0.34470825873628974</v>
      </c>
      <c r="F24" s="69">
        <f>IF(OR(1851128.77138="",2806.96274="",7802.82751=""),"-",(7802.82751-2806.96274)/1851128.77138*100)</f>
        <v>0.2698820766680444</v>
      </c>
      <c r="G24" s="69">
        <f>IF(OR(2191887.38519="",8575.90671="",7802.82751=""),"-",(8575.90671-7802.82751)/2191887.38519*100)</f>
        <v>0.0352700236893323</v>
      </c>
    </row>
    <row r="25" spans="1:7" s="18" customFormat="1" ht="15.75">
      <c r="A25" s="22" t="s">
        <v>87</v>
      </c>
      <c r="B25" s="69">
        <f>IF(8144.17549="","-",8144.17549)</f>
        <v>8144.17549</v>
      </c>
      <c r="C25" s="69">
        <f>IF(OR(7947.24793="",8144.17549=""),"-",8144.17549/7947.24793*100)</f>
        <v>102.47793401860056</v>
      </c>
      <c r="D25" s="69">
        <f>IF(7947.24793="","-",7947.24793/2191887.38519*100)</f>
        <v>0.362575558566441</v>
      </c>
      <c r="E25" s="69">
        <f>IF(8144.17549="","-",8144.17549/2487873.87382*100)</f>
        <v>0.32735483802862747</v>
      </c>
      <c r="F25" s="69">
        <f>IF(OR(1851128.77138="",6806.62971="",7947.24793=""),"-",(7947.24793-6806.62971)/1851128.77138*100)</f>
        <v>0.061617443239763356</v>
      </c>
      <c r="G25" s="69">
        <f>IF(OR(2191887.38519="",8144.17549="",7947.24793=""),"-",(8144.17549-7947.24793)/2191887.38519*100)</f>
        <v>0.008984383108848854</v>
      </c>
    </row>
    <row r="26" spans="1:7" s="11" customFormat="1" ht="15.75">
      <c r="A26" s="22" t="s">
        <v>86</v>
      </c>
      <c r="B26" s="69">
        <f>IF(7792.71575="","-",7792.71575)</f>
        <v>7792.71575</v>
      </c>
      <c r="C26" s="69">
        <f>IF(OR(9248.79506="",7792.71575=""),"-",7792.71575/9248.79506*100)</f>
        <v>84.25655125285044</v>
      </c>
      <c r="D26" s="69">
        <f>IF(9248.79506="","-",9248.79506/2191887.38519*100)</f>
        <v>0.421955759337439</v>
      </c>
      <c r="E26" s="69">
        <f>IF(7792.71575="","-",7792.71575/2487873.87382*100)</f>
        <v>0.31322792654414966</v>
      </c>
      <c r="F26" s="69">
        <f>IF(OR(1851128.77138="",7692.74792="",9248.79506=""),"-",(9248.79506-7692.74792)/1851128.77138*100)</f>
        <v>0.08405936767110919</v>
      </c>
      <c r="G26" s="69">
        <f>IF(OR(2191887.38519="",7792.71575="",9248.79506=""),"-",(7792.71575-9248.79506)/2191887.38519*100)</f>
        <v>-0.06643038870693543</v>
      </c>
    </row>
    <row r="27" spans="1:7" s="11" customFormat="1" ht="15.75">
      <c r="A27" s="22" t="s">
        <v>89</v>
      </c>
      <c r="B27" s="69">
        <f>IF(5521.43988="","-",5521.43988)</f>
        <v>5521.43988</v>
      </c>
      <c r="C27" s="69">
        <f>IF(OR(5401.22322="",5521.43988=""),"-",5521.43988/5401.22322*100)</f>
        <v>102.22573026707829</v>
      </c>
      <c r="D27" s="69">
        <f>IF(5401.22322="","-",5401.22322/2191887.38519*100)</f>
        <v>0.2464188286540006</v>
      </c>
      <c r="E27" s="69">
        <f>IF(5521.43988="","-",5521.43988/2487873.87382*100)</f>
        <v>0.22193407544097557</v>
      </c>
      <c r="F27" s="69">
        <f>IF(OR(1851128.77138="",4716.32722="",5401.22322=""),"-",(5401.22322-4716.32722)/1851128.77138*100)</f>
        <v>0.03699883069125525</v>
      </c>
      <c r="G27" s="69">
        <f>IF(OR(2191887.38519="",5521.43988="",5401.22322=""),"-",(5521.43988-5401.22322)/2191887.38519*100)</f>
        <v>0.005484618453131856</v>
      </c>
    </row>
    <row r="28" spans="1:7" s="11" customFormat="1" ht="15.75">
      <c r="A28" s="22" t="s">
        <v>90</v>
      </c>
      <c r="B28" s="69">
        <f>IF(2862.43765="","-",2862.43765)</f>
        <v>2862.43765</v>
      </c>
      <c r="C28" s="69">
        <f>IF(OR(3246.0644="",2862.43765=""),"-",2862.43765/3246.0644*100)</f>
        <v>88.18178869156138</v>
      </c>
      <c r="D28" s="69">
        <f>IF(3246.0644="","-",3246.0644/2191887.38519*100)</f>
        <v>0.148094487971088</v>
      </c>
      <c r="E28" s="69">
        <f>IF(2862.43765="","-",2862.43765/2487873.87382*100)</f>
        <v>0.11505557737960714</v>
      </c>
      <c r="F28" s="69">
        <f>IF(OR(1851128.77138="",3208.35578="",3246.0644=""),"-",(3246.0644-3208.35578)/1851128.77138*100)</f>
        <v>0.002037060877828013</v>
      </c>
      <c r="G28" s="69">
        <f>IF(OR(2191887.38519="",2862.43765="",3246.0644=""),"-",(2862.43765-3246.0644)/2191887.38519*100)</f>
        <v>-0.017502119524573402</v>
      </c>
    </row>
    <row r="29" spans="1:7" s="11" customFormat="1" ht="15.75">
      <c r="A29" s="22" t="s">
        <v>92</v>
      </c>
      <c r="B29" s="69">
        <f>IF(1548.56455="","-",1548.56455)</f>
        <v>1548.56455</v>
      </c>
      <c r="C29" s="69">
        <f>IF(OR(1329.42909="",1548.56455=""),"-",1548.56455/1329.42909*100)</f>
        <v>116.48342597949319</v>
      </c>
      <c r="D29" s="69">
        <f>IF(1329.42909="","-",1329.42909/2191887.38519*100)</f>
        <v>0.06065225334944664</v>
      </c>
      <c r="E29" s="69">
        <f>IF(1548.56455="","-",1548.56455/2487873.87382*100)</f>
        <v>0.062244495844247134</v>
      </c>
      <c r="F29" s="69">
        <f>IF(OR(1851128.77138="",1094.20449="",1329.42909=""),"-",(1329.42909-1094.20449)/1851128.77138*100)</f>
        <v>0.012707090054283051</v>
      </c>
      <c r="G29" s="69">
        <f>IF(OR(2191887.38519="",1548.56455="",1329.42909=""),"-",(1548.56455-1329.42909)/2191887.38519*100)</f>
        <v>0.009997569285750718</v>
      </c>
    </row>
    <row r="30" spans="1:7" s="11" customFormat="1" ht="15.75">
      <c r="A30" s="22" t="s">
        <v>252</v>
      </c>
      <c r="B30" s="69">
        <f>IF(986.10014="","-",986.10014)</f>
        <v>986.10014</v>
      </c>
      <c r="C30" s="69">
        <f>IF(OR(788.18331="",986.10014=""),"-",986.10014/788.18331*100)</f>
        <v>125.11050760514073</v>
      </c>
      <c r="D30" s="69">
        <f>IF(788.18331="","-",788.18331/2191887.38519*100)</f>
        <v>0.035959115204802265</v>
      </c>
      <c r="E30" s="69">
        <f>IF(986.10014="","-",986.10014/2487873.87382*100)</f>
        <v>0.03963625931269156</v>
      </c>
      <c r="F30" s="69">
        <f>IF(OR(1851128.77138="",182.45162="",788.18331=""),"-",(788.18331-182.45162)/1851128.77138*100)</f>
        <v>0.03272228811766739</v>
      </c>
      <c r="G30" s="69">
        <f>IF(OR(2191887.38519="",986.10014="",788.18331=""),"-",(986.10014-788.18331)/2191887.38519*100)</f>
        <v>0.009029516358243192</v>
      </c>
    </row>
    <row r="31" spans="1:7" s="11" customFormat="1" ht="15.75">
      <c r="A31" s="22" t="s">
        <v>94</v>
      </c>
      <c r="B31" s="69">
        <f>IF(730.94718="","-",730.94718)</f>
        <v>730.94718</v>
      </c>
      <c r="C31" s="69">
        <f>IF(OR(999.48714="",730.94718=""),"-",730.94718/999.48714*100)</f>
        <v>73.13222459270462</v>
      </c>
      <c r="D31" s="69">
        <f>IF(999.48714="","-",999.48714/2191887.38519*100)</f>
        <v>0.045599383743584125</v>
      </c>
      <c r="E31" s="69">
        <f>IF(730.94718="","-",730.94718/2487873.87382*100)</f>
        <v>0.029380395352505105</v>
      </c>
      <c r="F31" s="69">
        <f>IF(OR(1851128.77138="",663.19357="",999.48714=""),"-",(999.48714-663.19357)/1851128.77138*100)</f>
        <v>0.018166946308618825</v>
      </c>
      <c r="G31" s="69">
        <f>IF(OR(2191887.38519="",730.94718="",999.48714=""),"-",(730.94718-999.48714)/2191887.38519*100)</f>
        <v>-0.012251540011336945</v>
      </c>
    </row>
    <row r="32" spans="1:7" s="11" customFormat="1" ht="15.75">
      <c r="A32" s="22" t="s">
        <v>99</v>
      </c>
      <c r="B32" s="69">
        <f>IF(592.0215="","-",592.0215)</f>
        <v>592.0215</v>
      </c>
      <c r="C32" s="69" t="s">
        <v>345</v>
      </c>
      <c r="D32" s="69">
        <f>IF(17.86193="","-",17.86193/2191887.38519*100)</f>
        <v>0.0008149109356935175</v>
      </c>
      <c r="E32" s="69">
        <f>IF(592.0215="","-",592.0215/2487873.87382*100)</f>
        <v>0.023796282690608506</v>
      </c>
      <c r="F32" s="69">
        <f>IF(OR(1851128.77138="",75.19141="",17.86193=""),"-",(17.86193-75.19141)/1851128.77138*100)</f>
        <v>-0.0030970011857825203</v>
      </c>
      <c r="G32" s="69">
        <f>IF(OR(2191887.38519="",592.0215="",17.86193=""),"-",(592.0215-17.86193)/2191887.38519*100)</f>
        <v>0.0261947568054565</v>
      </c>
    </row>
    <row r="33" spans="1:7" s="11" customFormat="1" ht="15.75">
      <c r="A33" s="22" t="s">
        <v>93</v>
      </c>
      <c r="B33" s="69">
        <f>IF(345.09568="","-",345.09568)</f>
        <v>345.09568</v>
      </c>
      <c r="C33" s="69" t="s">
        <v>346</v>
      </c>
      <c r="D33" s="69">
        <f>IF(89.89643="","-",89.89643/2191887.38519*100)</f>
        <v>0.004101325214397705</v>
      </c>
      <c r="E33" s="69">
        <f>IF(345.09568="","-",345.09568/2487873.87382*100)</f>
        <v>0.013871108323916907</v>
      </c>
      <c r="F33" s="69">
        <f>IF(OR(1851128.77138="",828.85451="",89.89643=""),"-",(89.89643-828.85451)/1851128.77138*100)</f>
        <v>-0.039919323356911215</v>
      </c>
      <c r="G33" s="69">
        <f>IF(OR(2191887.38519="",345.09568="",89.89643=""),"-",(345.09568-89.89643)/2191887.38519*100)</f>
        <v>0.01164289970936981</v>
      </c>
    </row>
    <row r="34" spans="1:7" s="11" customFormat="1" ht="15.75">
      <c r="A34" s="22" t="s">
        <v>97</v>
      </c>
      <c r="B34" s="69">
        <f>IF(327.70057="","-",327.70057)</f>
        <v>327.70057</v>
      </c>
      <c r="C34" s="69">
        <f>IF(OR(614.71141="",327.70057=""),"-",327.70057/614.71141*100)</f>
        <v>53.30966119532417</v>
      </c>
      <c r="D34" s="69">
        <f>IF(614.71141="","-",614.71141/2191887.38519*100)</f>
        <v>0.02804484455512822</v>
      </c>
      <c r="E34" s="69">
        <f>IF(327.70057="","-",327.70057/2487873.87382*100)</f>
        <v>0.013171912509247626</v>
      </c>
      <c r="F34" s="69">
        <f>IF(OR(1851128.77138="",220.56376="",614.71141=""),"-",(614.71141-220.56376)/1851128.77138*100)</f>
        <v>0.021292286959926965</v>
      </c>
      <c r="G34" s="69">
        <f>IF(OR(2191887.38519="",327.70057="",614.71141=""),"-",(327.70057-614.71141)/2191887.38519*100)</f>
        <v>-0.01309423294003405</v>
      </c>
    </row>
    <row r="35" spans="1:7" s="11" customFormat="1" ht="15.75">
      <c r="A35" s="22" t="s">
        <v>98</v>
      </c>
      <c r="B35" s="69">
        <f>IF(47.74534="","-",47.74534)</f>
        <v>47.74534</v>
      </c>
      <c r="C35" s="69">
        <f>IF(OR(36.15205="",47.74534=""),"-",47.74534/36.15205*100)</f>
        <v>132.0681399809969</v>
      </c>
      <c r="D35" s="69">
        <f>IF(36.15205="","-",36.15205/2191887.38519*100)</f>
        <v>0.0016493570903445946</v>
      </c>
      <c r="E35" s="69">
        <f>IF(47.74534="","-",47.74534/2487873.87382*100)</f>
        <v>0.0019191222072158158</v>
      </c>
      <c r="F35" s="69">
        <f>IF(OR(1851128.77138="",98.8475="",36.15205=""),"-",(36.15205-98.8475)/1851128.77138*100)</f>
        <v>-0.00338687675159741</v>
      </c>
      <c r="G35" s="69">
        <f>IF(OR(2191887.38519="",47.74534="",36.15205=""),"-",(47.74534-36.15205)/2191887.38519*100)</f>
        <v>0.0005289181405182024</v>
      </c>
    </row>
    <row r="36" spans="1:7" s="11" customFormat="1" ht="15.75">
      <c r="A36" s="22" t="s">
        <v>96</v>
      </c>
      <c r="B36" s="69">
        <f>IF(7.42765="","-",7.42765)</f>
        <v>7.42765</v>
      </c>
      <c r="C36" s="69">
        <f>IF(OR(259.29212="",7.42765=""),"-",7.42765/259.29212*100)</f>
        <v>2.864587631895639</v>
      </c>
      <c r="D36" s="69">
        <f>IF(259.29212="","-",259.29212/2191887.38519*100)</f>
        <v>0.011829627824493535</v>
      </c>
      <c r="E36" s="69">
        <f>IF(7.42765="","-",7.42765/2487873.87382*100)</f>
        <v>0.0002985541219818846</v>
      </c>
      <c r="F36" s="69">
        <f>IF(OR(1851128.77138="",391.97037="",259.29212=""),"-",(259.29212-391.97037)/1851128.77138*100)</f>
        <v>-0.0071674241171828116</v>
      </c>
      <c r="G36" s="69">
        <f>IF(OR(2191887.38519="",7.42765="",259.29212=""),"-",(7.42765-259.29212)/2191887.38519*100)</f>
        <v>-0.011490757768933808</v>
      </c>
    </row>
    <row r="37" spans="1:7" s="11" customFormat="1" ht="14.25" customHeight="1">
      <c r="A37" s="57" t="s">
        <v>202</v>
      </c>
      <c r="B37" s="68">
        <f>IF(386348.45412="","-",386348.45412)</f>
        <v>386348.45412</v>
      </c>
      <c r="C37" s="68">
        <f>IF(427707.04239="","-",386348.45412/427707.04239*100)</f>
        <v>90.33015962540836</v>
      </c>
      <c r="D37" s="68">
        <f>IF(427707.04239="","-",427707.04239/2191887.38519*100)</f>
        <v>19.513185087879183</v>
      </c>
      <c r="E37" s="68">
        <f>IF(386348.45412="","-",386348.45412/2487873.87382*100)</f>
        <v>15.529262081392503</v>
      </c>
      <c r="F37" s="68">
        <f>IF(1851128.77138="","-",(427707.04239-380491.96189)/1851128.77138*100)</f>
        <v>2.550610267096741</v>
      </c>
      <c r="G37" s="68">
        <f>IF(2191887.38519="","-",(386348.45412-427707.04239)/2191887.38519*100)</f>
        <v>-1.8868938499965366</v>
      </c>
    </row>
    <row r="38" spans="1:7" s="19" customFormat="1" ht="14.25" customHeight="1">
      <c r="A38" s="22" t="s">
        <v>253</v>
      </c>
      <c r="B38" s="69">
        <f>IF(204659.05939="","-",204659.05939)</f>
        <v>204659.05939</v>
      </c>
      <c r="C38" s="69">
        <f>IF(OR(238372.29971="",204659.05939=""),"-",204659.05939/238372.29971*100)</f>
        <v>85.85689681182966</v>
      </c>
      <c r="D38" s="69">
        <f>IF(238372.29971="","-",238372.29971/2191887.38519*100)</f>
        <v>10.875207427198049</v>
      </c>
      <c r="E38" s="69">
        <f>IF(204659.05939="","-",204659.05939/2487873.87382*100)</f>
        <v>8.226263459077881</v>
      </c>
      <c r="F38" s="69">
        <f>IF(OR(1851128.77138="",216082.24324="",238372.29971=""),"-",(238372.29971-216082.24324)/1851128.77138*100)</f>
        <v>1.2041332193968841</v>
      </c>
      <c r="G38" s="69">
        <f>IF(OR(2191887.38519="",204659.05939="",238372.29971=""),"-",(204659.05939-238372.29971)/2191887.38519*100)</f>
        <v>-1.5380918083561856</v>
      </c>
    </row>
    <row r="39" spans="1:7" s="19" customFormat="1" ht="14.25" customHeight="1">
      <c r="A39" s="22" t="s">
        <v>10</v>
      </c>
      <c r="B39" s="69">
        <f>IF(81246.22538="","-",81246.22538)</f>
        <v>81246.22538</v>
      </c>
      <c r="C39" s="69">
        <f>IF(OR(100245.77259="",81246.22538=""),"-",81246.22538/100245.77259*100)</f>
        <v>81.04703398545577</v>
      </c>
      <c r="D39" s="69">
        <f>IF(100245.77259="","-",100245.77259/2191887.38519*100)</f>
        <v>4.573491013604714</v>
      </c>
      <c r="E39" s="69">
        <f>IF(81246.22538="","-",81246.22538/2487873.87382*100)</f>
        <v>3.2656890783313983</v>
      </c>
      <c r="F39" s="69">
        <f>IF(OR(1851128.77138="",93601.24835="",100245.77259=""),"-",(100245.77259-93601.24835)/1851128.77138*100)</f>
        <v>0.35894446365536015</v>
      </c>
      <c r="G39" s="69">
        <f>IF(OR(2191887.38519="",81246.22538="",100245.77259=""),"-",(81246.22538-100245.77259)/2191887.38519*100)</f>
        <v>-0.8668121974867358</v>
      </c>
    </row>
    <row r="40" spans="1:7" s="19" customFormat="1" ht="14.25" customHeight="1">
      <c r="A40" s="22" t="s">
        <v>11</v>
      </c>
      <c r="B40" s="69">
        <f>IF(72927.39336="","-",72927.39336)</f>
        <v>72927.39336</v>
      </c>
      <c r="C40" s="69">
        <f>IF(OR(60114.18377="",72927.39336=""),"-",72927.39336/60114.18377*100)</f>
        <v>121.31478593974427</v>
      </c>
      <c r="D40" s="69">
        <f>IF(60114.18377="","-",60114.18377/2191887.38519*100)</f>
        <v>2.742576291837599</v>
      </c>
      <c r="E40" s="69">
        <f>IF(72927.39336="","-",72927.39336/2487873.87382*100)</f>
        <v>2.9313139274228486</v>
      </c>
      <c r="F40" s="69">
        <f>IF(OR(1851128.77138="",45861.24278="",60114.18377=""),"-",(60114.18377-45861.24278)/1851128.77138*100)</f>
        <v>0.7699594544886557</v>
      </c>
      <c r="G40" s="69">
        <f>IF(OR(2191887.38519="",72927.39336="",60114.18377=""),"-",(72927.39336-60114.18377)/2191887.38519*100)</f>
        <v>0.5845742658393606</v>
      </c>
    </row>
    <row r="41" spans="1:7" s="17" customFormat="1" ht="14.25" customHeight="1">
      <c r="A41" s="22" t="s">
        <v>12</v>
      </c>
      <c r="B41" s="69">
        <f>IF(15245.00206="","-",15245.00206)</f>
        <v>15245.00206</v>
      </c>
      <c r="C41" s="69">
        <f>IF(OR(15093.10463="",15245.00206=""),"-",15245.00206/15093.10463*100)</f>
        <v>101.00640281587978</v>
      </c>
      <c r="D41" s="69">
        <f>IF(15093.10463="","-",15093.10463/2191887.38519*100)</f>
        <v>0.6885894198753135</v>
      </c>
      <c r="E41" s="69">
        <f>IF(15245.00206="","-",15245.00206/2487873.87382*100)</f>
        <v>0.6127723041117072</v>
      </c>
      <c r="F41" s="69">
        <f>IF(OR(1851128.77138="",12380.74982="",15093.10463=""),"-",(15093.10463-12380.74982)/1851128.77138*100)</f>
        <v>0.14652437215256303</v>
      </c>
      <c r="G41" s="69">
        <f>IF(OR(2191887.38519="",15245.00206="",15093.10463=""),"-",(15245.00206-15093.10463)/2191887.38519*100)</f>
        <v>0.006929983311475373</v>
      </c>
    </row>
    <row r="42" spans="1:7" s="19" customFormat="1" ht="14.25" customHeight="1">
      <c r="A42" s="22" t="s">
        <v>13</v>
      </c>
      <c r="B42" s="69">
        <f>IF(4845.1286="","-",4845.1286)</f>
        <v>4845.1286</v>
      </c>
      <c r="C42" s="69">
        <f>IF(OR(5454.12441="",4845.1286=""),"-",4845.1286/5454.12441*100)</f>
        <v>88.83421491296711</v>
      </c>
      <c r="D42" s="69">
        <f>IF(5454.12441="","-",5454.12441/2191887.38519*100)</f>
        <v>0.24883232810463113</v>
      </c>
      <c r="E42" s="69">
        <f>IF(4845.1286="","-",4845.1286/2487873.87382*100)</f>
        <v>0.194749768104625</v>
      </c>
      <c r="F42" s="69">
        <f>IF(OR(1851128.77138="",3931.07836="",5454.12441=""),"-",(5454.12441-3931.07836)/1851128.77138*100)</f>
        <v>0.08227661271044819</v>
      </c>
      <c r="G42" s="69">
        <f>IF(OR(2191887.38519="",4845.1286="",5454.12441=""),"-",(4845.1286-5454.12441)/2191887.38519*100)</f>
        <v>-0.02778408298322364</v>
      </c>
    </row>
    <row r="43" spans="1:7" s="17" customFormat="1" ht="14.25" customHeight="1">
      <c r="A43" s="22" t="s">
        <v>14</v>
      </c>
      <c r="B43" s="69">
        <f>IF(3533.62766="","-",3533.62766)</f>
        <v>3533.62766</v>
      </c>
      <c r="C43" s="69">
        <f>IF(OR(5379.93027="",3533.62766=""),"-",3533.62766/5379.93027*100)</f>
        <v>65.68166282199788</v>
      </c>
      <c r="D43" s="69">
        <f>IF(5379.93027="","-",5379.93027/2191887.38519*100)</f>
        <v>0.24544738504134644</v>
      </c>
      <c r="E43" s="69">
        <f>IF(3533.62766="","-",3533.62766/2487873.87382*100)</f>
        <v>0.14203403545430943</v>
      </c>
      <c r="F43" s="69">
        <f>IF(OR(1851128.77138="",4751.25483="",5379.93027=""),"-",(5379.93027-4751.25483)/1851128.77138*100)</f>
        <v>0.033961734576213626</v>
      </c>
      <c r="G43" s="69">
        <f>IF(OR(2191887.38519="",3533.62766="",5379.93027=""),"-",(3533.62766-5379.93027)/2191887.38519*100)</f>
        <v>-0.08423346119307842</v>
      </c>
    </row>
    <row r="44" spans="1:7" s="17" customFormat="1" ht="14.25" customHeight="1">
      <c r="A44" s="22" t="s">
        <v>16</v>
      </c>
      <c r="B44" s="69">
        <f>IF(2033.43922="","-",2033.43922)</f>
        <v>2033.43922</v>
      </c>
      <c r="C44" s="69" t="s">
        <v>343</v>
      </c>
      <c r="D44" s="69">
        <f>IF(1050.30179="","-",1050.30179/2191887.38519*100)</f>
        <v>0.04791768943498694</v>
      </c>
      <c r="E44" s="69">
        <f>IF(2033.43922="","-",2033.43922/2487873.87382*100)</f>
        <v>0.08173401559451889</v>
      </c>
      <c r="F44" s="69">
        <f>IF(OR(1851128.77138="",873.93988="",1050.30179=""),"-",(1050.30179-873.93988)/1851128.77138*100)</f>
        <v>0.009527263188099211</v>
      </c>
      <c r="G44" s="69">
        <f>IF(OR(2191887.38519="",2033.43922="",1050.30179=""),"-",(2033.43922-1050.30179)/2191887.38519*100)</f>
        <v>0.04485346449104996</v>
      </c>
    </row>
    <row r="45" spans="1:7" s="17" customFormat="1" ht="14.25" customHeight="1">
      <c r="A45" s="22" t="s">
        <v>234</v>
      </c>
      <c r="B45" s="69">
        <f>IF(982.67023="","-",982.67023)</f>
        <v>982.67023</v>
      </c>
      <c r="C45" s="69">
        <f>IF(OR(1013.12207="",982.67023=""),"-",982.67023/1013.12207*100)</f>
        <v>96.99425756266467</v>
      </c>
      <c r="D45" s="69">
        <f>IF(1013.12207="","-",1013.12207/2191887.38519*100)</f>
        <v>0.04622144718042525</v>
      </c>
      <c r="E45" s="69">
        <f>IF(982.67023="","-",982.67023/2487873.87382*100)</f>
        <v>0.03949839420481398</v>
      </c>
      <c r="F45" s="69">
        <f>IF(OR(1851128.77138="",1615.16984="",1013.12207=""),"-",(1013.12207-1615.16984)/1851128.77138*100)</f>
        <v>-0.03252327873177503</v>
      </c>
      <c r="G45" s="69">
        <f>IF(OR(2191887.38519="",982.67023="",1013.12207=""),"-",(982.67023-1013.12207)/2191887.38519*100)</f>
        <v>-0.0013892976530525721</v>
      </c>
    </row>
    <row r="46" spans="1:7" s="17" customFormat="1" ht="14.25" customHeight="1">
      <c r="A46" s="22" t="s">
        <v>15</v>
      </c>
      <c r="B46" s="69">
        <f>IF(554.38407="","-",554.38407)</f>
        <v>554.38407</v>
      </c>
      <c r="C46" s="69">
        <f>IF(OR(611.64714="",554.38407=""),"-",554.38407/611.64714*100)</f>
        <v>90.63789131753316</v>
      </c>
      <c r="D46" s="69">
        <f>IF(611.64714="","-",611.64714/2191887.38519*100)</f>
        <v>0.0279050440334087</v>
      </c>
      <c r="E46" s="69">
        <f>IF(554.38407="","-",554.38407/2487873.87382*100)</f>
        <v>0.022283447558729023</v>
      </c>
      <c r="F46" s="69">
        <f>IF(OR(1851128.77138="",915.42194="",611.64714=""),"-",(611.64714-915.42194)/1851128.77138*100)</f>
        <v>-0.01641024680166029</v>
      </c>
      <c r="G46" s="69">
        <f>IF(OR(2191887.38519="",554.38407="",611.64714=""),"-",(554.38407-611.64714)/2191887.38519*100)</f>
        <v>-0.0026125005502979494</v>
      </c>
    </row>
    <row r="47" spans="1:7" s="17" customFormat="1" ht="14.25" customHeight="1">
      <c r="A47" s="22" t="s">
        <v>17</v>
      </c>
      <c r="B47" s="69">
        <f>IF(321.52415="","-",321.52415)</f>
        <v>321.52415</v>
      </c>
      <c r="C47" s="69">
        <f>IF(OR(372.55601="",321.52415=""),"-",321.52415/372.55601*100)</f>
        <v>86.30223144165625</v>
      </c>
      <c r="D47" s="69">
        <f>IF(372.55601="","-",372.55601/2191887.38519*100)</f>
        <v>0.016997041568707492</v>
      </c>
      <c r="E47" s="69">
        <f>IF(321.52415="","-",321.52415/2487873.87382*100)</f>
        <v>0.012923651531671762</v>
      </c>
      <c r="F47" s="69">
        <f>IF(OR(1851128.77138="",479.61285="",372.55601=""),"-",(372.55601-479.61285)/1851128.77138*100)</f>
        <v>-0.005783327538050745</v>
      </c>
      <c r="G47" s="69">
        <f>IF(OR(2191887.38519="",321.52415="",372.55601=""),"-",(321.52415-372.55601)/2191887.38519*100)</f>
        <v>-0.0023282154158470324</v>
      </c>
    </row>
    <row r="48" spans="1:7" s="11" customFormat="1" ht="15.75">
      <c r="A48" s="57" t="s">
        <v>230</v>
      </c>
      <c r="B48" s="68">
        <f>IF(375398.38759="","-",375398.38759)</f>
        <v>375398.38759</v>
      </c>
      <c r="C48" s="68">
        <f>IF(324619.15712="","-",375398.38759/324619.15712*100)</f>
        <v>115.6427091119668</v>
      </c>
      <c r="D48" s="68">
        <f>IF(324619.15712="","-",324619.15712/2191887.38519*100)</f>
        <v>14.81002898750024</v>
      </c>
      <c r="E48" s="68">
        <f>IF(375398.38759="","-",375398.38759/2487873.87382*100)</f>
        <v>15.089124554919477</v>
      </c>
      <c r="F48" s="68">
        <f>IF(1851128.77138="","-",(324619.15712-270938.49525)/1851128.77138*100)</f>
        <v>2.899888041283133</v>
      </c>
      <c r="G48" s="68">
        <f>IF(2191887.38519="","-",(375398.38759-324619.15712)/2191887.38519*100)</f>
        <v>2.316689753912622</v>
      </c>
    </row>
    <row r="49" spans="1:7" s="11" customFormat="1" ht="15.75">
      <c r="A49" s="70" t="s">
        <v>100</v>
      </c>
      <c r="B49" s="69">
        <f>IF(86521.53888="","-",86521.53888)</f>
        <v>86521.53888</v>
      </c>
      <c r="C49" s="69">
        <f>IF(OR(87857.64982="",86521.53888=""),"-",86521.53888/87857.64982*100)</f>
        <v>98.47923209562582</v>
      </c>
      <c r="D49" s="69">
        <f>IF(87857.64982="","-",87857.64982/2191887.38519*100)</f>
        <v>4.008310391018753</v>
      </c>
      <c r="E49" s="69">
        <f>IF(86521.53888="","-",86521.53888/2487873.87382*100)</f>
        <v>3.4777301128674463</v>
      </c>
      <c r="F49" s="69">
        <f>IF(OR(1851128.77138="",53553.49313="",87857.64982=""),"-",(87857.64982-53553.49313)/1851128.77138*100)</f>
        <v>1.8531480478490192</v>
      </c>
      <c r="G49" s="69">
        <f>IF(OR(2191887.38519="",86521.53888="",87857.64982=""),"-",(86521.53888-87857.64982)/2191887.38519*100)</f>
        <v>-0.0609570979343081</v>
      </c>
    </row>
    <row r="50" spans="1:7" s="18" customFormat="1" ht="15.75">
      <c r="A50" s="70" t="s">
        <v>254</v>
      </c>
      <c r="B50" s="69">
        <f>IF(53122.28353="","-",53122.28353)</f>
        <v>53122.28353</v>
      </c>
      <c r="C50" s="69">
        <f>IF(OR(36283.05115="",53122.28353=""),"-",53122.28353/36283.05115*100)</f>
        <v>146.41073957750658</v>
      </c>
      <c r="D50" s="69">
        <f>IF(36283.05115="","-",36283.05115/2191887.38519*100)</f>
        <v>1.6553337272322899</v>
      </c>
      <c r="E50" s="69">
        <f>IF(53122.28353="","-",53122.28353/2487873.87382*100)</f>
        <v>2.1352482571165683</v>
      </c>
      <c r="F50" s="69">
        <f>IF(OR(1851128.77138="",40481.39877="",36283.05115=""),"-",(36283.05115-40481.39877)/1851128.77138*100)</f>
        <v>-0.2267993283292858</v>
      </c>
      <c r="G50" s="69">
        <f>IF(OR(2191887.38519="",53122.28353="",36283.05115=""),"-",(53122.28353-36283.05115)/2191887.38519*100)</f>
        <v>0.7682526252844109</v>
      </c>
    </row>
    <row r="51" spans="1:7" s="20" customFormat="1" ht="15.75">
      <c r="A51" s="70" t="s">
        <v>18</v>
      </c>
      <c r="B51" s="69">
        <f>IF(19830.42206="","-",19830.42206)</f>
        <v>19830.42206</v>
      </c>
      <c r="C51" s="69">
        <f>IF(OR(17325.13033="",19830.42206=""),"-",19830.42206/17325.13033*100)</f>
        <v>114.46044954514349</v>
      </c>
      <c r="D51" s="69">
        <f>IF(17325.13033="","-",17325.13033/2191887.38519*100)</f>
        <v>0.7904206414554551</v>
      </c>
      <c r="E51" s="69">
        <f>IF(19830.42206="","-",19830.42206/2487873.87382*100)</f>
        <v>0.797083094471804</v>
      </c>
      <c r="F51" s="69">
        <f>IF(OR(1851128.77138="",14855.72675="",17325.13033=""),"-",(17325.13033-14855.72675)/1851128.77138*100)</f>
        <v>0.1333998810984436</v>
      </c>
      <c r="G51" s="69">
        <f>IF(OR(2191887.38519="",19830.42206="",17325.13033=""),"-",(19830.42206-17325.13033)/2191887.38519*100)</f>
        <v>0.11429837805206557</v>
      </c>
    </row>
    <row r="52" spans="1:7" s="18" customFormat="1" ht="15.75">
      <c r="A52" s="70" t="s">
        <v>102</v>
      </c>
      <c r="B52" s="69">
        <f>IF(19662.40849="","-",19662.40849)</f>
        <v>19662.40849</v>
      </c>
      <c r="C52" s="69">
        <f>IF(OR(16522.63062="",19662.40849=""),"-",19662.40849/16522.63062*100)</f>
        <v>119.00289331772281</v>
      </c>
      <c r="D52" s="69">
        <f>IF(16522.63062="","-",16522.63062/2191887.38519*100)</f>
        <v>0.7538083722566689</v>
      </c>
      <c r="E52" s="69">
        <f>IF(19662.40849="","-",19662.40849/2487873.87382*100)</f>
        <v>0.7903297951278134</v>
      </c>
      <c r="F52" s="69">
        <f>IF(OR(1851128.77138="",15469.17885="",16522.63062=""),"-",(16522.63062-15469.17885)/1851128.77138*100)</f>
        <v>0.0569086163149342</v>
      </c>
      <c r="G52" s="69">
        <f>IF(OR(2191887.38519="",19662.40849="",16522.63062=""),"-",(19662.40849-16522.63062)/2191887.38519*100)</f>
        <v>0.14324540079999756</v>
      </c>
    </row>
    <row r="53" spans="1:7" s="11" customFormat="1" ht="15.75">
      <c r="A53" s="70" t="s">
        <v>111</v>
      </c>
      <c r="B53" s="69">
        <f>IF(19325.27332="","-",19325.27332)</f>
        <v>19325.27332</v>
      </c>
      <c r="C53" s="69" t="s">
        <v>324</v>
      </c>
      <c r="D53" s="69">
        <f>IF(9620.72541="","-",9620.72541/2191887.38519*100)</f>
        <v>0.4389242565564583</v>
      </c>
      <c r="E53" s="69">
        <f>IF(19325.27332="","-",19325.27332/2487873.87382*100)</f>
        <v>0.7767786592142253</v>
      </c>
      <c r="F53" s="69">
        <f>IF(OR(1851128.77138="",2885.52911="",9620.72541=""),"-",(9620.72541-2885.52911)/1851128.77138*100)</f>
        <v>0.363842667464942</v>
      </c>
      <c r="G53" s="69">
        <f>IF(OR(2191887.38519="",19325.27332="",9620.72541=""),"-",(19325.27332-9620.72541)/2191887.38519*100)</f>
        <v>0.44274847218753344</v>
      </c>
    </row>
    <row r="54" spans="1:7" s="11" customFormat="1" ht="15.75">
      <c r="A54" s="70" t="s">
        <v>103</v>
      </c>
      <c r="B54" s="69">
        <f>IF(17344.07508="","-",17344.07508)</f>
        <v>17344.07508</v>
      </c>
      <c r="C54" s="69">
        <f>IF(OR(16981.27311="",17344.07508=""),"-",17344.07508/16981.27311*100)</f>
        <v>102.13648274572742</v>
      </c>
      <c r="D54" s="69">
        <f>IF(16981.27311="","-",16981.27311/2191887.38519*100)</f>
        <v>0.7747329185220895</v>
      </c>
      <c r="E54" s="69">
        <f>IF(17344.07508="","-",17344.07508/2487873.87382*100)</f>
        <v>0.697144467913443</v>
      </c>
      <c r="F54" s="69">
        <f>IF(OR(1851128.77138="",13230.02678="",16981.27311=""),"-",(16981.27311-13230.02678)/1851128.77138*100)</f>
        <v>0.20264642784431885</v>
      </c>
      <c r="G54" s="69">
        <f>IF(OR(2191887.38519="",17344.07508="",16981.27311=""),"-",(17344.07508-16981.27311)/2191887.38519*100)</f>
        <v>0.01655203512969493</v>
      </c>
    </row>
    <row r="55" spans="1:7" s="20" customFormat="1" ht="15.75">
      <c r="A55" s="70" t="s">
        <v>104</v>
      </c>
      <c r="B55" s="69">
        <f>IF(13855.40273="","-",13855.40273)</f>
        <v>13855.40273</v>
      </c>
      <c r="C55" s="69" t="s">
        <v>151</v>
      </c>
      <c r="D55" s="69">
        <f>IF(7827.7997="","-",7827.7997/2191887.38519*100)</f>
        <v>0.35712599802756106</v>
      </c>
      <c r="E55" s="69">
        <f>IF(13855.40273="","-",13855.40273/2487873.87382*100)</f>
        <v>0.5569174095118318</v>
      </c>
      <c r="F55" s="69">
        <f>IF(OR(1851128.77138="",10335.77767="",7827.7997=""),"-",(7827.7997-10335.77767)/1851128.77138*100)</f>
        <v>-0.13548371181818564</v>
      </c>
      <c r="G55" s="69">
        <f>IF(OR(2191887.38519="",13855.40273="",7827.7997=""),"-",(13855.40273-7827.7997)/2191887.38519*100)</f>
        <v>0.2749960180767913</v>
      </c>
    </row>
    <row r="56" spans="1:7" s="11" customFormat="1" ht="15.75">
      <c r="A56" s="70" t="s">
        <v>120</v>
      </c>
      <c r="B56" s="69">
        <f>IF(11603.64049="","-",11603.64049)</f>
        <v>11603.64049</v>
      </c>
      <c r="C56" s="69" t="s">
        <v>347</v>
      </c>
      <c r="D56" s="69">
        <f>IF(2273.59955="","-",2273.59955/2191887.38519*100)</f>
        <v>0.10372793626908514</v>
      </c>
      <c r="E56" s="69">
        <f>IF(11603.64049="","-",11603.64049/2487873.87382*100)</f>
        <v>0.4664079080577834</v>
      </c>
      <c r="F56" s="69">
        <f>IF(OR(1851128.77138="",785.23677="",2273.59955=""),"-",(2273.59955-785.23677)/1851128.77138*100)</f>
        <v>0.0804029845471225</v>
      </c>
      <c r="G56" s="69">
        <f>IF(OR(2191887.38519="",11603.64049="",2273.59955=""),"-",(11603.64049-2273.59955)/2191887.38519*100)</f>
        <v>0.42566242239636054</v>
      </c>
    </row>
    <row r="57" spans="1:7" s="18" customFormat="1" ht="15.75">
      <c r="A57" s="70" t="s">
        <v>101</v>
      </c>
      <c r="B57" s="69">
        <f>IF(10682.42535="","-",10682.42535)</f>
        <v>10682.42535</v>
      </c>
      <c r="C57" s="69">
        <f>IF(OR(12656.92043="",10682.42535=""),"-",10682.42535/12656.92043*100)</f>
        <v>84.39987759328909</v>
      </c>
      <c r="D57" s="69">
        <f>IF(12656.92043="","-",12656.92043/2191887.38519*100)</f>
        <v>0.5774439195881798</v>
      </c>
      <c r="E57" s="69">
        <f>IF(10682.42535="","-",10682.42535/2487873.87382*100)</f>
        <v>0.42937969896350475</v>
      </c>
      <c r="F57" s="69">
        <f>IF(OR(1851128.77138="",25419.29935="",12656.92043=""),"-",(12656.92043-25419.29935)/1851128.77138*100)</f>
        <v>-0.6894376618913314</v>
      </c>
      <c r="G57" s="69">
        <f>IF(OR(2191887.38519="",10682.42535="",12656.92043=""),"-",(10682.42535-12656.92043)/2191887.38519*100)</f>
        <v>-0.09008195828586536</v>
      </c>
    </row>
    <row r="58" spans="1:7" s="11" customFormat="1" ht="15.75">
      <c r="A58" s="70" t="s">
        <v>105</v>
      </c>
      <c r="B58" s="69">
        <f>IF(9237.38617="","-",9237.38617)</f>
        <v>9237.38617</v>
      </c>
      <c r="C58" s="69">
        <f>IF(OR(6928.83313="",9237.38617=""),"-",9237.38617/6928.83313*100)</f>
        <v>133.31806375888286</v>
      </c>
      <c r="D58" s="69">
        <f>IF(6928.83313="","-",6928.83313/2191887.38519*100)</f>
        <v>0.3161126423198693</v>
      </c>
      <c r="E58" s="69">
        <f>IF(9237.38617="","-",9237.38617/2487873.87382*100)</f>
        <v>0.3712964016064238</v>
      </c>
      <c r="F58" s="69">
        <f>IF(OR(1851128.77138="",9571.68485="",6928.83313=""),"-",(6928.83313-9571.68485)/1851128.77138*100)</f>
        <v>-0.14276973924562672</v>
      </c>
      <c r="G58" s="69">
        <f>IF(OR(2191887.38519="",9237.38617="",6928.83313=""),"-",(9237.38617-6928.83313)/2191887.38519*100)</f>
        <v>0.10532261171802343</v>
      </c>
    </row>
    <row r="59" spans="1:7" s="18" customFormat="1" ht="15.75">
      <c r="A59" s="70" t="s">
        <v>110</v>
      </c>
      <c r="B59" s="69">
        <f>IF(6615.59665="","-",6615.59665)</f>
        <v>6615.59665</v>
      </c>
      <c r="C59" s="69">
        <f>IF(OR(4463.42204="",6615.59665=""),"-",6615.59665/4463.42204*100)</f>
        <v>148.21803967253788</v>
      </c>
      <c r="D59" s="69">
        <f>IF(4463.42204="","-",4463.42204/2191887.38519*100)</f>
        <v>0.20363373000630214</v>
      </c>
      <c r="E59" s="69">
        <f>IF(6615.59665="","-",6615.59665/2487873.87382*100)</f>
        <v>0.26591366707196046</v>
      </c>
      <c r="F59" s="69">
        <f>IF(OR(1851128.77138="",3612.68914="",4463.42204=""),"-",(4463.42204-3612.68914)/1851128.77138*100)</f>
        <v>0.045957521332553576</v>
      </c>
      <c r="G59" s="69">
        <f>IF(OR(2191887.38519="",6615.59665="",4463.42204=""),"-",(6615.59665-4463.42204)/2191887.38519*100)</f>
        <v>0.09818819272110746</v>
      </c>
    </row>
    <row r="60" spans="1:7" s="11" customFormat="1" ht="15.75">
      <c r="A60" s="70" t="s">
        <v>198</v>
      </c>
      <c r="B60" s="69">
        <f>IF(6255.98838="","-",6255.98838)</f>
        <v>6255.98838</v>
      </c>
      <c r="C60" s="69" t="s">
        <v>317</v>
      </c>
      <c r="D60" s="69">
        <f>IF(3657.74098="","-",3657.74098/2191887.38519*100)</f>
        <v>0.1668763187704981</v>
      </c>
      <c r="E60" s="69">
        <f>IF(6255.98838="","-",6255.98838/2487873.87382*100)</f>
        <v>0.2514592257200827</v>
      </c>
      <c r="F60" s="69">
        <f>IF(OR(1851128.77138="",1468.38482="",3657.74098=""),"-",(3657.74098-1468.38482)/1851128.77138*100)</f>
        <v>0.11827141330464302</v>
      </c>
      <c r="G60" s="69">
        <f>IF(OR(2191887.38519="",6255.98838="",3657.74098=""),"-",(6255.98838-3657.74098)/2191887.38519*100)</f>
        <v>0.11853927430559008</v>
      </c>
    </row>
    <row r="61" spans="1:7" s="18" customFormat="1" ht="15.75">
      <c r="A61" s="70" t="s">
        <v>106</v>
      </c>
      <c r="B61" s="69">
        <f>IF(4491.74875="","-",4491.74875)</f>
        <v>4491.74875</v>
      </c>
      <c r="C61" s="69">
        <f>IF(OR(3480.22196="",4491.74875=""),"-",4491.74875/3480.22196*100)</f>
        <v>129.0650079686297</v>
      </c>
      <c r="D61" s="69">
        <f>IF(3480.22196="","-",3480.22196/2191887.38519*100)</f>
        <v>0.15877740724796968</v>
      </c>
      <c r="E61" s="69">
        <f>IF(4491.74875="","-",4491.74875/2487873.87382*100)</f>
        <v>0.1805456778684345</v>
      </c>
      <c r="F61" s="69">
        <f>IF(OR(1851128.77138="",7516.05798="",3480.22196=""),"-",(3480.22196-7516.05798)/1851128.77138*100)</f>
        <v>-0.21802027402941393</v>
      </c>
      <c r="G61" s="69">
        <f>IF(OR(2191887.38519="",4491.74875="",3480.22196=""),"-",(4491.74875-3480.22196)/2191887.38519*100)</f>
        <v>0.046148666069005986</v>
      </c>
    </row>
    <row r="62" spans="1:7" s="11" customFormat="1" ht="15.75">
      <c r="A62" s="70" t="s">
        <v>113</v>
      </c>
      <c r="B62" s="69">
        <f>IF(3994.68257="","-",3994.68257)</f>
        <v>3994.68257</v>
      </c>
      <c r="C62" s="69">
        <f>IF(OR(4426.88777="",3994.68257=""),"-",3994.68257/4426.88777*100)</f>
        <v>90.23681596518087</v>
      </c>
      <c r="D62" s="69">
        <f>IF(4426.88777="","-",4426.88777/2191887.38519*100)</f>
        <v>0.20196693497628132</v>
      </c>
      <c r="E62" s="69">
        <f>IF(3994.68257="","-",3994.68257/2487873.87382*100)</f>
        <v>0.16056612081650162</v>
      </c>
      <c r="F62" s="69">
        <f>IF(OR(1851128.77138="",2156.44688="",4426.88777=""),"-",(4426.88777-2156.44688)/1851128.77138*100)</f>
        <v>0.12265169906615447</v>
      </c>
      <c r="G62" s="69">
        <f>IF(OR(2191887.38519="",3994.68257="",4426.88777=""),"-",(3994.68257-4426.88777)/2191887.38519*100)</f>
        <v>-0.01971840355121782</v>
      </c>
    </row>
    <row r="63" spans="1:7" s="11" customFormat="1" ht="15.75">
      <c r="A63" s="70" t="s">
        <v>177</v>
      </c>
      <c r="B63" s="69">
        <f>IF(3435.28614="","-",3435.28614)</f>
        <v>3435.28614</v>
      </c>
      <c r="C63" s="69">
        <f>IF(OR(5011.79659="",3435.28614=""),"-",3435.28614/5011.79659*100)</f>
        <v>68.54400569357504</v>
      </c>
      <c r="D63" s="69">
        <f>IF(5011.79659="","-",5011.79659/2191887.38519*100)</f>
        <v>0.22865210246946888</v>
      </c>
      <c r="E63" s="69">
        <f>IF(3435.28614="","-",3435.28614/2487873.87382*100)</f>
        <v>0.13808120162961873</v>
      </c>
      <c r="F63" s="69">
        <f>IF(OR(1851128.77138="",5095.7416="",5011.79659=""),"-",(5011.79659-5095.7416)/1851128.77138*100)</f>
        <v>-0.0045348012141489275</v>
      </c>
      <c r="G63" s="69">
        <f>IF(OR(2191887.38519="",3435.28614="",5011.79659=""),"-",(3435.28614-5011.79659)/2191887.38519*100)</f>
        <v>-0.07192479233431708</v>
      </c>
    </row>
    <row r="64" spans="1:7" s="18" customFormat="1" ht="15.75">
      <c r="A64" s="70" t="s">
        <v>108</v>
      </c>
      <c r="B64" s="69">
        <f>IF(2709.28033="","-",2709.28033)</f>
        <v>2709.28033</v>
      </c>
      <c r="C64" s="69">
        <f>IF(OR(4131.96414="",2709.28033=""),"-",2709.28033/4131.96414*100)</f>
        <v>65.56882485432219</v>
      </c>
      <c r="D64" s="69">
        <f>IF(4131.96414="","-",4131.96414/2191887.38519*100)</f>
        <v>0.18851169854430402</v>
      </c>
      <c r="E64" s="69">
        <f>IF(2709.28033="","-",2709.28033/2487873.87382*100)</f>
        <v>0.1088994244647958</v>
      </c>
      <c r="F64" s="69">
        <f>IF(OR(1851128.77138="",4083.26658="",4131.96414=""),"-",(4131.96414-4083.26658)/1851128.77138*100)</f>
        <v>0.002630695430426294</v>
      </c>
      <c r="G64" s="69">
        <f>IF(OR(2191887.38519="",2709.28033="",4131.96414=""),"-",(2709.28033-4131.96414)/2191887.38519*100)</f>
        <v>-0.06490679309588149</v>
      </c>
    </row>
    <row r="65" spans="1:7" s="20" customFormat="1" ht="15.75">
      <c r="A65" s="70" t="s">
        <v>109</v>
      </c>
      <c r="B65" s="69">
        <f>IF(2201.12699="","-",2201.12699)</f>
        <v>2201.12699</v>
      </c>
      <c r="C65" s="69">
        <f>IF(OR(4059.86204="",2201.12699=""),"-",2201.12699/4059.86204*100)</f>
        <v>54.2167927952547</v>
      </c>
      <c r="D65" s="69">
        <f>IF(4059.86204="","-",4059.86204/2191887.38519*100)</f>
        <v>0.1852222001655472</v>
      </c>
      <c r="E65" s="69">
        <f>IF(2201.12699="","-",2201.12699/2487873.87382*100)</f>
        <v>0.08847421941934239</v>
      </c>
      <c r="F65" s="69">
        <f>IF(OR(1851128.77138="",4041.92452="",4059.86204=""),"-",(4059.86204-4041.92452)/1851128.77138*100)</f>
        <v>0.0009690044408216771</v>
      </c>
      <c r="G65" s="69">
        <f>IF(OR(2191887.38519="",2201.12699="",4059.86204=""),"-",(2201.12699-4059.86204)/2191887.38519*100)</f>
        <v>-0.08480066369098058</v>
      </c>
    </row>
    <row r="66" spans="1:7" s="11" customFormat="1" ht="15.75">
      <c r="A66" s="70" t="s">
        <v>116</v>
      </c>
      <c r="B66" s="69">
        <f>IF(1883.35473="","-",1883.35473)</f>
        <v>1883.35473</v>
      </c>
      <c r="C66" s="69" t="s">
        <v>348</v>
      </c>
      <c r="D66" s="69">
        <f>IF(283.66265="","-",283.66265/2191887.38519*100)</f>
        <v>0.012941479198093526</v>
      </c>
      <c r="E66" s="69">
        <f>IF(1883.35473="","-",1883.35473/2487873.87382*100)</f>
        <v>0.07570137496995406</v>
      </c>
      <c r="F66" s="69">
        <f>IF(OR(1851128.77138="",1429.88723="",283.66265=""),"-",(283.66265-1429.88723)/1851128.77138*100)</f>
        <v>-0.06192030493618766</v>
      </c>
      <c r="G66" s="69">
        <f>IF(OR(2191887.38519="",1883.35473="",283.66265=""),"-",(1883.35473-283.66265)/2191887.38519*100)</f>
        <v>0.07298240278258336</v>
      </c>
    </row>
    <row r="67" spans="1:7" s="11" customFormat="1" ht="15.75">
      <c r="A67" s="70" t="s">
        <v>132</v>
      </c>
      <c r="B67" s="69">
        <f>IF(1812.67369="","-",1812.67369)</f>
        <v>1812.67369</v>
      </c>
      <c r="C67" s="69" t="s">
        <v>321</v>
      </c>
      <c r="D67" s="69">
        <f>IF(806.09166="","-",806.09166/2191887.38519*100)</f>
        <v>0.03677614395002896</v>
      </c>
      <c r="E67" s="69">
        <f>IF(1812.67369="","-",1812.67369/2487873.87382*100)</f>
        <v>0.07286035313425013</v>
      </c>
      <c r="F67" s="69">
        <f>IF(OR(1851128.77138="",69.87158="",806.09166=""),"-",(806.09166-69.87158)/1851128.77138*100)</f>
        <v>0.039771413603557924</v>
      </c>
      <c r="G67" s="69">
        <f>IF(OR(2191887.38519="",1812.67369="",806.09166=""),"-",(1812.67369-806.09166)/2191887.38519*100)</f>
        <v>0.04592307236225762</v>
      </c>
    </row>
    <row r="68" spans="1:7" s="11" customFormat="1" ht="15.75">
      <c r="A68" s="70" t="s">
        <v>163</v>
      </c>
      <c r="B68" s="69">
        <f>IF(1747.10378="","-",1747.10378)</f>
        <v>1747.10378</v>
      </c>
      <c r="C68" s="69" t="str">
        <f>IF(OR(""="",1747.10378=""),"-",1747.10378/""*100)</f>
        <v>-</v>
      </c>
      <c r="D68" s="69" t="str">
        <f>IF(""="","-",""/2191887.38519*100)</f>
        <v>-</v>
      </c>
      <c r="E68" s="69">
        <f>IF(1747.10378="","-",1747.10378/2487873.87382*100)</f>
        <v>0.07022477298326277</v>
      </c>
      <c r="F68" s="69" t="str">
        <f>IF(OR(1851128.77138="",""="",""=""),"-",(""-"")/1851128.77138*100)</f>
        <v>-</v>
      </c>
      <c r="G68" s="69" t="str">
        <f>IF(OR(2191887.38519="",1747.10378="",""=""),"-",(1747.10378-"")/2191887.38519*100)</f>
        <v>-</v>
      </c>
    </row>
    <row r="69" spans="1:7" s="11" customFormat="1" ht="15.75">
      <c r="A69" s="70" t="s">
        <v>174</v>
      </c>
      <c r="B69" s="69">
        <f>IF(1739.08352="","-",1739.08352)</f>
        <v>1739.08352</v>
      </c>
      <c r="C69" s="69" t="str">
        <f>IF(OR(""="",1739.08352=""),"-",1739.08352/""*100)</f>
        <v>-</v>
      </c>
      <c r="D69" s="69" t="str">
        <f>IF(""="","-",""/2191887.38519*100)</f>
        <v>-</v>
      </c>
      <c r="E69" s="69">
        <f>IF(1739.08352="","-",1739.08352/2487873.87382*100)</f>
        <v>0.06990239892385415</v>
      </c>
      <c r="F69" s="69" t="str">
        <f>IF(OR(1851128.77138="",""="",""=""),"-",(""-"")/1851128.77138*100)</f>
        <v>-</v>
      </c>
      <c r="G69" s="69" t="str">
        <f>IF(OR(2191887.38519="",1739.08352="",""=""),"-",(1739.08352-"")/2191887.38519*100)</f>
        <v>-</v>
      </c>
    </row>
    <row r="70" spans="1:7" s="11" customFormat="1" ht="15.75">
      <c r="A70" s="70" t="s">
        <v>129</v>
      </c>
      <c r="B70" s="69">
        <f>IF(1657.07725="","-",1657.07725)</f>
        <v>1657.07725</v>
      </c>
      <c r="C70" s="69" t="s">
        <v>158</v>
      </c>
      <c r="D70" s="69">
        <f>IF(727.3691="","-",727.3691/2191887.38519*100)</f>
        <v>0.03318460176898866</v>
      </c>
      <c r="E70" s="69">
        <f>IF(1657.07725="","-",1657.07725/2487873.87382*100)</f>
        <v>0.06660615987962624</v>
      </c>
      <c r="F70" s="69">
        <f>IF(OR(1851128.77138="",371.43938="",727.3691=""),"-",(727.3691-371.43938)/1851128.77138*100)</f>
        <v>0.019227712599089338</v>
      </c>
      <c r="G70" s="69">
        <f>IF(OR(2191887.38519="",1657.07725="",727.3691=""),"-",(1657.07725-727.3691)/2191887.38519*100)</f>
        <v>0.04241587210555573</v>
      </c>
    </row>
    <row r="71" spans="1:7" s="11" customFormat="1" ht="15.75">
      <c r="A71" s="70" t="s">
        <v>83</v>
      </c>
      <c r="B71" s="69">
        <f>IF(1603.42341="","-",1603.42341)</f>
        <v>1603.42341</v>
      </c>
      <c r="C71" s="69" t="s">
        <v>349</v>
      </c>
      <c r="D71" s="69">
        <f>IF(180.53281="","-",180.53281/2191887.38519*100)</f>
        <v>0.008236409006220493</v>
      </c>
      <c r="E71" s="69">
        <f>IF(1603.42341="","-",1603.42341/2487873.87382*100)</f>
        <v>0.06444954572950387</v>
      </c>
      <c r="F71" s="69">
        <f>IF(OR(1851128.77138="",56.39275="",180.53281=""),"-",(180.53281-56.39275)/1851128.77138*100)</f>
        <v>0.006706181758898096</v>
      </c>
      <c r="G71" s="69">
        <f>IF(OR(2191887.38519="",1603.42341="",180.53281=""),"-",(1603.42341-180.53281)/2191887.38519*100)</f>
        <v>0.0649162274309389</v>
      </c>
    </row>
    <row r="72" spans="1:7" s="11" customFormat="1" ht="15.75">
      <c r="A72" s="70" t="s">
        <v>115</v>
      </c>
      <c r="B72" s="69">
        <f>IF(1602.46149="","-",1602.46149)</f>
        <v>1602.46149</v>
      </c>
      <c r="C72" s="69">
        <f>IF(OR(1282.80194="",1602.46149=""),"-",1602.46149/1282.80194*100)</f>
        <v>124.91885458171352</v>
      </c>
      <c r="D72" s="69">
        <f>IF(1282.80194="","-",1282.80194/2191887.38519*100)</f>
        <v>0.0585249930570134</v>
      </c>
      <c r="E72" s="69">
        <f>IF(1602.46149="","-",1602.46149/2487873.87382*100)</f>
        <v>0.06441088139004025</v>
      </c>
      <c r="F72" s="69">
        <f>IF(OR(1851128.77138="",1547.83226="",1282.80194=""),"-",(1282.80194-1547.83226)/1851128.77138*100)</f>
        <v>-0.014317227634165186</v>
      </c>
      <c r="G72" s="69">
        <f>IF(OR(2191887.38519="",1602.46149="",1282.80194=""),"-",(1602.46149-1282.80194)/2191887.38519*100)</f>
        <v>0.0145837579138351</v>
      </c>
    </row>
    <row r="73" spans="1:7" s="11" customFormat="1" ht="15.75">
      <c r="A73" s="70" t="s">
        <v>121</v>
      </c>
      <c r="B73" s="69">
        <f>IF(1482.82934="","-",1482.82934)</f>
        <v>1482.82934</v>
      </c>
      <c r="C73" s="69">
        <f>IF(OR(1005.20356="",1482.82934=""),"-",1482.82934/1005.20356*100)</f>
        <v>147.51532913393183</v>
      </c>
      <c r="D73" s="69">
        <f>IF(1005.20356="","-",1005.20356/2191887.38519*100)</f>
        <v>0.04586018272616984</v>
      </c>
      <c r="E73" s="69">
        <f>IF(1482.82934="","-",1482.82934/2487873.87382*100)</f>
        <v>0.059602271465763385</v>
      </c>
      <c r="F73" s="69">
        <f>IF(OR(1851128.77138="",727.85554="",1005.20356=""),"-",(1005.20356-727.85554)/1851128.77138*100)</f>
        <v>0.014982643254647248</v>
      </c>
      <c r="G73" s="69">
        <f>IF(OR(2191887.38519="",1482.82934="",1005.20356=""),"-",(1482.82934-1005.20356)/2191887.38519*100)</f>
        <v>0.02179061676376215</v>
      </c>
    </row>
    <row r="74" spans="1:7" s="11" customFormat="1" ht="15.75">
      <c r="A74" s="70" t="s">
        <v>255</v>
      </c>
      <c r="B74" s="69">
        <f>IF(1361.54403="","-",1361.54403)</f>
        <v>1361.54403</v>
      </c>
      <c r="C74" s="69">
        <f>IF(OR(1600.75064="",1361.54403=""),"-",1361.54403/1600.75064*100)</f>
        <v>85.05659757224898</v>
      </c>
      <c r="D74" s="69">
        <f>IF(1600.75064="","-",1600.75064/2191887.38519*100)</f>
        <v>0.0730306972345316</v>
      </c>
      <c r="E74" s="69">
        <f>IF(1361.54403="","-",1361.54403/2487873.87382*100)</f>
        <v>0.054727212835328366</v>
      </c>
      <c r="F74" s="69">
        <f>IF(OR(1851128.77138="",1273.37922="",1600.75064=""),"-",(1600.75064-1273.37922)/1851128.77138*100)</f>
        <v>0.01768496201136496</v>
      </c>
      <c r="G74" s="69">
        <f>IF(OR(2191887.38519="",1361.54403="",1600.75064=""),"-",(1361.54403-1600.75064)/2191887.38519*100)</f>
        <v>-0.010913270983548488</v>
      </c>
    </row>
    <row r="75" spans="1:7" ht="15.75">
      <c r="A75" s="70" t="s">
        <v>122</v>
      </c>
      <c r="B75" s="69">
        <f>IF(1329.5241="","-",1329.5241)</f>
        <v>1329.5241</v>
      </c>
      <c r="C75" s="69" t="s">
        <v>195</v>
      </c>
      <c r="D75" s="69">
        <f>IF(844.28097="","-",844.28097/2191887.38519*100)</f>
        <v>0.038518446508912</v>
      </c>
      <c r="E75" s="69">
        <f>IF(1329.5241="","-",1329.5241/2487873.87382*100)</f>
        <v>0.05344017291192441</v>
      </c>
      <c r="F75" s="69">
        <f>IF(OR(1851128.77138="",671.57793="",844.28097=""),"-",(844.28097-671.57793)/1851128.77138*100)</f>
        <v>0.00932960703059309</v>
      </c>
      <c r="G75" s="69">
        <f>IF(OR(2191887.38519="",1329.5241="",844.28097=""),"-",(1329.5241-844.28097)/2191887.38519*100)</f>
        <v>0.02213814146103759</v>
      </c>
    </row>
    <row r="76" spans="1:7" ht="15.75">
      <c r="A76" s="70" t="s">
        <v>107</v>
      </c>
      <c r="B76" s="69">
        <f>IF(1287.04318="","-",1287.04318)</f>
        <v>1287.04318</v>
      </c>
      <c r="C76" s="69">
        <f>IF(OR(1229.76969="",1287.04318=""),"-",1287.04318/1229.76969*100)</f>
        <v>104.6572533431036</v>
      </c>
      <c r="D76" s="69">
        <f>IF(1229.76969="","-",1229.76969/2191887.38519*100)</f>
        <v>0.05610551428459449</v>
      </c>
      <c r="E76" s="69">
        <f>IF(1287.04318="","-",1287.04318/2487873.87382*100)</f>
        <v>0.051732653875407784</v>
      </c>
      <c r="F76" s="69">
        <f>IF(OR(1851128.77138="",4210.03303="",1229.76969=""),"-",(1229.76969-4210.03303)/1851128.77138*100)</f>
        <v>-0.16099708383756792</v>
      </c>
      <c r="G76" s="69">
        <f>IF(OR(2191887.38519="",1287.04318="",1229.76969=""),"-",(1287.04318-1229.76969)/2191887.38519*100)</f>
        <v>0.0026129759396847463</v>
      </c>
    </row>
    <row r="77" spans="1:7" ht="15.75">
      <c r="A77" s="70" t="s">
        <v>138</v>
      </c>
      <c r="B77" s="69">
        <f>IF(1123.36773="","-",1123.36773)</f>
        <v>1123.36773</v>
      </c>
      <c r="C77" s="69" t="s">
        <v>350</v>
      </c>
      <c r="D77" s="69">
        <f>IF(17.77175="","-",17.77175/2191887.38519*100)</f>
        <v>0.0008107966732268724</v>
      </c>
      <c r="E77" s="69">
        <f>IF(1123.36773="","-",1123.36773/2487873.87382*100)</f>
        <v>0.04515372510725906</v>
      </c>
      <c r="F77" s="69">
        <f>IF(OR(1851128.77138="",21.30663="",17.77175=""),"-",(17.77175-21.30663)/1851128.77138*100)</f>
        <v>-0.00019095808215247913</v>
      </c>
      <c r="G77" s="69">
        <f>IF(OR(2191887.38519="",1123.36773="",17.77175=""),"-",(1123.36773-17.77175)/2191887.38519*100)</f>
        <v>0.05044036420256889</v>
      </c>
    </row>
    <row r="78" spans="1:7" ht="15.75">
      <c r="A78" s="70" t="s">
        <v>153</v>
      </c>
      <c r="B78" s="69">
        <f>IF(1021.77666="","-",1021.77666)</f>
        <v>1021.77666</v>
      </c>
      <c r="C78" s="69">
        <f>IF(OR(1887.89814="",1021.77666=""),"-",1021.77666/1887.89814*100)</f>
        <v>54.12244645783697</v>
      </c>
      <c r="D78" s="69">
        <f>IF(1887.89814="","-",1887.89814/2191887.38519*100)</f>
        <v>0.08613116498393238</v>
      </c>
      <c r="E78" s="69">
        <f>IF(1021.77666="","-",1021.77666/2487873.87382*100)</f>
        <v>0.041070275738340205</v>
      </c>
      <c r="F78" s="69">
        <f>IF(OR(1851128.77138="",333.83922="",1887.89814=""),"-",(1887.89814-333.83922)/1851128.77138*100)</f>
        <v>0.08395196185306238</v>
      </c>
      <c r="G78" s="69">
        <f>IF(OR(2191887.38519="",1021.77666="",1887.89814=""),"-",(1021.77666-1887.89814)/2191887.38519*100)</f>
        <v>-0.03951487133199235</v>
      </c>
    </row>
    <row r="79" spans="1:7" ht="15.75">
      <c r="A79" s="70" t="s">
        <v>149</v>
      </c>
      <c r="B79" s="69">
        <f>IF(998.92523="","-",998.92523)</f>
        <v>998.92523</v>
      </c>
      <c r="C79" s="69" t="s">
        <v>343</v>
      </c>
      <c r="D79" s="69">
        <f>IF(520.75765="","-",520.75765/2191887.38519*100)</f>
        <v>0.02375841265927351</v>
      </c>
      <c r="E79" s="69">
        <f>IF(998.92523="","-",998.92523/2487873.87382*100)</f>
        <v>0.040151763339441426</v>
      </c>
      <c r="F79" s="69">
        <f>IF(OR(1851128.77138="",485.669="",520.75765=""),"-",(520.75765-485.669)/1851128.77138*100)</f>
        <v>0.0018955272341125008</v>
      </c>
      <c r="G79" s="69">
        <f>IF(OR(2191887.38519="",998.92523="",520.75765=""),"-",(998.92523-520.75765)/2191887.38519*100)</f>
        <v>0.021815335186964952</v>
      </c>
    </row>
    <row r="80" spans="1:7" ht="15.75">
      <c r="A80" s="70" t="s">
        <v>117</v>
      </c>
      <c r="B80" s="69">
        <f>IF(981.8283="","-",981.8283)</f>
        <v>981.8283</v>
      </c>
      <c r="C80" s="69">
        <f>IF(OR(2804.08836="",981.8283=""),"-",981.8283/2804.08836*100)</f>
        <v>35.01417123674376</v>
      </c>
      <c r="D80" s="69">
        <f>IF(2804.08836="","-",2804.08836/2191887.38519*100)</f>
        <v>0.12793031151812267</v>
      </c>
      <c r="E80" s="69">
        <f>IF(981.8283="","-",981.8283/2487873.87382*100)</f>
        <v>0.039464552859042414</v>
      </c>
      <c r="F80" s="69">
        <f>IF(OR(1851128.77138="",1157.02141="",2804.08836=""),"-",(2804.08836-1157.02141)/1851128.77138*100)</f>
        <v>0.08897635731587308</v>
      </c>
      <c r="G80" s="69">
        <f>IF(OR(2191887.38519="",981.8283="",2804.08836=""),"-",(981.8283-2804.08836)/2191887.38519*100)</f>
        <v>-0.08313657317946746</v>
      </c>
    </row>
    <row r="81" spans="1:7" ht="15.75">
      <c r="A81" s="70" t="s">
        <v>124</v>
      </c>
      <c r="B81" s="69">
        <f>IF(741.84037="","-",741.84037)</f>
        <v>741.84037</v>
      </c>
      <c r="C81" s="69">
        <f>IF(OR(558.22111="",741.84037=""),"-",741.84037/558.22111*100)</f>
        <v>132.89364316587742</v>
      </c>
      <c r="D81" s="69">
        <f>IF(558.22111="","-",558.22111/2191887.38519*100)</f>
        <v>0.02546759992195546</v>
      </c>
      <c r="E81" s="69">
        <f>IF(741.84037="","-",741.84037/2487873.87382*100)</f>
        <v>0.029818246728920507</v>
      </c>
      <c r="F81" s="69">
        <f>IF(OR(1851128.77138="",455.80864="",558.22111=""),"-",(558.22111-455.80864)/1851128.77138*100)</f>
        <v>0.005532433593134223</v>
      </c>
      <c r="G81" s="69">
        <f>IF(OR(2191887.38519="",741.84037="",558.22111=""),"-",(741.84037-558.22111)/2191887.38519*100)</f>
        <v>0.008377221441241305</v>
      </c>
    </row>
    <row r="82" spans="1:7" ht="15.75">
      <c r="A82" s="70" t="s">
        <v>82</v>
      </c>
      <c r="B82" s="69">
        <f>IF(655.59718="","-",655.59718)</f>
        <v>655.59718</v>
      </c>
      <c r="C82" s="69">
        <f>IF(OR(751.63134="",655.59718=""),"-",655.59718/751.63134*100)</f>
        <v>87.22323632753259</v>
      </c>
      <c r="D82" s="69">
        <f>IF(751.63134="","-",751.63134/2191887.38519*100)</f>
        <v>0.03429151265154282</v>
      </c>
      <c r="E82" s="69">
        <f>IF(655.59718="","-",655.59718/2487873.87382*100)</f>
        <v>0.02635170483917518</v>
      </c>
      <c r="F82" s="69">
        <f>IF(OR(1851128.77138="",243.05497="",751.63134=""),"-",(751.63134-243.05497)/1851128.77138*100)</f>
        <v>0.0274738515149792</v>
      </c>
      <c r="G82" s="69">
        <f>IF(OR(2191887.38519="",655.59718="",751.63134=""),"-",(655.59718-751.63134)/2191887.38519*100)</f>
        <v>-0.0043813455312018915</v>
      </c>
    </row>
    <row r="83" spans="1:7" ht="15.75">
      <c r="A83" s="70" t="s">
        <v>81</v>
      </c>
      <c r="B83" s="69">
        <f>IF(602.17041="","-",602.17041)</f>
        <v>602.17041</v>
      </c>
      <c r="C83" s="69" t="s">
        <v>327</v>
      </c>
      <c r="D83" s="69">
        <f>IF(292.4594="","-",292.4594/2191887.38519*100)</f>
        <v>0.013342811404275163</v>
      </c>
      <c r="E83" s="69">
        <f>IF(602.17041="","-",602.17041/2487873.87382*100)</f>
        <v>0.02420421775945574</v>
      </c>
      <c r="F83" s="69">
        <f>IF(OR(1851128.77138="",304.87012="",292.4594=""),"-",(292.4594-304.87012)/1851128.77138*100)</f>
        <v>-0.0006704406625773467</v>
      </c>
      <c r="G83" s="69">
        <f>IF(OR(2191887.38519="",602.17041="",292.4594=""),"-",(602.17041-292.4594)/2191887.38519*100)</f>
        <v>0.014129877843753965</v>
      </c>
    </row>
    <row r="84" spans="1:7" ht="15.75">
      <c r="A84" s="70" t="s">
        <v>157</v>
      </c>
      <c r="B84" s="69">
        <f>IF(574.97261="","-",574.97261)</f>
        <v>574.97261</v>
      </c>
      <c r="C84" s="69">
        <f>IF(OR(482.15933="",574.97261=""),"-",574.97261/482.15933*100)</f>
        <v>119.24950410064656</v>
      </c>
      <c r="D84" s="69">
        <f>IF(482.15933="","-",482.15933/2191887.38519*100)</f>
        <v>0.021997449926388662</v>
      </c>
      <c r="E84" s="69">
        <f>IF(574.97261="","-",574.97261/2487873.87382*100)</f>
        <v>0.02311100317626471</v>
      </c>
      <c r="F84" s="69">
        <f>IF(OR(1851128.77138="",118.14958="",482.15933=""),"-",(482.15933-118.14958)/1851128.77138*100)</f>
        <v>0.019664204653284816</v>
      </c>
      <c r="G84" s="69">
        <f>IF(OR(2191887.38519="",574.97261="",482.15933=""),"-",(574.97261-482.15933)/2191887.38519*100)</f>
        <v>0.004234400025617861</v>
      </c>
    </row>
    <row r="85" spans="1:7" ht="15.75">
      <c r="A85" s="70" t="s">
        <v>142</v>
      </c>
      <c r="B85" s="69">
        <f>IF(559.15902="","-",559.15902)</f>
        <v>559.15902</v>
      </c>
      <c r="C85" s="69">
        <f>IF(OR(354.12978="",559.15902=""),"-",559.15902/354.12978*100)</f>
        <v>157.89663891017585</v>
      </c>
      <c r="D85" s="69">
        <f>IF(354.12978="","-",354.12978/2191887.38519*100)</f>
        <v>0.0161563856972197</v>
      </c>
      <c r="E85" s="69">
        <f>IF(559.15902="","-",559.15902/2487873.87382*100)</f>
        <v>0.0224753765005555</v>
      </c>
      <c r="F85" s="69">
        <f>IF(OR(1851128.77138="",241.55899="",354.12978=""),"-",(354.12978-241.55899)/1851128.77138*100)</f>
        <v>0.006081197145246652</v>
      </c>
      <c r="G85" s="69">
        <f>IF(OR(2191887.38519="",559.15902="",354.12978=""),"-",(559.15902-354.12978)/2191887.38519*100)</f>
        <v>0.009354004288054584</v>
      </c>
    </row>
    <row r="86" spans="1:7" ht="15.75">
      <c r="A86" s="70" t="s">
        <v>182</v>
      </c>
      <c r="B86" s="69">
        <f>IF(553.61897="","-",553.61897)</f>
        <v>553.61897</v>
      </c>
      <c r="C86" s="69" t="s">
        <v>351</v>
      </c>
      <c r="D86" s="69">
        <f>IF(0.53598="","-",0.53598/2191887.38519*100)</f>
        <v>2.445289861246861E-05</v>
      </c>
      <c r="E86" s="69">
        <f>IF(553.61897="","-",553.61897/2487873.87382*100)</f>
        <v>0.02225269439201703</v>
      </c>
      <c r="F86" s="69">
        <f>IF(OR(1851128.77138="",22.01314="",0.53598=""),"-",(0.53598-22.01314)/1851128.77138*100)</f>
        <v>-0.0011602196633780895</v>
      </c>
      <c r="G86" s="69">
        <f>IF(OR(2191887.38519="",553.61897="",0.53598=""),"-",(553.61897-0.53598)/2191887.38519*100)</f>
        <v>0.025233184594109836</v>
      </c>
    </row>
    <row r="87" spans="1:7" ht="15.75">
      <c r="A87" s="70" t="s">
        <v>154</v>
      </c>
      <c r="B87" s="69">
        <f>IF(548.03698="","-",548.03698)</f>
        <v>548.03698</v>
      </c>
      <c r="C87" s="69">
        <f>IF(OR(853.95428="",548.03698=""),"-",548.03698/853.95428*100)</f>
        <v>64.1763842438965</v>
      </c>
      <c r="D87" s="69">
        <f>IF(853.95428="","-",853.95428/2191887.38519*100)</f>
        <v>0.03895976982074636</v>
      </c>
      <c r="E87" s="69">
        <f>IF(548.03698="","-",548.03698/2487873.87382*100)</f>
        <v>0.022028326506701803</v>
      </c>
      <c r="F87" s="69">
        <f>IF(OR(1851128.77138="",64.64852="",853.95428=""),"-",(853.95428-64.64852)/1851128.77138*100)</f>
        <v>0.04263916007375217</v>
      </c>
      <c r="G87" s="69">
        <f>IF(OR(2191887.38519="",548.03698="",853.95428=""),"-",(548.03698-853.95428)/2191887.38519*100)</f>
        <v>-0.013956798240046543</v>
      </c>
    </row>
    <row r="88" spans="1:7" ht="15.75">
      <c r="A88" s="70" t="s">
        <v>256</v>
      </c>
      <c r="B88" s="69">
        <f>IF(512.45198="","-",512.45198)</f>
        <v>512.45198</v>
      </c>
      <c r="C88" s="69" t="str">
        <f>IF(OR(""="",512.45198=""),"-",512.45198/""*100)</f>
        <v>-</v>
      </c>
      <c r="D88" s="69" t="str">
        <f>IF(""="","-",""/2191887.38519*100)</f>
        <v>-</v>
      </c>
      <c r="E88" s="69">
        <f>IF(512.45198="","-",512.45198/2487873.87382*100)</f>
        <v>0.020597988724129206</v>
      </c>
      <c r="F88" s="69" t="str">
        <f>IF(OR(1851128.77138="",""="",""=""),"-",(""-"")/1851128.77138*100)</f>
        <v>-</v>
      </c>
      <c r="G88" s="69" t="str">
        <f>IF(OR(2191887.38519="",512.45198="",""=""),"-",(512.45198-"")/2191887.38519*100)</f>
        <v>-</v>
      </c>
    </row>
    <row r="89" spans="1:7" ht="15.75">
      <c r="A89" s="70" t="s">
        <v>148</v>
      </c>
      <c r="B89" s="69">
        <f>IF(502.85877="","-",502.85877)</f>
        <v>502.85877</v>
      </c>
      <c r="C89" s="69">
        <f>IF(OR(782.2788="",502.85877=""),"-",502.85877/782.2788*100)</f>
        <v>64.28127286588872</v>
      </c>
      <c r="D89" s="69">
        <f>IF(782.2788="","-",782.2788/2191887.38519*100)</f>
        <v>0.03568973503317962</v>
      </c>
      <c r="E89" s="69">
        <f>IF(502.85877="","-",502.85877/2487873.87382*100)</f>
        <v>0.020212389996599252</v>
      </c>
      <c r="F89" s="69">
        <f>IF(OR(1851128.77138="",519.13359="",782.2788=""),"-",(782.2788-519.13359)/1851128.77138*100)</f>
        <v>0.014215391931044732</v>
      </c>
      <c r="G89" s="69">
        <f>IF(OR(2191887.38519="",502.85877="",782.2788=""),"-",(502.85877-782.2788)/2191887.38519*100)</f>
        <v>-0.012747919071388746</v>
      </c>
    </row>
    <row r="90" spans="1:7" ht="15.75">
      <c r="A90" s="70" t="s">
        <v>175</v>
      </c>
      <c r="B90" s="69">
        <f>IF(497.59067="","-",497.59067)</f>
        <v>497.59067</v>
      </c>
      <c r="C90" s="69" t="s">
        <v>327</v>
      </c>
      <c r="D90" s="69">
        <f>IF(242.01661="","-",242.01661/2191887.38519*100)</f>
        <v>0.01104147100052867</v>
      </c>
      <c r="E90" s="69">
        <f>IF(497.59067="","-",497.59067/2487873.87382*100)</f>
        <v>0.020000638908433715</v>
      </c>
      <c r="F90" s="69">
        <f>IF(OR(1851128.77138="",282.85589="",242.01661=""),"-",(242.01661-282.85589)/1851128.77138*100)</f>
        <v>-0.0022061825536618222</v>
      </c>
      <c r="G90" s="69">
        <f>IF(OR(2191887.38519="",497.59067="",242.01661=""),"-",(497.59067-242.01661)/2191887.38519*100)</f>
        <v>0.011659999584232564</v>
      </c>
    </row>
    <row r="91" spans="1:7" ht="15.75">
      <c r="A91" s="70" t="s">
        <v>134</v>
      </c>
      <c r="B91" s="69">
        <f>IF(454.68826="","-",454.68826)</f>
        <v>454.68826</v>
      </c>
      <c r="C91" s="69" t="s">
        <v>352</v>
      </c>
      <c r="D91" s="69">
        <f>IF(59.2493="","-",59.2493/2191887.38519*100)</f>
        <v>0.0027031178882789214</v>
      </c>
      <c r="E91" s="69">
        <f>IF(454.68826="","-",454.68826/2487873.87382*100)</f>
        <v>0.018276178096675377</v>
      </c>
      <c r="F91" s="69">
        <f>IF(OR(1851128.77138="",253.5538="",59.2493=""),"-",(59.2493-253.5538)/1851128.77138*100)</f>
        <v>-0.010496541515863735</v>
      </c>
      <c r="G91" s="69">
        <f>IF(OR(2191887.38519="",454.68826="",59.2493=""),"-",(454.68826-59.2493)/2191887.38519*100)</f>
        <v>0.018041025404492764</v>
      </c>
    </row>
    <row r="92" spans="1:7" ht="15.75">
      <c r="A92" s="70" t="s">
        <v>162</v>
      </c>
      <c r="B92" s="69">
        <f>IF(410.61178="","-",410.61178)</f>
        <v>410.61178</v>
      </c>
      <c r="C92" s="69" t="str">
        <f>IF(OR(""="",410.61178=""),"-",410.61178/""*100)</f>
        <v>-</v>
      </c>
      <c r="D92" s="69" t="str">
        <f>IF(""="","-",""/2191887.38519*100)</f>
        <v>-</v>
      </c>
      <c r="E92" s="69">
        <f>IF(410.61178="","-",410.61178/2487873.87382*100)</f>
        <v>0.016504525583908605</v>
      </c>
      <c r="F92" s="69" t="str">
        <f>IF(OR(1851128.77138="",338.67923="",""=""),"-",(""-338.67923)/1851128.77138*100)</f>
        <v>-</v>
      </c>
      <c r="G92" s="69" t="str">
        <f>IF(OR(2191887.38519="",410.61178="",""=""),"-",(410.61178-"")/2191887.38519*100)</f>
        <v>-</v>
      </c>
    </row>
    <row r="93" spans="1:7" ht="15.75">
      <c r="A93" s="70" t="s">
        <v>215</v>
      </c>
      <c r="B93" s="69">
        <f>IF(409.54415="","-",409.54415)</f>
        <v>409.54415</v>
      </c>
      <c r="C93" s="69" t="s">
        <v>353</v>
      </c>
      <c r="D93" s="69">
        <f>IF(37.38395="","-",37.38395/2191887.38519*100)</f>
        <v>0.0017055597952975782</v>
      </c>
      <c r="E93" s="69">
        <f>IF(409.54415="","-",409.54415/2487873.87382*100)</f>
        <v>0.016461612234834333</v>
      </c>
      <c r="F93" s="69">
        <f>IF(OR(1851128.77138="",9.61322="",37.38395=""),"-",(37.38395-9.61322)/1851128.77138*100)</f>
        <v>0.001500205195303467</v>
      </c>
      <c r="G93" s="69">
        <f>IF(OR(2191887.38519="",409.54415="",37.38395=""),"-",(409.54415-37.38395)/2191887.38519*100)</f>
        <v>0.01697898361542603</v>
      </c>
    </row>
    <row r="94" spans="1:7" ht="15.75">
      <c r="A94" s="70" t="s">
        <v>119</v>
      </c>
      <c r="B94" s="69">
        <f>IF(400.83821="","-",400.83821)</f>
        <v>400.83821</v>
      </c>
      <c r="C94" s="69">
        <f>IF(OR(795.00121="",400.83821=""),"-",400.83821/795.00121*100)</f>
        <v>50.41982388932465</v>
      </c>
      <c r="D94" s="69">
        <f>IF(795.00121="","-",795.00121/2191887.38519*100)</f>
        <v>0.03627016676913293</v>
      </c>
      <c r="E94" s="69">
        <f>IF(400.83821="","-",400.83821/2487873.87382*100)</f>
        <v>0.01611167729272923</v>
      </c>
      <c r="F94" s="69">
        <f>IF(OR(1851128.77138="",884.8753="",795.00121=""),"-",(795.00121-884.8753)/1851128.77138*100)</f>
        <v>-0.004855096597790962</v>
      </c>
      <c r="G94" s="69">
        <f>IF(OR(2191887.38519="",400.83821="",795.00121=""),"-",(400.83821-795.00121)/2191887.38519*100)</f>
        <v>-0.017982812559771758</v>
      </c>
    </row>
    <row r="95" spans="1:7" ht="15.75">
      <c r="A95" s="70" t="s">
        <v>123</v>
      </c>
      <c r="B95" s="69">
        <f>IF(393.07905="","-",393.07905)</f>
        <v>393.07905</v>
      </c>
      <c r="C95" s="69" t="s">
        <v>343</v>
      </c>
      <c r="D95" s="69">
        <f>IF(209.09636="","-",209.09636/2191887.38519*100)</f>
        <v>0.009539557616545836</v>
      </c>
      <c r="E95" s="69">
        <f>IF(393.07905="","-",393.07905/2487873.87382*100)</f>
        <v>0.015799798138337602</v>
      </c>
      <c r="F95" s="69">
        <f>IF(OR(1851128.77138="",512.03324="",209.09636=""),"-",(209.09636-512.03324)/1851128.77138*100)</f>
        <v>-0.01636498144719361</v>
      </c>
      <c r="G95" s="69">
        <f>IF(OR(2191887.38519="",393.07905="",209.09636=""),"-",(393.07905-209.09636)/2191887.38519*100)</f>
        <v>0.008393802128846679</v>
      </c>
    </row>
    <row r="96" spans="1:7" ht="15.75">
      <c r="A96" s="70" t="s">
        <v>176</v>
      </c>
      <c r="B96" s="69">
        <f>IF(357.43307="","-",357.43307)</f>
        <v>357.43307</v>
      </c>
      <c r="C96" s="69" t="s">
        <v>354</v>
      </c>
      <c r="D96" s="69">
        <f>IF(17.09016="","-",17.09016/2191887.38519*100)</f>
        <v>0.0007797006413501745</v>
      </c>
      <c r="E96" s="69">
        <f>IF(357.43307="","-",357.43307/2487873.87382*100)</f>
        <v>0.014367009266879767</v>
      </c>
      <c r="F96" s="69">
        <f>IF(OR(1851128.77138="",26.24="",17.09016=""),"-",(17.09016-26.24)/1851128.77138*100)</f>
        <v>-0.0004942843599788508</v>
      </c>
      <c r="G96" s="69">
        <f>IF(OR(2191887.38519="",357.43307="",17.09016=""),"-",(357.43307-17.09016)/2191887.38519*100)</f>
        <v>0.015527390334905276</v>
      </c>
    </row>
    <row r="97" spans="1:7" ht="15.75">
      <c r="A97" s="70" t="s">
        <v>178</v>
      </c>
      <c r="B97" s="69">
        <f>IF(333.18916="","-",333.18916)</f>
        <v>333.18916</v>
      </c>
      <c r="C97" s="69" t="s">
        <v>355</v>
      </c>
      <c r="D97" s="69">
        <f>IF(7.414="","-",7.414/2191887.38519*100)</f>
        <v>0.00033824730458756347</v>
      </c>
      <c r="E97" s="69">
        <f>IF(333.18916="","-",333.18916/2487873.87382*100)</f>
        <v>0.01339252618495509</v>
      </c>
      <c r="F97" s="69" t="str">
        <f>IF(OR(1851128.77138="",""="",7.414=""),"-",(7.414-"")/1851128.77138*100)</f>
        <v>-</v>
      </c>
      <c r="G97" s="69">
        <f>IF(OR(2191887.38519="",333.18916="",7.414=""),"-",(333.18916-7.414)/2191887.38519*100)</f>
        <v>0.014862769054704916</v>
      </c>
    </row>
    <row r="98" spans="1:7" ht="15.75">
      <c r="A98" s="70" t="s">
        <v>131</v>
      </c>
      <c r="B98" s="69">
        <f>IF(324.79283="","-",324.79283)</f>
        <v>324.79283</v>
      </c>
      <c r="C98" s="69" t="s">
        <v>356</v>
      </c>
      <c r="D98" s="69">
        <f>IF(24.6827="","-",24.6827/2191887.38519*100)</f>
        <v>0.0011260934374080732</v>
      </c>
      <c r="E98" s="69">
        <f>IF(324.79283="","-",324.79283/2487873.87382*100)</f>
        <v>0.013055036005555121</v>
      </c>
      <c r="F98" s="69">
        <f>IF(OR(1851128.77138="",23.9276="",24.6827=""),"-",(24.6827-23.9276)/1851128.77138*100)</f>
        <v>4.079132752267032E-05</v>
      </c>
      <c r="G98" s="69">
        <f>IF(OR(2191887.38519="",324.79283="",24.6827=""),"-",(324.79283-24.6827)/2191887.38519*100)</f>
        <v>0.013691858990008533</v>
      </c>
    </row>
    <row r="99" spans="1:7" ht="15.75">
      <c r="A99" s="70" t="s">
        <v>214</v>
      </c>
      <c r="B99" s="69">
        <f>IF(284.83325="","-",284.83325)</f>
        <v>284.83325</v>
      </c>
      <c r="C99" s="69" t="str">
        <f>IF(OR(""="",284.83325=""),"-",284.83325/""*100)</f>
        <v>-</v>
      </c>
      <c r="D99" s="69" t="str">
        <f>IF(""="","-",""/2191887.38519*100)</f>
        <v>-</v>
      </c>
      <c r="E99" s="69">
        <f>IF(284.83325="","-",284.83325/2487873.87382*100)</f>
        <v>0.011448862138764835</v>
      </c>
      <c r="F99" s="69" t="str">
        <f>IF(OR(1851128.77138="",""="",""=""),"-",(""-"")/1851128.77138*100)</f>
        <v>-</v>
      </c>
      <c r="G99" s="69" t="str">
        <f>IF(OR(2191887.38519="",284.83325="",""=""),"-",(284.83325-"")/2191887.38519*100)</f>
        <v>-</v>
      </c>
    </row>
    <row r="100" spans="1:7" ht="15.75">
      <c r="A100" s="70" t="s">
        <v>133</v>
      </c>
      <c r="B100" s="69">
        <f>IF(282.3723="","-",282.3723)</f>
        <v>282.3723</v>
      </c>
      <c r="C100" s="69">
        <f>IF(OR(288.12969="",282.3723=""),"-",282.3723/288.12969*100)</f>
        <v>98.00180606170784</v>
      </c>
      <c r="D100" s="69">
        <f>IF(288.12969="","-",288.12969/2191887.38519*100)</f>
        <v>0.01314527798949963</v>
      </c>
      <c r="E100" s="69">
        <f>IF(282.3723="","-",282.3723/2487873.87382*100)</f>
        <v>0.01134994434289517</v>
      </c>
      <c r="F100" s="69">
        <f>IF(OR(1851128.77138="",285.37274="",288.12969=""),"-",(288.12969-285.37274)/1851128.77138*100)</f>
        <v>0.00014893345307061913</v>
      </c>
      <c r="G100" s="69">
        <f>IF(OR(2191887.38519="",282.3723="",288.12969=""),"-",(282.3723-288.12969)/2191887.38519*100)</f>
        <v>-0.00026266814795783487</v>
      </c>
    </row>
    <row r="101" spans="1:7" ht="15.75">
      <c r="A101" s="70" t="s">
        <v>140</v>
      </c>
      <c r="B101" s="69">
        <f>IF(258.74034="","-",258.74034)</f>
        <v>258.74034</v>
      </c>
      <c r="C101" s="69">
        <f>IF(OR(369.59657="",258.74034=""),"-",258.74034/369.59657*100)</f>
        <v>70.00615292506637</v>
      </c>
      <c r="D101" s="69">
        <f>IF(369.59657="","-",369.59657/2191887.38519*100)</f>
        <v>0.016862023683208622</v>
      </c>
      <c r="E101" s="69">
        <f>IF(258.74034="","-",258.74034/2487873.87382*100)</f>
        <v>0.010400058568994808</v>
      </c>
      <c r="F101" s="69">
        <f>IF(OR(1851128.77138="",263.51736="",369.59657=""),"-",(369.59657-263.51736)/1851128.77138*100)</f>
        <v>0.005730514896644326</v>
      </c>
      <c r="G101" s="69">
        <f>IF(OR(2191887.38519="",258.74034="",369.59657=""),"-",(258.74034-369.59657)/2191887.38519*100)</f>
        <v>-0.005057569597280684</v>
      </c>
    </row>
    <row r="102" spans="1:7" ht="15.75">
      <c r="A102" s="70" t="s">
        <v>224</v>
      </c>
      <c r="B102" s="69">
        <f>IF(203.26985="","-",203.26985)</f>
        <v>203.26985</v>
      </c>
      <c r="C102" s="69">
        <f>IF(OR(828.11184="",203.26985=""),"-",203.26985/828.11184*100)</f>
        <v>24.546183278818955</v>
      </c>
      <c r="D102" s="69">
        <f>IF(828.11184="","-",828.11184/2191887.38519*100)</f>
        <v>0.037780765818323125</v>
      </c>
      <c r="E102" s="69">
        <f>IF(203.26985="","-",203.26985/2487873.87382*100)</f>
        <v>0.008170424238102143</v>
      </c>
      <c r="F102" s="69">
        <f>IF(OR(1851128.77138="",282.88909="",828.11184=""),"-",(828.11184-282.88909)/1851128.77138*100)</f>
        <v>0.029453529026699815</v>
      </c>
      <c r="G102" s="69">
        <f>IF(OR(2191887.38519="",203.26985="",828.11184=""),"-",(203.26985-828.11184)/2191887.38519*100)</f>
        <v>-0.028507029796416148</v>
      </c>
    </row>
    <row r="103" spans="1:7" ht="15.75">
      <c r="A103" s="70" t="s">
        <v>118</v>
      </c>
      <c r="B103" s="69">
        <f>IF(192.4305="","-",192.4305)</f>
        <v>192.4305</v>
      </c>
      <c r="C103" s="69" t="s">
        <v>357</v>
      </c>
      <c r="D103" s="69">
        <f>IF(46.91142="","-",46.91142/2191887.38519*100)</f>
        <v>0.002140229480627882</v>
      </c>
      <c r="E103" s="69">
        <f>IF(192.4305="","-",192.4305/2487873.87382*100)</f>
        <v>0.007734736958531304</v>
      </c>
      <c r="F103" s="69">
        <f>IF(OR(1851128.77138="",918.07083="",46.91142=""),"-",(46.91142-918.07083)/1851128.77138*100)</f>
        <v>-0.04706098373429518</v>
      </c>
      <c r="G103" s="69">
        <f>IF(OR(2191887.38519="",192.4305="",46.91142=""),"-",(192.4305-46.91142)/2191887.38519*100)</f>
        <v>0.006638985240903968</v>
      </c>
    </row>
    <row r="104" spans="1:7" ht="15.75">
      <c r="A104" s="70" t="s">
        <v>114</v>
      </c>
      <c r="B104" s="69">
        <f>IF(186.84761="","-",186.84761)</f>
        <v>186.84761</v>
      </c>
      <c r="C104" s="69">
        <f>IF(OR(994.14035="",186.84761=""),"-",186.84761/994.14035*100)</f>
        <v>18.794892491789515</v>
      </c>
      <c r="D104" s="69">
        <f>IF(994.14035="","-",994.14035/2191887.38519*100)</f>
        <v>0.04535544830985123</v>
      </c>
      <c r="E104" s="69">
        <f>IF(186.84761="","-",186.84761/2487873.87382*100)</f>
        <v>0.007510332897748763</v>
      </c>
      <c r="F104" s="69">
        <f>IF(OR(1851128.77138="",1935.01241="",994.14035=""),"-",(994.14035-1935.01241)/1851128.77138*100)</f>
        <v>-0.05082693730153567</v>
      </c>
      <c r="G104" s="69">
        <f>IF(OR(2191887.38519="",186.84761="",994.14035=""),"-",(186.84761-994.14035)/2191887.38519*100)</f>
        <v>-0.03683094056084552</v>
      </c>
    </row>
    <row r="105" spans="1:7" ht="15.75">
      <c r="A105" s="70" t="s">
        <v>233</v>
      </c>
      <c r="B105" s="69">
        <f>IF(149.798="","-",149.798)</f>
        <v>149.798</v>
      </c>
      <c r="C105" s="69" t="str">
        <f>IF(OR(""="",149.798=""),"-",149.798/""*100)</f>
        <v>-</v>
      </c>
      <c r="D105" s="69" t="str">
        <f>IF(""="","-",""/2191887.38519*100)</f>
        <v>-</v>
      </c>
      <c r="E105" s="69">
        <f>IF(149.798="","-",149.798/2487873.87382*100)</f>
        <v>0.0060211251694199846</v>
      </c>
      <c r="F105" s="69" t="str">
        <f>IF(OR(1851128.77138="",""="",""=""),"-",(""-"")/1851128.77138*100)</f>
        <v>-</v>
      </c>
      <c r="G105" s="69" t="str">
        <f>IF(OR(2191887.38519="",149.798="",""=""),"-",(149.798-"")/2191887.38519*100)</f>
        <v>-</v>
      </c>
    </row>
    <row r="106" spans="1:7" ht="15.75">
      <c r="A106" s="70" t="s">
        <v>235</v>
      </c>
      <c r="B106" s="69">
        <f>IF(146.18601="","-",146.18601)</f>
        <v>146.18601</v>
      </c>
      <c r="C106" s="69" t="s">
        <v>331</v>
      </c>
      <c r="D106" s="69">
        <f>IF(25.98037="","-",25.98037/2191887.38519*100)</f>
        <v>0.0011852967527229022</v>
      </c>
      <c r="E106" s="69">
        <f>IF(146.18601="","-",146.18601/2487873.87382*100)</f>
        <v>0.005875941362555452</v>
      </c>
      <c r="F106" s="69">
        <f>IF(OR(1851128.77138="",48.24954="",25.98037=""),"-",(25.98037-48.24954)/1851128.77138*100)</f>
        <v>-0.0012030049094530865</v>
      </c>
      <c r="G106" s="69">
        <f>IF(OR(2191887.38519="",146.18601="",25.98037=""),"-",(146.18601-25.98037)/2191887.38519*100)</f>
        <v>0.0054841156900759394</v>
      </c>
    </row>
    <row r="107" spans="1:7" ht="15.75">
      <c r="A107" s="70" t="s">
        <v>216</v>
      </c>
      <c r="B107" s="69">
        <f>IF(134.90109="","-",134.90109)</f>
        <v>134.90109</v>
      </c>
      <c r="C107" s="69">
        <f>IF(OR(174.27736="",134.90109=""),"-",134.90109/174.27736*100)</f>
        <v>77.40597516510465</v>
      </c>
      <c r="D107" s="69">
        <f>IF(174.27736="","-",174.27736/2191887.38519*100)</f>
        <v>0.007951017975537693</v>
      </c>
      <c r="E107" s="69">
        <f>IF(134.90109="","-",134.90109/2487873.87382*100)</f>
        <v>0.005422344413017468</v>
      </c>
      <c r="F107" s="69">
        <f>IF(OR(1851128.77138="",50.57699="",174.27736=""),"-",(174.27736-50.57699)/1851128.77138*100)</f>
        <v>0.006682429224401415</v>
      </c>
      <c r="G107" s="69">
        <f>IF(OR(2191887.38519="",134.90109="",174.27736=""),"-",(134.90109-174.27736)/2191887.38519*100)</f>
        <v>-0.00179645497601998</v>
      </c>
    </row>
    <row r="108" spans="1:7" ht="15.75">
      <c r="A108" s="70" t="s">
        <v>150</v>
      </c>
      <c r="B108" s="69">
        <f>IF(132.43385="","-",132.43385)</f>
        <v>132.43385</v>
      </c>
      <c r="C108" s="69">
        <f>IF(OR(186.65941="",132.43385=""),"-",132.43385/186.65941*100)</f>
        <v>70.9494635175371</v>
      </c>
      <c r="D108" s="69">
        <f>IF(186.65941="","-",186.65941/2191887.38519*100)</f>
        <v>0.00851592154146276</v>
      </c>
      <c r="E108" s="69">
        <f>IF(132.43385="","-",132.43385/2487873.87382*100)</f>
        <v>0.005323173790826251</v>
      </c>
      <c r="F108" s="69">
        <f>IF(OR(1851128.77138="",362.46351="",186.65941=""),"-",(186.65941-362.46351)/1851128.77138*100)</f>
        <v>-0.009497129682066343</v>
      </c>
      <c r="G108" s="69">
        <f>IF(OR(2191887.38519="",132.43385="",186.65941=""),"-",(132.43385-186.65941)/2191887.38519*100)</f>
        <v>-0.002473920894220556</v>
      </c>
    </row>
    <row r="109" spans="1:7" ht="15.75">
      <c r="A109" s="70" t="s">
        <v>137</v>
      </c>
      <c r="B109" s="69">
        <f>IF(130.40643="","-",130.40643)</f>
        <v>130.40643</v>
      </c>
      <c r="C109" s="69">
        <f>IF(OR(94.90115="",130.40643=""),"-",130.40643/94.90115*100)</f>
        <v>137.41290806275794</v>
      </c>
      <c r="D109" s="69">
        <f>IF(94.90115="","-",94.90115/2191887.38519*100)</f>
        <v>0.004329654463145408</v>
      </c>
      <c r="E109" s="69">
        <f>IF(130.40643="","-",130.40643/2487873.87382*100)</f>
        <v>0.005241681717561018</v>
      </c>
      <c r="F109" s="69" t="str">
        <f>IF(OR(1851128.77138="",""="",94.90115=""),"-",(94.90115-"")/1851128.77138*100)</f>
        <v>-</v>
      </c>
      <c r="G109" s="69">
        <f>IF(OR(2191887.38519="",130.40643="",94.90115=""),"-",(130.40643-94.90115)/2191887.38519*100)</f>
        <v>0.001619849643731687</v>
      </c>
    </row>
    <row r="110" spans="1:7" ht="15.75">
      <c r="A110" s="70" t="s">
        <v>144</v>
      </c>
      <c r="B110" s="69">
        <f>IF(115.99082="","-",115.99082)</f>
        <v>115.99082</v>
      </c>
      <c r="C110" s="69" t="s">
        <v>158</v>
      </c>
      <c r="D110" s="69">
        <f>IF(50.37223="","-",50.37223/2191887.38519*100)</f>
        <v>0.0022981212602596174</v>
      </c>
      <c r="E110" s="69">
        <f>IF(115.99082="","-",115.99082/2487873.87382*100)</f>
        <v>0.004662246797177953</v>
      </c>
      <c r="F110" s="69">
        <f>IF(OR(1851128.77138="",41.16549="",50.37223=""),"-",(50.37223-41.16549)/1851128.77138*100)</f>
        <v>0.0004973581601854991</v>
      </c>
      <c r="G110" s="69">
        <f>IF(OR(2191887.38519="",115.99082="",50.37223=""),"-",(115.99082-50.37223)/2191887.38519*100)</f>
        <v>0.002993702616446783</v>
      </c>
    </row>
    <row r="111" spans="1:7" ht="15.75">
      <c r="A111" s="71" t="s">
        <v>189</v>
      </c>
      <c r="B111" s="72">
        <f>IF(108.99352="","-",108.99352)</f>
        <v>108.99352</v>
      </c>
      <c r="C111" s="72">
        <f>IF(OR(403.42283="",108.99352=""),"-",108.99352/403.42283*100)</f>
        <v>27.017191862939438</v>
      </c>
      <c r="D111" s="72">
        <f>IF(403.42283="","-",403.42283/2191887.38519*100)</f>
        <v>0.01840527176376947</v>
      </c>
      <c r="E111" s="72">
        <f>IF(108.99352="","-",108.99352/2487873.87382*100)</f>
        <v>0.004380990577815996</v>
      </c>
      <c r="F111" s="72">
        <f>IF(OR(1851128.77138="",865.1805="",403.42283=""),"-",(403.42283-865.1805)/1851128.77138*100)</f>
        <v>-0.024944654155840483</v>
      </c>
      <c r="G111" s="72">
        <f>IF(OR(2191887.38519="",108.99352="",403.42283=""),"-",(108.99352-403.42283)/2191887.38519*100)</f>
        <v>-0.013432684178456455</v>
      </c>
    </row>
    <row r="112" ht="15.75">
      <c r="A112" s="35" t="s">
        <v>19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114"/>
  <sheetViews>
    <sheetView zoomScalePageLayoutView="0" workbookViewId="0" topLeftCell="A1">
      <selection activeCell="C24" sqref="C24"/>
    </sheetView>
  </sheetViews>
  <sheetFormatPr defaultColWidth="9.00390625" defaultRowHeight="15.75"/>
  <cols>
    <col min="1" max="1" width="27.75390625" style="0" customWidth="1"/>
    <col min="2" max="2" width="12.25390625" style="0" customWidth="1"/>
    <col min="3" max="3" width="12.625" style="0" customWidth="1"/>
    <col min="4" max="4" width="8.625" style="0" customWidth="1"/>
    <col min="5" max="5" width="8.875" style="0" customWidth="1"/>
    <col min="6" max="7" width="9.875" style="0" customWidth="1"/>
  </cols>
  <sheetData>
    <row r="1" spans="1:7" ht="15.75">
      <c r="A1" s="109" t="s">
        <v>184</v>
      </c>
      <c r="B1" s="109"/>
      <c r="C1" s="109"/>
      <c r="D1" s="109"/>
      <c r="E1" s="109"/>
      <c r="F1" s="109"/>
      <c r="G1" s="109"/>
    </row>
    <row r="2" ht="15.75">
      <c r="A2" s="2"/>
    </row>
    <row r="3" spans="1:7" ht="55.5" customHeight="1">
      <c r="A3" s="97"/>
      <c r="B3" s="100" t="s">
        <v>244</v>
      </c>
      <c r="C3" s="101"/>
      <c r="D3" s="100" t="s">
        <v>156</v>
      </c>
      <c r="E3" s="101"/>
      <c r="F3" s="102" t="s">
        <v>173</v>
      </c>
      <c r="G3" s="103"/>
    </row>
    <row r="4" spans="1:7" ht="26.25" customHeight="1">
      <c r="A4" s="98"/>
      <c r="B4" s="104" t="s">
        <v>145</v>
      </c>
      <c r="C4" s="106" t="s">
        <v>245</v>
      </c>
      <c r="D4" s="108" t="s">
        <v>246</v>
      </c>
      <c r="E4" s="108"/>
      <c r="F4" s="108" t="s">
        <v>246</v>
      </c>
      <c r="G4" s="100"/>
    </row>
    <row r="5" spans="1:7" ht="27" customHeight="1">
      <c r="A5" s="99"/>
      <c r="B5" s="105"/>
      <c r="C5" s="107"/>
      <c r="D5" s="28">
        <v>2017</v>
      </c>
      <c r="E5" s="28">
        <v>2018</v>
      </c>
      <c r="F5" s="28" t="s">
        <v>141</v>
      </c>
      <c r="G5" s="24" t="s">
        <v>160</v>
      </c>
    </row>
    <row r="6" spans="1:7" s="3" customFormat="1" ht="15">
      <c r="A6" s="62" t="s">
        <v>199</v>
      </c>
      <c r="B6" s="74">
        <f>IF(5244769.76452="","-",5244769.76452)</f>
        <v>5244769.76452</v>
      </c>
      <c r="C6" s="74">
        <f>IF(4359960.60099="","-",5244769.76452/4359960.60099*100)</f>
        <v>120.29397154022652</v>
      </c>
      <c r="D6" s="74">
        <v>100</v>
      </c>
      <c r="E6" s="74">
        <v>100</v>
      </c>
      <c r="F6" s="74">
        <f>IF(3628984.82886="","-",(4359960.60099-3628984.82886)/3628984.82886*100)</f>
        <v>20.142706751398222</v>
      </c>
      <c r="G6" s="74">
        <f>IF(4359960.60099="","-",(5244769.76452-4359960.60099)/4359960.60099*100)</f>
        <v>20.293971540226515</v>
      </c>
    </row>
    <row r="7" spans="1:7" ht="12.75" customHeight="1">
      <c r="A7" s="54" t="s">
        <v>2</v>
      </c>
      <c r="B7" s="48"/>
      <c r="C7" s="49"/>
      <c r="D7" s="49"/>
      <c r="E7" s="49"/>
      <c r="F7" s="55"/>
      <c r="G7" s="55"/>
    </row>
    <row r="8" spans="1:7" ht="15.75">
      <c r="A8" s="57" t="s">
        <v>229</v>
      </c>
      <c r="B8" s="68">
        <f>IF(2614154.46464="","-",2614154.46464)</f>
        <v>2614154.46464</v>
      </c>
      <c r="C8" s="68">
        <f>IF(2169745.9746="","-",2614154.46464/2169745.9746*100)</f>
        <v>120.48205159693536</v>
      </c>
      <c r="D8" s="68">
        <f>IF(2169745.9746="","-",2169745.9746/4359960.60099*100)</f>
        <v>49.765265633531726</v>
      </c>
      <c r="E8" s="68">
        <f>IF(2614154.46464="","-",2614154.46464/5244769.76452*100)</f>
        <v>49.843073805151995</v>
      </c>
      <c r="F8" s="68">
        <f>IF(3628984.82886="","-",(2169745.9746-1795197.31)/3628984.82886*100)</f>
        <v>10.321031425134382</v>
      </c>
      <c r="G8" s="68">
        <f>IF(4359960.60099="","-",(2614154.46464-2169745.9746)/4359960.60099*100)</f>
        <v>10.192947384411912</v>
      </c>
    </row>
    <row r="9" spans="1:7" s="11" customFormat="1" ht="15.75">
      <c r="A9" s="22" t="s">
        <v>196</v>
      </c>
      <c r="B9" s="69">
        <f>IF(774125.32803="","-",774125.32803)</f>
        <v>774125.32803</v>
      </c>
      <c r="C9" s="69">
        <f>IF(OR(631753.65447="",774125.32803=""),"-",774125.32803/631753.65447*100)</f>
        <v>122.53594776265133</v>
      </c>
      <c r="D9" s="69">
        <f>IF(631753.65447="","-",631753.65447/4359960.60099*100)</f>
        <v>14.489893654693805</v>
      </c>
      <c r="E9" s="69">
        <f>IF(774125.32803="","-",774125.32803/5244769.76452*100)</f>
        <v>14.759948725811183</v>
      </c>
      <c r="F9" s="69">
        <f>IF(OR(3628984.82886="",502059.20595="",631753.65447=""),"-",(631753.65447-502059.20595)/3628984.82886*100)</f>
        <v>3.573849289437285</v>
      </c>
      <c r="G9" s="69">
        <f>IF(OR(4359960.60099="",774125.32803="",631753.65447=""),"-",(774125.32803-631753.65447)/4359960.60099*100)</f>
        <v>3.2654348648855267</v>
      </c>
    </row>
    <row r="10" spans="1:7" s="11" customFormat="1" ht="15.75">
      <c r="A10" s="22" t="s">
        <v>4</v>
      </c>
      <c r="B10" s="69">
        <f>IF(439991.32496="","-",439991.32496)</f>
        <v>439991.32496</v>
      </c>
      <c r="C10" s="69">
        <f>IF(OR(353520.11738="",439991.32496=""),"-",439991.32496/353520.11738*100)</f>
        <v>124.46005285946762</v>
      </c>
      <c r="D10" s="69">
        <f>IF(353520.11738="","-",353520.11738/4359960.60099*100)</f>
        <v>8.108332843643758</v>
      </c>
      <c r="E10" s="69">
        <f>IF(439991.32496="","-",439991.32496/5244769.76452*100)</f>
        <v>8.389144704434283</v>
      </c>
      <c r="F10" s="69">
        <f>IF(OR(3628984.82886="",288258.09398="",353520.11738=""),"-",(353520.11738-288258.09398)/3628984.82886*100)</f>
        <v>1.7983548148505557</v>
      </c>
      <c r="G10" s="69">
        <f>IF(OR(4359960.60099="",439991.32496="",353520.11738=""),"-",(439991.32496-353520.11738)/4359960.60099*100)</f>
        <v>1.9833024995768376</v>
      </c>
    </row>
    <row r="11" spans="1:7" s="11" customFormat="1" ht="15.75">
      <c r="A11" s="22" t="s">
        <v>3</v>
      </c>
      <c r="B11" s="69">
        <f>IF(357530.4211="","-",357530.4211)</f>
        <v>357530.4211</v>
      </c>
      <c r="C11" s="69">
        <f>IF(OR(304862.00811="",357530.4211=""),"-",357530.4211/304862.00811*100)</f>
        <v>117.27614841761334</v>
      </c>
      <c r="D11" s="69">
        <f>IF(304862.00811="","-",304862.00811/4359960.60099*100)</f>
        <v>6.992311078241764</v>
      </c>
      <c r="E11" s="69">
        <f>IF(357530.4211="","-",357530.4211/5244769.76452*100)</f>
        <v>6.816894490176368</v>
      </c>
      <c r="F11" s="69">
        <f>IF(OR(3628984.82886="",258618.77805="",304862.00811=""),"-",(304862.00811-258618.77805)/3628984.82886*100)</f>
        <v>1.274274548965991</v>
      </c>
      <c r="G11" s="69">
        <f>IF(OR(4359960.60099="",357530.4211="",304862.00811=""),"-",(357530.4211-304862.00811)/4359960.60099*100)</f>
        <v>1.208002039698266</v>
      </c>
    </row>
    <row r="12" spans="1:7" s="11" customFormat="1" ht="15.75">
      <c r="A12" s="22" t="s">
        <v>5</v>
      </c>
      <c r="B12" s="69">
        <f>IF(183486.81233="","-",183486.81233)</f>
        <v>183486.81233</v>
      </c>
      <c r="C12" s="69">
        <f>IF(OR(148525.10812="",183486.81233=""),"-",183486.81233/148525.10812*100)</f>
        <v>123.53925518219646</v>
      </c>
      <c r="D12" s="69">
        <f>IF(148525.10812="","-",148525.10812/4359960.60099*100)</f>
        <v>3.4065699604320954</v>
      </c>
      <c r="E12" s="69">
        <f>IF(183486.81233="","-",183486.81233/5244769.76452*100)</f>
        <v>3.4984722031319264</v>
      </c>
      <c r="F12" s="69">
        <f>IF(OR(3628984.82886="",117885.13986="",148525.10812=""),"-",(148525.10812-117885.13986)/3628984.82886*100)</f>
        <v>0.8443123822489266</v>
      </c>
      <c r="G12" s="69">
        <f>IF(OR(4359960.60099="",183486.81233="",148525.10812=""),"-",(183486.81233-148525.10812)/4359960.60099*100)</f>
        <v>0.8018811959461599</v>
      </c>
    </row>
    <row r="13" spans="1:7" s="11" customFormat="1" ht="15.75">
      <c r="A13" s="22" t="s">
        <v>251</v>
      </c>
      <c r="B13" s="69">
        <f>IF(122058.24326="","-",122058.24326)</f>
        <v>122058.24326</v>
      </c>
      <c r="C13" s="69">
        <f>IF(OR(102733.17146="",122058.24326=""),"-",122058.24326/102733.17146*100)</f>
        <v>118.81093664817344</v>
      </c>
      <c r="D13" s="69">
        <f>IF(102733.17146="","-",102733.17146/4359960.60099*100)</f>
        <v>2.35628669297316</v>
      </c>
      <c r="E13" s="69">
        <f>IF(122058.24326="","-",122058.24326/5244769.76452*100)</f>
        <v>2.3272373953515335</v>
      </c>
      <c r="F13" s="69">
        <f>IF(OR(3628984.82886="",82591.87267="",102733.17146=""),"-",(102733.17146-82591.87267)/3628984.82886*100)</f>
        <v>0.5550119314311694</v>
      </c>
      <c r="G13" s="69">
        <f>IF(OR(4359960.60099="",122058.24326="",102733.17146=""),"-",(122058.24326-102733.17146)/4359960.60099*100)</f>
        <v>0.4432395970645224</v>
      </c>
    </row>
    <row r="14" spans="1:7" s="11" customFormat="1" ht="15.75">
      <c r="A14" s="22" t="s">
        <v>86</v>
      </c>
      <c r="B14" s="69">
        <f>IF(102899.1231="","-",102899.1231)</f>
        <v>102899.1231</v>
      </c>
      <c r="C14" s="69">
        <f>IF(OR(91558.77228="",102899.1231=""),"-",102899.1231/91558.77228*100)</f>
        <v>112.38587034054974</v>
      </c>
      <c r="D14" s="69">
        <f>IF(91558.77228="","-",91558.77228/4359960.60099*100)</f>
        <v>2.0999908177888145</v>
      </c>
      <c r="E14" s="69">
        <f>IF(102899.1231="","-",102899.1231/5244769.76452*100)</f>
        <v>1.9619378489423034</v>
      </c>
      <c r="F14" s="69">
        <f>IF(OR(3628984.82886="",72772.69636="",91558.77228=""),"-",(91558.77228-72772.69636)/3628984.82886*100)</f>
        <v>0.5176675242784472</v>
      </c>
      <c r="G14" s="69">
        <f>IF(OR(4359960.60099="",102899.1231="",91558.77228=""),"-",(102899.1231-91558.77228)/4359960.60099*100)</f>
        <v>0.26010213985477254</v>
      </c>
    </row>
    <row r="15" spans="1:7" s="11" customFormat="1" ht="15.75">
      <c r="A15" s="22" t="s">
        <v>7</v>
      </c>
      <c r="B15" s="69">
        <f>IF(97766.92588="","-",97766.92588)</f>
        <v>97766.92588</v>
      </c>
      <c r="C15" s="69">
        <f>IF(OR(73868.32344="",97766.92588=""),"-",97766.92588/73868.32344*100)</f>
        <v>132.35297801149068</v>
      </c>
      <c r="D15" s="69">
        <f>IF(73868.32344="","-",73868.32344/4359960.60099*100)</f>
        <v>1.6942429118104185</v>
      </c>
      <c r="E15" s="69">
        <f>IF(97766.92588="","-",97766.92588/5244769.76452*100)</f>
        <v>1.8640842261823787</v>
      </c>
      <c r="F15" s="69">
        <f>IF(OR(3628984.82886="",68710.28771="",73868.32344=""),"-",(73868.32344-68710.28771)/3628984.82886*100)</f>
        <v>0.1421343977241239</v>
      </c>
      <c r="G15" s="69">
        <f>IF(OR(4359960.60099="",97766.92588="",73868.32344=""),"-",(97766.92588-73868.32344)/4359960.60099*100)</f>
        <v>0.5481380367192639</v>
      </c>
    </row>
    <row r="16" spans="1:7" s="11" customFormat="1" ht="15.75">
      <c r="A16" s="22" t="s">
        <v>197</v>
      </c>
      <c r="B16" s="69">
        <f>IF(79076.12847="","-",79076.12847)</f>
        <v>79076.12847</v>
      </c>
      <c r="C16" s="69">
        <f>IF(OR(60263.02194="",79076.12847=""),"-",79076.12847/60263.02194*100)</f>
        <v>131.21832580638088</v>
      </c>
      <c r="D16" s="69">
        <f>IF(60263.02194="","-",60263.02194/4359960.60099*100)</f>
        <v>1.3821918924294017</v>
      </c>
      <c r="E16" s="69">
        <f>IF(79076.12847="","-",79076.12847/5244769.76452*100)</f>
        <v>1.5077140088195469</v>
      </c>
      <c r="F16" s="69">
        <f>IF(OR(3628984.82886="",48842.21776="",60263.02194=""),"-",(60263.02194-48842.21776)/3628984.82886*100)</f>
        <v>0.3147107171453153</v>
      </c>
      <c r="G16" s="69">
        <f>IF(OR(4359960.60099="",79076.12847="",60263.02194=""),"-",(79076.12847-60263.02194)/4359960.60099*100)</f>
        <v>0.43149716824799234</v>
      </c>
    </row>
    <row r="17" spans="1:7" s="11" customFormat="1" ht="15.75">
      <c r="A17" s="22" t="s">
        <v>84</v>
      </c>
      <c r="B17" s="69">
        <f>IF(69181.47534="","-",69181.47534)</f>
        <v>69181.47534</v>
      </c>
      <c r="C17" s="69">
        <f>IF(OR(54800.05286="",69181.47534=""),"-",69181.47534/54800.05286*100)</f>
        <v>126.24344636444206</v>
      </c>
      <c r="D17" s="69">
        <f>IF(54800.05286="","-",54800.05286/4359960.60099*100)</f>
        <v>1.2568933042091426</v>
      </c>
      <c r="E17" s="69">
        <f>IF(69181.47534="","-",69181.47534/5244769.76452*100)</f>
        <v>1.3190564780936858</v>
      </c>
      <c r="F17" s="69">
        <f>IF(OR(3628984.82886="",45242.5249="",54800.05286=""),"-",(54800.05286-45242.5249)/3628984.82886*100)</f>
        <v>0.26336643471178095</v>
      </c>
      <c r="G17" s="69">
        <f>IF(OR(4359960.60099="",69181.47534="",54800.05286=""),"-",(69181.47534-54800.05286)/4359960.60099*100)</f>
        <v>0.32985212014839</v>
      </c>
    </row>
    <row r="18" spans="1:7" s="11" customFormat="1" ht="15.75">
      <c r="A18" s="22" t="s">
        <v>6</v>
      </c>
      <c r="B18" s="69">
        <f>IF(60672.00946="","-",60672.00946)</f>
        <v>60672.00946</v>
      </c>
      <c r="C18" s="69">
        <f>IF(OR(67899.57669="",60672.00946=""),"-",60672.00946/67899.57669*100)</f>
        <v>89.35550472869966</v>
      </c>
      <c r="D18" s="69">
        <f>IF(67899.57669="","-",67899.57669/4359960.60099*100)</f>
        <v>1.5573438134872661</v>
      </c>
      <c r="E18" s="69">
        <f>IF(60672.00946="","-",60672.00946/5244769.76452*100)</f>
        <v>1.15680977781782</v>
      </c>
      <c r="F18" s="69">
        <f>IF(OR(3628984.82886="",52163.9650499999="",67899.57669=""),"-",(67899.57669-52163.9650499999)/3628984.82886*100)</f>
        <v>0.43360918775026264</v>
      </c>
      <c r="G18" s="69">
        <f>IF(OR(4359960.60099="",60672.00946="",67899.57669=""),"-",(60672.00946-67899.57669)/4359960.60099*100)</f>
        <v>-0.1657713885845405</v>
      </c>
    </row>
    <row r="19" spans="1:7" s="11" customFormat="1" ht="15.75" customHeight="1">
      <c r="A19" s="22" t="s">
        <v>250</v>
      </c>
      <c r="B19" s="69">
        <f>IF(54672.94963="","-",54672.94963)</f>
        <v>54672.94963</v>
      </c>
      <c r="C19" s="69">
        <f>IF(OR(52987.50547="",54672.94963=""),"-",54672.94963/52987.50547*100)</f>
        <v>103.18083318897557</v>
      </c>
      <c r="D19" s="69">
        <f>IF(52987.50547="","-",52987.50547/4359960.60099*100)</f>
        <v>1.215320740695875</v>
      </c>
      <c r="E19" s="69">
        <f>IF(54672.94963="","-",54672.94963/5244769.76452*100)</f>
        <v>1.0424280203842973</v>
      </c>
      <c r="F19" s="69">
        <f>IF(OR(3628984.82886="",58201.56427="",52987.50547=""),"-",(52987.50547-58201.56427)/3628984.82886*100)</f>
        <v>-0.14367816471798084</v>
      </c>
      <c r="G19" s="69">
        <f>IF(OR(4359960.60099="",54672.94963="",52987.50547=""),"-",(54672.94963-52987.50547)/4359960.60099*100)</f>
        <v>0.038657325472558145</v>
      </c>
    </row>
    <row r="20" spans="1:7" s="11" customFormat="1" ht="15.75">
      <c r="A20" s="22" t="s">
        <v>9</v>
      </c>
      <c r="B20" s="69">
        <f>IF(53927.13="","-",53927.13)</f>
        <v>53927.13</v>
      </c>
      <c r="C20" s="69">
        <f>IF(OR(43102.31048="",53927.13=""),"-",53927.13/43102.31048*100)</f>
        <v>125.11424422368921</v>
      </c>
      <c r="D20" s="69">
        <f>IF(43102.31048="","-",43102.31048/4359960.60099*100)</f>
        <v>0.9885940361528247</v>
      </c>
      <c r="E20" s="69">
        <f>IF(53927.13="","-",53927.13/5244769.76452*100)</f>
        <v>1.028207765473484</v>
      </c>
      <c r="F20" s="69">
        <f>IF(OR(3628984.82886="",39183.75612="",43102.31048=""),"-",(43102.31048-39183.75612)/3628984.82886*100)</f>
        <v>0.10797935358773508</v>
      </c>
      <c r="G20" s="69">
        <f>IF(OR(4359960.60099="",53927.13="",43102.31048=""),"-",(53927.13-43102.31048)/4359960.60099*100)</f>
        <v>0.248277920620247</v>
      </c>
    </row>
    <row r="21" spans="1:7" s="11" customFormat="1" ht="15.75">
      <c r="A21" s="22" t="s">
        <v>85</v>
      </c>
      <c r="B21" s="69">
        <f>IF(41739.68971="","-",41739.68971)</f>
        <v>41739.68971</v>
      </c>
      <c r="C21" s="69">
        <f>IF(OR(35574.9593="",41739.68971=""),"-",41739.68971/35574.9593*100)</f>
        <v>117.32884740081768</v>
      </c>
      <c r="D21" s="69">
        <f>IF(35574.9593="","-",35574.9593/4359960.60099*100)</f>
        <v>0.8159468067652291</v>
      </c>
      <c r="E21" s="69">
        <f>IF(41739.68971="","-",41739.68971/5244769.76452*100)</f>
        <v>0.7958345472543352</v>
      </c>
      <c r="F21" s="69">
        <f>IF(OR(3628984.82886="",28194.24169="",35574.9593=""),"-",(35574.9593-28194.24169)/3628984.82886*100)</f>
        <v>0.2033824322246771</v>
      </c>
      <c r="G21" s="69">
        <f>IF(OR(4359960.60099="",41739.68971="",35574.9593=""),"-",(41739.68971-35574.9593)/4359960.60099*100)</f>
        <v>0.14139417701619125</v>
      </c>
    </row>
    <row r="22" spans="1:7" s="11" customFormat="1" ht="15.75">
      <c r="A22" s="22" t="s">
        <v>88</v>
      </c>
      <c r="B22" s="69">
        <f>IF(30201.61454="","-",30201.61454)</f>
        <v>30201.61454</v>
      </c>
      <c r="C22" s="69">
        <f>IF(OR(21131.78288="",30201.61454=""),"-",30201.61454/21131.78288*100)</f>
        <v>142.92033337416157</v>
      </c>
      <c r="D22" s="69">
        <f>IF(21131.78288="","-",21131.78288/4359960.60099*100)</f>
        <v>0.48467829904705295</v>
      </c>
      <c r="E22" s="69">
        <f>IF(30201.61454="","-",30201.61454/5244769.76452*100)</f>
        <v>0.5758425230466536</v>
      </c>
      <c r="F22" s="69">
        <f>IF(OR(3628984.82886="",16348.43648="",21131.78288=""),"-",(21131.78288-16348.43648)/3628984.82886*100)</f>
        <v>0.13180949013508625</v>
      </c>
      <c r="G22" s="69">
        <f>IF(OR(4359960.60099="",30201.61454="",21131.78288=""),"-",(30201.61454-21131.78288)/4359960.60099*100)</f>
        <v>0.20802554174321083</v>
      </c>
    </row>
    <row r="23" spans="1:7" s="11" customFormat="1" ht="15.75">
      <c r="A23" s="22" t="s">
        <v>94</v>
      </c>
      <c r="B23" s="69">
        <f>IF(23593.26512="","-",23593.26512)</f>
        <v>23593.26512</v>
      </c>
      <c r="C23" s="69">
        <f>IF(OR(17515.30058="",23593.26512=""),"-",23593.26512/17515.30058*100)</f>
        <v>134.70088630360232</v>
      </c>
      <c r="D23" s="69">
        <f>IF(17515.30058="","-",17515.30058/4359960.60099*100)</f>
        <v>0.40173070775049813</v>
      </c>
      <c r="E23" s="69">
        <f>IF(23593.26512="","-",23593.26512/5244769.76452*100)</f>
        <v>0.4498436762582895</v>
      </c>
      <c r="F23" s="69">
        <f>IF(OR(3628984.82886="",16031.58791="",17515.30058=""),"-",(17515.30058-16031.58791)/3628984.82886*100)</f>
        <v>0.040885061249101136</v>
      </c>
      <c r="G23" s="69">
        <f>IF(OR(4359960.60099="",23593.26512="",17515.30058=""),"-",(23593.26512-17515.30058)/4359960.60099*100)</f>
        <v>0.13940411614315734</v>
      </c>
    </row>
    <row r="24" spans="1:8" s="11" customFormat="1" ht="15.75">
      <c r="A24" s="22" t="s">
        <v>8</v>
      </c>
      <c r="B24" s="69">
        <f>IF(21163.62833="","-",21163.62833)</f>
        <v>21163.62833</v>
      </c>
      <c r="C24" s="69">
        <f>IF(OR(22762.92297="",21163.62833=""),"-",21163.62833/22762.92297*100)</f>
        <v>92.97412444742812</v>
      </c>
      <c r="D24" s="69">
        <f>IF(22762.92297="","-",22762.92297/4359960.60099*100)</f>
        <v>0.5220901070718691</v>
      </c>
      <c r="E24" s="69">
        <f>IF(21163.62833="","-",21163.62833/5244769.76452*100)</f>
        <v>0.40351872970989966</v>
      </c>
      <c r="F24" s="69">
        <f>IF(OR(3628984.82886="",17483.27535="",22762.92297=""),"-",(22762.92297-17483.27535)/3628984.82886*100)</f>
        <v>0.14548552471239</v>
      </c>
      <c r="G24" s="69">
        <f>IF(OR(4359960.60099="",21163.62833="",22762.92297=""),"-",(21163.62833-22762.92297)/4359960.60099*100)</f>
        <v>-0.03668140119515883</v>
      </c>
      <c r="H24" s="40"/>
    </row>
    <row r="25" spans="1:8" s="11" customFormat="1" ht="15.75">
      <c r="A25" s="22" t="s">
        <v>96</v>
      </c>
      <c r="B25" s="69">
        <f>IF(20969.1937="","-",20969.1937)</f>
        <v>20969.1937</v>
      </c>
      <c r="C25" s="69">
        <f>IF(OR(15322.35009="",20969.1937=""),"-",20969.1937/15322.35009*100)</f>
        <v>136.85363914041727</v>
      </c>
      <c r="D25" s="69">
        <f>IF(15322.35009="","-",15322.35009/4359960.60099*100)</f>
        <v>0.3514332236516268</v>
      </c>
      <c r="E25" s="69">
        <f>IF(20969.1937="","-",20969.1937/5244769.76452*100)</f>
        <v>0.3998115196944035</v>
      </c>
      <c r="F25" s="69">
        <f>IF(OR(3628984.82886="",14148.35199="",15322.35009=""),"-",(15322.35009-14148.35199)/3628984.82886*100)</f>
        <v>0.032350592668881385</v>
      </c>
      <c r="G25" s="69">
        <f>IF(OR(4359960.60099="",20969.1937="",15322.35009=""),"-",(20969.1937-15322.35009)/4359960.60099*100)</f>
        <v>0.12951593206410608</v>
      </c>
      <c r="H25" s="40"/>
    </row>
    <row r="26" spans="1:8" s="11" customFormat="1" ht="15.75">
      <c r="A26" s="22" t="s">
        <v>95</v>
      </c>
      <c r="B26" s="69">
        <f>IF(15610.06996="","-",15610.06996)</f>
        <v>15610.06996</v>
      </c>
      <c r="C26" s="69">
        <f>IF(OR(12271.07275="",15610.06996=""),"-",15610.06996/12271.07275*100)</f>
        <v>127.21031223614905</v>
      </c>
      <c r="D26" s="69">
        <f>IF(12271.07275="","-",12271.07275/4359960.60099*100)</f>
        <v>0.28144916601341885</v>
      </c>
      <c r="E26" s="69">
        <f>IF(15610.06996="","-",15610.06996/5244769.76452*100)</f>
        <v>0.29763117659805666</v>
      </c>
      <c r="F26" s="69">
        <f>IF(OR(3628984.82886="",11494.96175="",12271.07275=""),"-",(12271.07275-11494.96175)/3628984.82886*100)</f>
        <v>0.02138644928542742</v>
      </c>
      <c r="G26" s="69">
        <f>IF(OR(4359960.60099="",15610.06996="",12271.07275=""),"-",(15610.06996-12271.07275)/4359960.60099*100)</f>
        <v>0.07658319685828875</v>
      </c>
      <c r="H26" s="40"/>
    </row>
    <row r="27" spans="1:8" s="11" customFormat="1" ht="15.75">
      <c r="A27" s="22" t="s">
        <v>92</v>
      </c>
      <c r="B27" s="69">
        <f>IF(14309.80157="","-",14309.80157)</f>
        <v>14309.80157</v>
      </c>
      <c r="C27" s="69">
        <f>IF(OR(13137.28581="",14309.80157=""),"-",14309.80157/13137.28581*100)</f>
        <v>108.92509896608544</v>
      </c>
      <c r="D27" s="69">
        <f>IF(13137.28581="","-",13137.28581/4359960.60099*100)</f>
        <v>0.301316617563401</v>
      </c>
      <c r="E27" s="69">
        <f>IF(14309.80157="","-",14309.80157/5244769.76452*100)</f>
        <v>0.2728394612629794</v>
      </c>
      <c r="F27" s="69">
        <f>IF(OR(3628984.82886="",10875.13008="",13137.28581=""),"-",(13137.28581-10875.13008)/3628984.82886*100)</f>
        <v>0.06233577258328265</v>
      </c>
      <c r="G27" s="69">
        <f>IF(OR(4359960.60099="",14309.80157="",13137.28581=""),"-",(14309.80157-13137.28581)/4359960.60099*100)</f>
        <v>0.02689280631879475</v>
      </c>
      <c r="H27" s="40"/>
    </row>
    <row r="28" spans="1:8" s="11" customFormat="1" ht="15.75">
      <c r="A28" s="22" t="s">
        <v>87</v>
      </c>
      <c r="B28" s="69">
        <f>IF(12531.78063="","-",12531.78063)</f>
        <v>12531.78063</v>
      </c>
      <c r="C28" s="69">
        <f>IF(OR(10128.34925="",12531.78063=""),"-",12531.78063/10128.34925*100)</f>
        <v>123.72974431149282</v>
      </c>
      <c r="D28" s="69">
        <f>IF(10128.34925="","-",10128.34925/4359960.60099*100)</f>
        <v>0.23230368750809796</v>
      </c>
      <c r="E28" s="69">
        <f>IF(12531.78063="","-",12531.78063/5244769.76452*100)</f>
        <v>0.2389386225259195</v>
      </c>
      <c r="F28" s="69">
        <f>IF(OR(3628984.82886="",12908.42813="",10128.34925=""),"-",(10128.34925-12908.42813)/3628984.82886*100)</f>
        <v>-0.07660761924081473</v>
      </c>
      <c r="G28" s="69">
        <f>IF(OR(4359960.60099="",12531.78063="",10128.34925=""),"-",(12531.78063-10128.34925)/4359960.60099*100)</f>
        <v>0.05512507107184091</v>
      </c>
      <c r="H28" s="40"/>
    </row>
    <row r="29" spans="1:8" s="11" customFormat="1" ht="15.75">
      <c r="A29" s="22" t="s">
        <v>93</v>
      </c>
      <c r="B29" s="69">
        <f>IF(12100.15314="","-",12100.15314)</f>
        <v>12100.15314</v>
      </c>
      <c r="C29" s="69">
        <f>IF(OR(12315.28806="",12100.15314=""),"-",12100.15314/12315.28806*100)</f>
        <v>98.25310687860596</v>
      </c>
      <c r="D29" s="69">
        <f>IF(12315.28806="","-",12315.28806/4359960.60099*100)</f>
        <v>0.282463287792179</v>
      </c>
      <c r="E29" s="69">
        <f>IF(12100.15314="","-",12100.15314/5244769.76452*100)</f>
        <v>0.2307089478332402</v>
      </c>
      <c r="F29" s="69">
        <f>IF(OR(3628984.82886="",11073.57609="",12315.28806=""),"-",(12315.28806-11073.57609)/3628984.82886*100)</f>
        <v>0.03421651036193691</v>
      </c>
      <c r="G29" s="69">
        <f>IF(OR(4359960.60099="",12100.15314="",12315.28806=""),"-",(12100.15314-12315.28806)/4359960.60099*100)</f>
        <v>-0.004934331744905001</v>
      </c>
      <c r="H29" s="40"/>
    </row>
    <row r="30" spans="1:8" s="11" customFormat="1" ht="15.75">
      <c r="A30" s="22" t="s">
        <v>89</v>
      </c>
      <c r="B30" s="69">
        <f>IF(11128.475="","-",11128.475)</f>
        <v>11128.475</v>
      </c>
      <c r="C30" s="69">
        <f>IF(OR(7756.4341="",11128.475=""),"-",11128.475/7756.4341*100)</f>
        <v>143.4741126724715</v>
      </c>
      <c r="D30" s="69">
        <f>IF(7756.4341="","-",7756.4341/4359960.60099*100)</f>
        <v>0.17790147228024894</v>
      </c>
      <c r="E30" s="69">
        <f>IF(11128.475="","-",11128.475/5244769.76452*100)</f>
        <v>0.2121823359202971</v>
      </c>
      <c r="F30" s="69">
        <f>IF(OR(3628984.82886="",7906.16937="",7756.4341=""),"-",(7756.4341-7906.16937)/3628984.82886*100)</f>
        <v>-0.004126092476584882</v>
      </c>
      <c r="G30" s="69">
        <f>IF(OR(4359960.60099="",11128.475="",7756.4341=""),"-",(11128.475-7756.4341)/4359960.60099*100)</f>
        <v>0.07734108650510105</v>
      </c>
      <c r="H30" s="40"/>
    </row>
    <row r="31" spans="1:8" s="11" customFormat="1" ht="15.75">
      <c r="A31" s="22" t="s">
        <v>97</v>
      </c>
      <c r="B31" s="69">
        <f>IF(6093.18383="","-",6093.18383)</f>
        <v>6093.18383</v>
      </c>
      <c r="C31" s="69">
        <f>IF(OR(6032.70698="",6093.18383=""),"-",6093.18383/6032.70698*100)</f>
        <v>101.00248280250467</v>
      </c>
      <c r="D31" s="69">
        <f>IF(6032.70698="","-",6032.70698/4359960.60099*100)</f>
        <v>0.13836608933186634</v>
      </c>
      <c r="E31" s="69">
        <f>IF(6093.18383="","-",6093.18383/5244769.76452*100)</f>
        <v>0.11617638339855031</v>
      </c>
      <c r="F31" s="69">
        <f>IF(OR(3628984.82886="",5386.87292="",6032.70698=""),"-",(6032.70698-5386.87292)/3628984.82886*100)</f>
        <v>0.017796548909874636</v>
      </c>
      <c r="G31" s="69">
        <f>IF(OR(4359960.60099="",6093.18383="",6032.70698=""),"-",(6093.18383-6032.70698)/4359960.60099*100)</f>
        <v>0.0013870962500502357</v>
      </c>
      <c r="H31" s="40"/>
    </row>
    <row r="32" spans="1:7" s="11" customFormat="1" ht="15.75">
      <c r="A32" s="22" t="s">
        <v>90</v>
      </c>
      <c r="B32" s="69">
        <f>IF(4547.74125="","-",4547.74125)</f>
        <v>4547.74125</v>
      </c>
      <c r="C32" s="69">
        <f>IF(OR(4687.8444="",4547.74125=""),"-",4547.74125/4687.8444*100)</f>
        <v>97.01135238191779</v>
      </c>
      <c r="D32" s="69">
        <f>IF(4687.8444="","-",4687.8444/4359960.60099*100)</f>
        <v>0.10752033857681072</v>
      </c>
      <c r="E32" s="69">
        <f>IF(4547.74125="","-",4547.74125/5244769.76452*100)</f>
        <v>0.08671002644891522</v>
      </c>
      <c r="F32" s="69">
        <f>IF(OR(3628984.82886="",3930.43834="",4687.8444=""),"-",(4687.8444-3930.43834)/3628984.82886*100)</f>
        <v>0.0208710175357203</v>
      </c>
      <c r="G32" s="69">
        <f>IF(OR(4359960.60099="",4547.74125="",4687.8444=""),"-",(4547.74125-4687.8444)/4359960.60099*100)</f>
        <v>-0.003213404037829773</v>
      </c>
    </row>
    <row r="33" spans="1:7" s="11" customFormat="1" ht="15.75">
      <c r="A33" s="22" t="s">
        <v>252</v>
      </c>
      <c r="B33" s="69">
        <f>IF(2995.57155="","-",2995.57155)</f>
        <v>2995.57155</v>
      </c>
      <c r="C33" s="69" t="s">
        <v>236</v>
      </c>
      <c r="D33" s="69">
        <f>IF(1934.43986="","-",1934.43986/4359960.60099*100)</f>
        <v>0.04436828762995596</v>
      </c>
      <c r="E33" s="69">
        <f>IF(2995.57155="","-",2995.57155/5244769.76452*100)</f>
        <v>0.057115406099702344</v>
      </c>
      <c r="F33" s="69">
        <f>IF(OR(3628984.82886="",1792.35761="",1934.43986=""),"-",(1934.43986-1792.35761)/3628984.82886*100)</f>
        <v>0.0039152065026580255</v>
      </c>
      <c r="G33" s="69">
        <f>IF(OR(4359960.60099="",2995.57155="",1934.43986=""),"-",(2995.57155-1934.43986)/4359960.60099*100)</f>
        <v>0.02433810272870477</v>
      </c>
    </row>
    <row r="34" spans="1:7" s="11" customFormat="1" ht="15.75">
      <c r="A34" s="22" t="s">
        <v>98</v>
      </c>
      <c r="B34" s="69">
        <f>IF(887.81385="","-",887.81385)</f>
        <v>887.81385</v>
      </c>
      <c r="C34" s="69">
        <f>IF(OR(2136.57467="",887.81385=""),"-",887.81385/2136.57467*100)</f>
        <v>41.553139352719185</v>
      </c>
      <c r="D34" s="69">
        <f>IF(2136.57467="","-",2136.57467/4359960.60099*100)</f>
        <v>0.049004449019902974</v>
      </c>
      <c r="E34" s="69">
        <f>IF(887.81385="","-",887.81385/5244769.76452*100)</f>
        <v>0.01692760387702648</v>
      </c>
      <c r="F34" s="69">
        <f>IF(OR(3628984.82886="",2230.68703="",2136.57467=""),"-",(2136.57467-2230.68703)/3628984.82886*100)</f>
        <v>-0.0025933522579526546</v>
      </c>
      <c r="G34" s="69">
        <f>IF(OR(4359960.60099="",887.81385="",2136.57467=""),"-",(887.81385-2136.57467)/4359960.60099*100)</f>
        <v>-0.02864156202963046</v>
      </c>
    </row>
    <row r="35" spans="1:7" s="11" customFormat="1" ht="15.75">
      <c r="A35" s="22" t="s">
        <v>91</v>
      </c>
      <c r="B35" s="69">
        <f>IF(815.99669="","-",815.99669)</f>
        <v>815.99669</v>
      </c>
      <c r="C35" s="69">
        <f>IF(OR(923.67398="",815.99669=""),"-",815.99669/923.67398*100)</f>
        <v>88.34250045670875</v>
      </c>
      <c r="D35" s="69">
        <f>IF(923.67398="","-",923.67398/4359960.60099*100)</f>
        <v>0.021185374468527647</v>
      </c>
      <c r="E35" s="69">
        <f>IF(815.99669="","-",815.99669/5244769.76452*100)</f>
        <v>0.015558293817205908</v>
      </c>
      <c r="F35" s="69">
        <f>IF(OR(3628984.82886="",570.70657="",923.67398=""),"-",(923.67398-570.70657)/3628984.82886*100)</f>
        <v>0.009726340192799325</v>
      </c>
      <c r="G35" s="69">
        <f>IF(OR(4359960.60099="",815.99669="",923.67398=""),"-",(815.99669-923.67398)/4359960.60099*100)</f>
        <v>-0.002469684931913151</v>
      </c>
    </row>
    <row r="36" spans="1:7" s="11" customFormat="1" ht="15.75">
      <c r="A36" s="22" t="s">
        <v>99</v>
      </c>
      <c r="B36" s="69">
        <f>IF(78.61421="","-",78.61421)</f>
        <v>78.61421</v>
      </c>
      <c r="C36" s="69">
        <f>IF(OR(241.36622="",78.61421=""),"-",78.61421/241.36622*100)</f>
        <v>32.57051048817022</v>
      </c>
      <c r="D36" s="69">
        <f>IF(241.36622="","-",241.36622/4359960.60099*100)</f>
        <v>0.005535972502714677</v>
      </c>
      <c r="E36" s="69">
        <f>IF(78.61421="","-",78.61421/5244769.76452*100)</f>
        <v>0.0014989067877071007</v>
      </c>
      <c r="F36" s="69">
        <f>IF(OR(3628984.82886="",291.98601="",241.36622=""),"-",(241.36622-291.98601)/3628984.82886*100)</f>
        <v>-0.0013948746657037306</v>
      </c>
      <c r="G36" s="69">
        <f>IF(OR(4359960.60099="",78.61421="",241.36622=""),"-",(78.61421-241.36622)/4359960.60099*100)</f>
        <v>-0.0037328779980957735</v>
      </c>
    </row>
    <row r="37" spans="1:7" s="11" customFormat="1" ht="15.75">
      <c r="A37" s="57" t="s">
        <v>202</v>
      </c>
      <c r="B37" s="68">
        <f>IF(1299399.16486="","-",1299399.16486)</f>
        <v>1299399.16486</v>
      </c>
      <c r="C37" s="68">
        <f>IF(1081596.31546="","-",1299399.16486/1081596.31546*100)</f>
        <v>120.13716636112697</v>
      </c>
      <c r="D37" s="68">
        <f>IF(1081596.31546="","-",1081596.31546/4359960.60099*100)</f>
        <v>24.807479113788457</v>
      </c>
      <c r="E37" s="68">
        <f>IF(1299399.16486="","-",1299399.16486/5244769.76452*100)</f>
        <v>24.775142154956363</v>
      </c>
      <c r="F37" s="68">
        <f>IF(3628984.82886="","-",(1081596.31546-920208.44578)/3628984.82886*100)</f>
        <v>4.44719053098654</v>
      </c>
      <c r="G37" s="68">
        <f>IF(4359960.60099="","-",(1299399.16486-1081596.31546)/4359960.60099*100)</f>
        <v>4.99552333914541</v>
      </c>
    </row>
    <row r="38" spans="1:7" s="11" customFormat="1" ht="15.75">
      <c r="A38" s="75" t="s">
        <v>253</v>
      </c>
      <c r="B38" s="69">
        <f>IF(632151.39758="","-",632151.39758)</f>
        <v>632151.39758</v>
      </c>
      <c r="C38" s="69">
        <f>IF(OR(504335.48259="",632151.39758=""),"-",632151.39758/504335.48259*100)</f>
        <v>125.34343099034102</v>
      </c>
      <c r="D38" s="69">
        <f>IF(504335.48259="","-",504335.48259/4359960.60099*100)</f>
        <v>11.56743211109482</v>
      </c>
      <c r="E38" s="69">
        <f>IF(632151.39758="","-",632151.39758/5244769.76452*100)</f>
        <v>12.052986612613573</v>
      </c>
      <c r="F38" s="69">
        <f>IF(OR(3628984.82886="",472394.82431="",504335.48259=""),"-",(504335.48259-472394.82431)/3628984.82886*100)</f>
        <v>0.8801540867844795</v>
      </c>
      <c r="G38" s="69">
        <f>IF(OR(4359960.60099="",632151.39758="",504335.48259=""),"-",(632151.39758-504335.48259)/4359960.60099*100)</f>
        <v>2.9315841744298625</v>
      </c>
    </row>
    <row r="39" spans="1:7" s="11" customFormat="1" ht="15.75">
      <c r="A39" s="75" t="s">
        <v>11</v>
      </c>
      <c r="B39" s="69">
        <f>IF(527838.22115="","-",527838.22115)</f>
        <v>527838.22115</v>
      </c>
      <c r="C39" s="69">
        <f>IF(OR(464029.47821="",527838.22115=""),"-",527838.22115/464029.47821*100)</f>
        <v>113.75101064400977</v>
      </c>
      <c r="D39" s="69">
        <f>IF(464029.47821="","-",464029.47821/4359960.60099*100)</f>
        <v>10.642974115514587</v>
      </c>
      <c r="E39" s="69">
        <f>IF(527838.22115="","-",527838.22115/5244769.76452*100)</f>
        <v>10.06408755481963</v>
      </c>
      <c r="F39" s="69">
        <f>IF(OR(3628984.82886="",348606.84772="",464029.47821=""),"-",(464029.47821-348606.84772)/3628984.82886*100)</f>
        <v>3.1805762749980557</v>
      </c>
      <c r="G39" s="69">
        <f>IF(OR(4359960.60099="",527838.22115="",464029.47821=""),"-",(527838.22115-464029.47821)/4359960.60099*100)</f>
        <v>1.4635165034636142</v>
      </c>
    </row>
    <row r="40" spans="1:7" s="11" customFormat="1" ht="15.75">
      <c r="A40" s="75" t="s">
        <v>10</v>
      </c>
      <c r="B40" s="69">
        <f>IF(117562.44217="","-",117562.44217)</f>
        <v>117562.44217</v>
      </c>
      <c r="C40" s="69">
        <f>IF(OR(105228.247="",117562.44217=""),"-",117562.44217/105228.247*100)</f>
        <v>111.72137284582912</v>
      </c>
      <c r="D40" s="69">
        <f>IF(105228.247="","-",105228.247/4359960.60099*100)</f>
        <v>2.4135137133144324</v>
      </c>
      <c r="E40" s="69">
        <f>IF(117562.44217="","-",117562.44217/5244769.76452*100)</f>
        <v>2.2415176918783066</v>
      </c>
      <c r="F40" s="69">
        <f>IF(OR(3628984.82886="",92676.79427="",105228.247=""),"-",(105228.247-92676.79427)/3628984.82886*100)</f>
        <v>0.3458667732690105</v>
      </c>
      <c r="G40" s="69">
        <f>IF(OR(4359960.60099="",117562.44217="",105228.247=""),"-",(117562.44217-105228.247)/4359960.60099*100)</f>
        <v>0.2828969410227999</v>
      </c>
    </row>
    <row r="41" spans="1:7" s="11" customFormat="1" ht="15.75">
      <c r="A41" s="75" t="s">
        <v>15</v>
      </c>
      <c r="B41" s="69">
        <f>IF(10953.89284="","-",10953.89284)</f>
        <v>10953.89284</v>
      </c>
      <c r="C41" s="69" t="s">
        <v>338</v>
      </c>
      <c r="D41" s="69">
        <f>IF(4.47522="","-",4.47522/4359960.60099*100)</f>
        <v>0.00010264358808618198</v>
      </c>
      <c r="E41" s="69">
        <f>IF(10953.89284="","-",10953.89284/5244769.76452*100)</f>
        <v>0.20885364528489456</v>
      </c>
      <c r="F41" s="69">
        <f>IF(OR(3628984.82886="",21.8985="",4.47522=""),"-",(4.47522-21.8985)/3628984.82886*100)</f>
        <v>-0.0004801144347983759</v>
      </c>
      <c r="G41" s="69">
        <f>IF(OR(4359960.60099="",10953.89284="",4.47522=""),"-",(10953.89284-4.47522)/4359960.60099*100)</f>
        <v>0.2511357010316505</v>
      </c>
    </row>
    <row r="42" spans="1:7" s="11" customFormat="1" ht="15.75">
      <c r="A42" s="75" t="s">
        <v>12</v>
      </c>
      <c r="B42" s="69">
        <f>IF(5445.83466="","-",5445.83466)</f>
        <v>5445.83466</v>
      </c>
      <c r="C42" s="69" t="s">
        <v>339</v>
      </c>
      <c r="D42" s="69">
        <f>IF(1633.68638="","-",1633.68638/4359960.60099*100)</f>
        <v>0.037470209699350145</v>
      </c>
      <c r="E42" s="69">
        <f>IF(5445.83466="","-",5445.83466/5244769.76452*100)</f>
        <v>0.10383362672733837</v>
      </c>
      <c r="F42" s="69">
        <f>IF(OR(3628984.82886="",2827.97647="",1633.68638=""),"-",(1633.68638-2827.97647)/3628984.82886*100)</f>
        <v>-0.03290975703459117</v>
      </c>
      <c r="G42" s="69">
        <f>IF(OR(4359960.60099="",5445.83466="",1633.68638=""),"-",(5445.83466-1633.68638)/4359960.60099*100)</f>
        <v>0.0874353836852193</v>
      </c>
    </row>
    <row r="43" spans="1:7" s="11" customFormat="1" ht="15.75">
      <c r="A43" s="75" t="s">
        <v>14</v>
      </c>
      <c r="B43" s="69">
        <f>IF(3641.91019="","-",3641.91019)</f>
        <v>3641.91019</v>
      </c>
      <c r="C43" s="69">
        <f>IF(OR(5536.61564="",3641.91019=""),"-",3641.91019/5536.61564*100)</f>
        <v>65.77863494241042</v>
      </c>
      <c r="D43" s="69">
        <f>IF(5536.61564="","-",5536.61564/4359960.60099*100)</f>
        <v>0.1269877447686757</v>
      </c>
      <c r="E43" s="69">
        <f>IF(3641.91019="","-",3641.91019/5244769.76452*100)</f>
        <v>0.06943889538558815</v>
      </c>
      <c r="F43" s="69">
        <f>IF(OR(3628984.82886="",2679.20183="",5536.61564=""),"-",(5536.61564-2679.20183)/3628984.82886*100)</f>
        <v>0.07873865405212016</v>
      </c>
      <c r="G43" s="69">
        <f>IF(OR(4359960.60099="",3641.91019="",5536.61564=""),"-",(3641.91019-5536.61564)/4359960.60099*100)</f>
        <v>-0.043456939715688626</v>
      </c>
    </row>
    <row r="44" spans="1:7" s="11" customFormat="1" ht="15.75">
      <c r="A44" s="75" t="s">
        <v>16</v>
      </c>
      <c r="B44" s="69">
        <f>IF(955.69824="","-",955.69824)</f>
        <v>955.69824</v>
      </c>
      <c r="C44" s="69" t="s">
        <v>317</v>
      </c>
      <c r="D44" s="69">
        <f>IF(554.85149="","-",554.85149/4359960.60099*100)</f>
        <v>0.012726066604226007</v>
      </c>
      <c r="E44" s="69">
        <f>IF(955.69824="","-",955.69824/5244769.76452*100)</f>
        <v>0.018221929329770407</v>
      </c>
      <c r="F44" s="69">
        <f>IF(OR(3628984.82886="",288.61013="",554.85149=""),"-",(554.85149-288.61013)/3628984.82886*100)</f>
        <v>0.00733652447049872</v>
      </c>
      <c r="G44" s="69">
        <f>IF(OR(4359960.60099="",955.69824="",554.85149=""),"-",(955.69824-554.85149)/4359960.60099*100)</f>
        <v>0.009193815877808192</v>
      </c>
    </row>
    <row r="45" spans="1:7" s="11" customFormat="1" ht="15.75">
      <c r="A45" s="75" t="s">
        <v>13</v>
      </c>
      <c r="B45" s="69">
        <f>IF(545.4487="","-",545.4487)</f>
        <v>545.4487</v>
      </c>
      <c r="C45" s="69" t="s">
        <v>340</v>
      </c>
      <c r="D45" s="69">
        <f>IF(175.40622="","-",175.40622/4359960.60099*100)</f>
        <v>0.004023114795123863</v>
      </c>
      <c r="E45" s="69">
        <f>IF(545.4487="","-",545.4487/5244769.76452*100)</f>
        <v>0.0103998597553294</v>
      </c>
      <c r="F45" s="69">
        <f>IF(OR(3628984.82886="",591.16665="",175.40622=""),"-",(175.40622-591.16665)/3628984.82886*100)</f>
        <v>-0.011456659358110516</v>
      </c>
      <c r="G45" s="69">
        <f>IF(OR(4359960.60099="",545.4487="",175.40622=""),"-",(545.4487-175.40622)/4359960.60099*100)</f>
        <v>0.008487289539175559</v>
      </c>
    </row>
    <row r="46" spans="1:7" s="11" customFormat="1" ht="15.75">
      <c r="A46" s="75" t="s">
        <v>234</v>
      </c>
      <c r="B46" s="69">
        <f>IF(304.04573="","-",304.04573)</f>
        <v>304.04573</v>
      </c>
      <c r="C46" s="69" t="s">
        <v>232</v>
      </c>
      <c r="D46" s="69">
        <f>IF(95.42623="","-",95.42623/4359960.60099*100)</f>
        <v>0.0021886947780751028</v>
      </c>
      <c r="E46" s="69">
        <f>IF(304.04573="","-",304.04573/5244769.76452*100)</f>
        <v>0.005797122536375554</v>
      </c>
      <c r="F46" s="69">
        <f>IF(OR(3628984.82886="",119.69425="",95.42623=""),"-",(95.42623-119.69425)/3628984.82886*100)</f>
        <v>-0.0006687275131878544</v>
      </c>
      <c r="G46" s="69">
        <f>IF(OR(4359960.60099="",304.04573="",95.42623=""),"-",(304.04573-95.42623)/4359960.60099*100)</f>
        <v>0.004784894155984564</v>
      </c>
    </row>
    <row r="47" spans="1:7" s="11" customFormat="1" ht="15.75">
      <c r="A47" s="75" t="s">
        <v>17</v>
      </c>
      <c r="B47" s="69">
        <f>IF(0.2736="","-",0.2736)</f>
        <v>0.2736</v>
      </c>
      <c r="C47" s="69">
        <f>IF(OR(2.64648="",0.2736=""),"-",0.2736/2.64648*100)</f>
        <v>10.338260632991748</v>
      </c>
      <c r="D47" s="69">
        <f>IF(2.64648="","-",2.64648/4359960.60099*100)</f>
        <v>6.069963107921373E-05</v>
      </c>
      <c r="E47" s="69">
        <f>IF(0.2736="","-",0.2736/5244769.76452*100)</f>
        <v>5.216625558110458E-06</v>
      </c>
      <c r="F47" s="69">
        <f>IF(OR(3628984.82886="",1.43165="",2.64648=""),"-",(2.64648-1.43165)/3628984.82886*100)</f>
        <v>3.34757530629199E-05</v>
      </c>
      <c r="G47" s="69">
        <f>IF(OR(4359960.60099="",0.2736="",2.64648=""),"-",(0.2736-2.64648)/4359960.60099*100)</f>
        <v>-5.4424345014980154E-05</v>
      </c>
    </row>
    <row r="48" spans="1:7" s="11" customFormat="1" ht="15.75">
      <c r="A48" s="57" t="s">
        <v>201</v>
      </c>
      <c r="B48" s="68">
        <f>IF(1331216.13502="","-",1331216.13502)</f>
        <v>1331216.13502</v>
      </c>
      <c r="C48" s="68">
        <f>IF(1108618.31093="","-",1331216.13502/1108618.31093*100)</f>
        <v>120.07885147623682</v>
      </c>
      <c r="D48" s="68">
        <f>IF(1108618.31093="","-",1108618.31093/4359960.60099*100)</f>
        <v>25.42725525267981</v>
      </c>
      <c r="E48" s="68">
        <f>IF(1331216.13502="","-",1331216.13502/5244769.76452*100)</f>
        <v>25.38178403989165</v>
      </c>
      <c r="F48" s="68">
        <f>IF(3628984.82886="","-",(1108618.31093-913579.07308)/3628984.82886*100)</f>
        <v>5.37448479527728</v>
      </c>
      <c r="G48" s="68">
        <f>IF(4359960.60099="","-",(1331216.13502-1108618.31093)/4359960.60099*100)</f>
        <v>5.105500816669204</v>
      </c>
    </row>
    <row r="49" spans="1:7" s="11" customFormat="1" ht="15.75">
      <c r="A49" s="22" t="s">
        <v>103</v>
      </c>
      <c r="B49" s="69">
        <f>IF(549598.82714="","-",549598.82714)</f>
        <v>549598.82714</v>
      </c>
      <c r="C49" s="69">
        <f>IF(OR(451761.79399="",549598.82714=""),"-",549598.82714/451761.79399*100)</f>
        <v>121.65677453285606</v>
      </c>
      <c r="D49" s="69">
        <f>IF(451761.79399="","-",451761.79399/4359960.60099*100)</f>
        <v>10.361602668781458</v>
      </c>
      <c r="E49" s="69">
        <f>IF(549598.82714="","-",549598.82714/5244769.76452*100)</f>
        <v>10.478988627068917</v>
      </c>
      <c r="F49" s="69">
        <f>IF(OR(3628984.82886="",351431.48638="",451761.79399=""),"-",(451761.79399-351431.48638)/3628984.82886*100)</f>
        <v>2.764693498085454</v>
      </c>
      <c r="G49" s="69">
        <f>IF(OR(4359960.60099="",549598.82714="",451761.79399=""),"-",(549598.82714-451761.79399)/4359960.60099*100)</f>
        <v>2.2439889279683967</v>
      </c>
    </row>
    <row r="50" spans="1:7" s="11" customFormat="1" ht="15.75">
      <c r="A50" s="22" t="s">
        <v>100</v>
      </c>
      <c r="B50" s="69">
        <f>IF(307479.7742="","-",307479.7742)</f>
        <v>307479.7742</v>
      </c>
      <c r="C50" s="69">
        <f>IF(OR(273436.12508="",307479.7742=""),"-",307479.7742/273436.12508*100)</f>
        <v>112.45031142466627</v>
      </c>
      <c r="D50" s="69">
        <f>IF(273436.12508="","-",273436.12508/4359960.60099*100)</f>
        <v>6.271527431186233</v>
      </c>
      <c r="E50" s="69">
        <f>IF(307479.7742="","-",307479.7742/5244769.76452*100)</f>
        <v>5.862598131190616</v>
      </c>
      <c r="F50" s="69">
        <f>IF(OR(3628984.82886="",245308.69434="",273436.12508=""),"-",(273436.12508-245308.69434)/3628984.82886*100)</f>
        <v>0.7750771101690144</v>
      </c>
      <c r="G50" s="69">
        <f>IF(OR(4359960.60099="",307479.7742="",273436.12508=""),"-",(307479.7742-273436.12508)/4359960.60099*100)</f>
        <v>0.7808246962660579</v>
      </c>
    </row>
    <row r="51" spans="1:7" s="11" customFormat="1" ht="15.75">
      <c r="A51" s="22" t="s">
        <v>18</v>
      </c>
      <c r="B51" s="69">
        <f>IF(69302.91124="","-",69302.91124)</f>
        <v>69302.91124</v>
      </c>
      <c r="C51" s="69">
        <f>IF(OR(64535.32543="",69302.91124=""),"-",69302.91124/64535.32543*100)</f>
        <v>107.38755988016409</v>
      </c>
      <c r="D51" s="69">
        <f>IF(64535.32543="","-",64535.32543/4359960.60099*100)</f>
        <v>1.4801813900645386</v>
      </c>
      <c r="E51" s="69">
        <f>IF(69302.91124="","-",69302.91124/5244769.76452*100)</f>
        <v>1.3213718495103968</v>
      </c>
      <c r="F51" s="69">
        <f>IF(OR(3628984.82886="",48397.55875="",64535.32543=""),"-",(64535.32543-48397.55875)/3628984.82886*100)</f>
        <v>0.44469093812854205</v>
      </c>
      <c r="G51" s="69">
        <f>IF(OR(4359960.60099="",69302.91124="",64535.32543=""),"-",(69302.91124-64535.32543)/4359960.60099*100)</f>
        <v>0.10934928652606278</v>
      </c>
    </row>
    <row r="52" spans="1:7" s="11" customFormat="1" ht="15.75">
      <c r="A52" s="22" t="s">
        <v>121</v>
      </c>
      <c r="B52" s="69">
        <f>IF(49536.29957="","-",49536.29957)</f>
        <v>49536.29957</v>
      </c>
      <c r="C52" s="69">
        <f>IF(OR(33453.17182="",49536.29957=""),"-",49536.29957/33453.17182*100)</f>
        <v>148.0765406537167</v>
      </c>
      <c r="D52" s="69">
        <f>IF(33453.17182="","-",33453.17182/4359960.60099*100)</f>
        <v>0.7672815165440695</v>
      </c>
      <c r="E52" s="69">
        <f>IF(49536.29957="","-",49536.29957/5244769.76452*100)</f>
        <v>0.9444894970434141</v>
      </c>
      <c r="F52" s="69">
        <f>IF(OR(3628984.82886="",25939.3993="",33453.17182=""),"-",(33453.17182-25939.3993)/3628984.82886*100)</f>
        <v>0.20704888210735123</v>
      </c>
      <c r="G52" s="69">
        <f>IF(OR(4359960.60099="",49536.29957="",33453.17182=""),"-",(49536.29957-33453.17182)/4359960.60099*100)</f>
        <v>0.36888241022976365</v>
      </c>
    </row>
    <row r="53" spans="1:7" s="11" customFormat="1" ht="15.75">
      <c r="A53" s="22" t="s">
        <v>81</v>
      </c>
      <c r="B53" s="69">
        <f>IF(36953.13404="","-",36953.13404)</f>
        <v>36953.13404</v>
      </c>
      <c r="C53" s="69" t="s">
        <v>236</v>
      </c>
      <c r="D53" s="69">
        <f>IF(24372.75499="","-",24372.75499/4359960.60099*100)</f>
        <v>0.5590131934785321</v>
      </c>
      <c r="E53" s="69">
        <f>IF(36953.13404="","-",36953.13404/5244769.76452*100)</f>
        <v>0.7045711384698302</v>
      </c>
      <c r="F53" s="69">
        <f>IF(OR(3628984.82886="",20209.5654="",24372.75499=""),"-",(24372.75499-20209.5654)/3628984.82886*100)</f>
        <v>0.11472050136147346</v>
      </c>
      <c r="G53" s="69">
        <f>IF(OR(4359960.60099="",36953.13404="",24372.75499=""),"-",(36953.13404-24372.75499)/4359960.60099*100)</f>
        <v>0.2885434113130154</v>
      </c>
    </row>
    <row r="54" spans="1:7" s="11" customFormat="1" ht="15.75">
      <c r="A54" s="22" t="s">
        <v>117</v>
      </c>
      <c r="B54" s="69">
        <f>IF(34785.51415="","-",34785.51415)</f>
        <v>34785.51415</v>
      </c>
      <c r="C54" s="69">
        <f>IF(OR(34133.15508="",34785.51415=""),"-",34785.51415/34133.15508*100)</f>
        <v>101.9112181937797</v>
      </c>
      <c r="D54" s="69">
        <f>IF(34133.15508="","-",34133.15508/4359960.60099*100)</f>
        <v>0.7828776038079222</v>
      </c>
      <c r="E54" s="69">
        <f>IF(34785.51415="","-",34785.51415/5244769.76452*100)</f>
        <v>0.6632419669842946</v>
      </c>
      <c r="F54" s="69">
        <f>IF(OR(3628984.82886="",19550.53883="",34133.15508=""),"-",(34133.15508-19550.53883)/3628984.82886*100)</f>
        <v>0.4018373439874903</v>
      </c>
      <c r="G54" s="69">
        <f>IF(OR(4359960.60099="",34785.51415="",34133.15508=""),"-",(34785.51415-34133.15508)/4359960.60099*100)</f>
        <v>0.014962499199003705</v>
      </c>
    </row>
    <row r="55" spans="1:7" s="11" customFormat="1" ht="15.75">
      <c r="A55" s="22" t="s">
        <v>254</v>
      </c>
      <c r="B55" s="69">
        <f>IF(30916.59453="","-",30916.59453)</f>
        <v>30916.59453</v>
      </c>
      <c r="C55" s="69">
        <f>IF(OR(26038.67948="",30916.59453=""),"-",30916.59453/26038.67948*100)</f>
        <v>118.73334265566989</v>
      </c>
      <c r="D55" s="69">
        <f>IF(26038.67948="","-",26038.67948/4359960.60099*100)</f>
        <v>0.5972228160522252</v>
      </c>
      <c r="E55" s="69">
        <f>IF(30916.59453="","-",30916.59453/5244769.76452*100)</f>
        <v>0.5894747704493274</v>
      </c>
      <c r="F55" s="69">
        <f>IF(OR(3628984.82886="",26077.86737="",26038.67948=""),"-",(26038.67948-26077.86737)/3628984.82886*100)</f>
        <v>-0.0010798581930779646</v>
      </c>
      <c r="G55" s="69">
        <f>IF(OR(4359960.60099="",30916.59453="",26038.67948=""),"-",(30916.59453-26038.67948)/4359960.60099*100)</f>
        <v>0.11187979654890434</v>
      </c>
    </row>
    <row r="56" spans="1:7" s="11" customFormat="1" ht="15.75">
      <c r="A56" s="22" t="s">
        <v>114</v>
      </c>
      <c r="B56" s="69">
        <f>IF(27297.39="","-",27297.39)</f>
        <v>27297.39</v>
      </c>
      <c r="C56" s="69">
        <f>IF(OR(24798.01063="",27297.39=""),"-",27297.39/24798.01063*100)</f>
        <v>110.07895111947535</v>
      </c>
      <c r="D56" s="69">
        <f>IF(24798.01063="","-",24798.01063/4359960.60099*100)</f>
        <v>0.5687668513419412</v>
      </c>
      <c r="E56" s="69">
        <f>IF(27297.39="","-",27297.39/5244769.76452*100)</f>
        <v>0.5204687951158948</v>
      </c>
      <c r="F56" s="69">
        <f>IF(OR(3628984.82886="",20886.99472="",24798.01063=""),"-",(24798.01063-20886.99472)/3628984.82886*100)</f>
        <v>0.1077716246950693</v>
      </c>
      <c r="G56" s="69">
        <f>IF(OR(4359960.60099="",27297.39="",24798.01063=""),"-",(27297.39-24798.01063)/4359960.60099*100)</f>
        <v>0.057325732930533224</v>
      </c>
    </row>
    <row r="57" spans="1:7" s="11" customFormat="1" ht="15.75">
      <c r="A57" s="22" t="s">
        <v>111</v>
      </c>
      <c r="B57" s="69">
        <f>IF(25269.91853="","-",25269.91853)</f>
        <v>25269.91853</v>
      </c>
      <c r="C57" s="69" t="s">
        <v>236</v>
      </c>
      <c r="D57" s="69">
        <f>IF(16565.63333="","-",16565.63333/4359960.60099*100)</f>
        <v>0.3799491519771647</v>
      </c>
      <c r="E57" s="69">
        <f>IF(25269.91853="","-",25269.91853/5244769.76452*100)</f>
        <v>0.4818117794406691</v>
      </c>
      <c r="F57" s="69">
        <f>IF(OR(3628984.82886="",16418.02327="",16565.63333=""),"-",(16565.63333-16418.02327)/3628984.82886*100)</f>
        <v>0.004067530368992172</v>
      </c>
      <c r="G57" s="69">
        <f>IF(OR(4359960.60099="",25269.91853="",16565.63333=""),"-",(25269.91853-16565.63333)/4359960.60099*100)</f>
        <v>0.19964137286065264</v>
      </c>
    </row>
    <row r="58" spans="1:7" s="11" customFormat="1" ht="15.75">
      <c r="A58" s="22" t="s">
        <v>115</v>
      </c>
      <c r="B58" s="69">
        <f>IF(18488.5053="","-",18488.5053)</f>
        <v>18488.5053</v>
      </c>
      <c r="C58" s="69">
        <f>IF(OR(17209.32158="",18488.5053=""),"-",18488.5053/17209.32158*100)</f>
        <v>107.43308627277102</v>
      </c>
      <c r="D58" s="69">
        <f>IF(17209.32158="","-",17209.32158/4359960.60099*100)</f>
        <v>0.39471277736070237</v>
      </c>
      <c r="E58" s="69">
        <f>IF(18488.5053="","-",18488.5053/5244769.76452*100)</f>
        <v>0.35251319181009017</v>
      </c>
      <c r="F58" s="69">
        <f>IF(OR(3628984.82886="",13172.17365="",17209.32158=""),"-",(17209.32158-13172.17365)/3628984.82886*100)</f>
        <v>0.11124730800454237</v>
      </c>
      <c r="G58" s="69">
        <f>IF(OR(4359960.60099="",18488.5053="",17209.32158=""),"-",(18488.5053-17209.32158)/4359960.60099*100)</f>
        <v>0.029339341270871608</v>
      </c>
    </row>
    <row r="59" spans="1:7" s="11" customFormat="1" ht="15.75">
      <c r="A59" s="22" t="s">
        <v>126</v>
      </c>
      <c r="B59" s="69">
        <f>IF(13395.59334="","-",13395.59334)</f>
        <v>13395.59334</v>
      </c>
      <c r="C59" s="69">
        <f>IF(OR(11144.63403="",13395.59334=""),"-",13395.59334/11144.63403*100)</f>
        <v>120.19769607454755</v>
      </c>
      <c r="D59" s="69">
        <f>IF(11144.63403="","-",11144.63403/4359960.60099*100)</f>
        <v>0.25561318208860484</v>
      </c>
      <c r="E59" s="69">
        <f>IF(13395.59334="","-",13395.59334/5244769.76452*100)</f>
        <v>0.2554086059338386</v>
      </c>
      <c r="F59" s="69">
        <f>IF(OR(3628984.82886="",9135.97903="",11144.63403=""),"-",(11144.63403-9135.97903)/3628984.82886*100)</f>
        <v>0.05535032783895635</v>
      </c>
      <c r="G59" s="69">
        <f>IF(OR(4359960.60099="",13395.59334="",11144.63403=""),"-",(13395.59334-11144.63403)/4359960.60099*100)</f>
        <v>0.05162797364473622</v>
      </c>
    </row>
    <row r="60" spans="1:7" s="11" customFormat="1" ht="15.75">
      <c r="A60" s="22" t="s">
        <v>106</v>
      </c>
      <c r="B60" s="69">
        <f>IF(11800.90053="","-",11800.90053)</f>
        <v>11800.90053</v>
      </c>
      <c r="C60" s="69">
        <f>IF(OR(8134.91052="",11800.90053=""),"-",11800.90053/8134.91052*100)</f>
        <v>145.06490883934148</v>
      </c>
      <c r="D60" s="69">
        <f>IF(8134.91052="","-",8134.91052/4359960.60099*100)</f>
        <v>0.18658220255827165</v>
      </c>
      <c r="E60" s="69">
        <f>IF(11800.90053="","-",11800.90053/5244769.76452*100)</f>
        <v>0.22500321386519467</v>
      </c>
      <c r="F60" s="69">
        <f>IF(OR(3628984.82886="",10415.14143="",8134.91052=""),"-",(8134.91052-10415.14143)/3628984.82886*100)</f>
        <v>-0.06283385071952217</v>
      </c>
      <c r="G60" s="69">
        <f>IF(OR(4359960.60099="",11800.90053="",8134.91052=""),"-",(11800.90053-8134.91052)/4359960.60099*100)</f>
        <v>0.08408309949332059</v>
      </c>
    </row>
    <row r="61" spans="1:7" s="11" customFormat="1" ht="15.75">
      <c r="A61" s="22" t="s">
        <v>130</v>
      </c>
      <c r="B61" s="69">
        <f>IF(11007.85254="","-",11007.85254)</f>
        <v>11007.85254</v>
      </c>
      <c r="C61" s="69" t="s">
        <v>321</v>
      </c>
      <c r="D61" s="69">
        <f>IF(4904.25677="","-",4904.25677/4359960.60099*100)</f>
        <v>0.11248396989840707</v>
      </c>
      <c r="E61" s="69">
        <f>IF(11007.85254="","-",11007.85254/5244769.76452*100)</f>
        <v>0.20988247404998217</v>
      </c>
      <c r="F61" s="69">
        <f>IF(OR(3628984.82886="",3613.12049="",4904.25677=""),"-",(4904.25677-3613.12049)/3628984.82886*100)</f>
        <v>0.0355784424815464</v>
      </c>
      <c r="G61" s="69">
        <f>IF(OR(4359960.60099="",11007.85254="",4904.25677=""),"-",(11007.85254-4904.25677)/4359960.60099*100)</f>
        <v>0.13999199370320178</v>
      </c>
    </row>
    <row r="62" spans="1:7" s="11" customFormat="1" ht="15.75">
      <c r="A62" s="22" t="s">
        <v>116</v>
      </c>
      <c r="B62" s="69">
        <f>IF(10044.51432="","-",10044.51432)</f>
        <v>10044.51432</v>
      </c>
      <c r="C62" s="69">
        <f>IF(OR(8133.11008="",10044.51432=""),"-",10044.51432/8133.11008*100)</f>
        <v>123.50151690065407</v>
      </c>
      <c r="D62" s="69">
        <f>IF(8133.11008="","-",8133.11008/4359960.60099*100)</f>
        <v>0.18654090768969897</v>
      </c>
      <c r="E62" s="69">
        <f>IF(10044.51432="","-",10044.51432/5244769.76452*100)</f>
        <v>0.19151487617148572</v>
      </c>
      <c r="F62" s="69">
        <f>IF(OR(3628984.82886="",5349.93957="",8133.11008=""),"-",(8133.11008-5349.93957)/3628984.82886*100)</f>
        <v>0.07669281193645273</v>
      </c>
      <c r="G62" s="69">
        <f>IF(OR(4359960.60099="",10044.51432="",8133.11008=""),"-",(10044.51432-8133.11008)/4359960.60099*100)</f>
        <v>0.04383994294732811</v>
      </c>
    </row>
    <row r="63" spans="1:7" s="11" customFormat="1" ht="15.75">
      <c r="A63" s="22" t="s">
        <v>105</v>
      </c>
      <c r="B63" s="69">
        <f>IF(9365.38851="","-",9365.38851)</f>
        <v>9365.38851</v>
      </c>
      <c r="C63" s="69">
        <f>IF(OR(8260.68959="",9365.38851=""),"-",9365.38851/8260.68959*100)</f>
        <v>113.3729624865374</v>
      </c>
      <c r="D63" s="69">
        <f>IF(8260.68959="","-",8260.68959/4359960.60099*100)</f>
        <v>0.1894670696823333</v>
      </c>
      <c r="E63" s="69">
        <f>IF(9365.38851="","-",9365.38851/5244769.76452*100)</f>
        <v>0.178566246574927</v>
      </c>
      <c r="F63" s="69">
        <f>IF(OR(3628984.82886="",5575.27371="",8260.68959=""),"-",(8260.68959-5575.27371)/3628984.82886*100)</f>
        <v>0.07399909359344413</v>
      </c>
      <c r="G63" s="69">
        <f>IF(OR(4359960.60099="",9365.38851="",8260.68959=""),"-",(9365.38851-8260.68959)/4359960.60099*100)</f>
        <v>0.02533736015296012</v>
      </c>
    </row>
    <row r="64" spans="1:7" s="11" customFormat="1" ht="15.75">
      <c r="A64" s="22" t="s">
        <v>129</v>
      </c>
      <c r="B64" s="69">
        <f>IF(8971.03233="","-",8971.03233)</f>
        <v>8971.03233</v>
      </c>
      <c r="C64" s="69">
        <f>IF(OR(7121.48086="",8971.03233=""),"-",8971.03233/7121.48086*100)</f>
        <v>125.97144479301458</v>
      </c>
      <c r="D64" s="69">
        <f>IF(7121.48086="","-",7121.48086/4359960.60099*100)</f>
        <v>0.16333819297318766</v>
      </c>
      <c r="E64" s="69">
        <f>IF(8971.03233="","-",8971.03233/5244769.76452*100)</f>
        <v>0.17104720955889333</v>
      </c>
      <c r="F64" s="69">
        <f>IF(OR(3628984.82886="",4847.22747="",7121.48086=""),"-",(7121.48086-4847.22747)/3628984.82886*100)</f>
        <v>0.06266913468234112</v>
      </c>
      <c r="G64" s="69">
        <f>IF(OR(4359960.60099="",8971.03233="",7121.48086=""),"-",(8971.03233-7121.48086)/4359960.60099*100)</f>
        <v>0.04242128861393907</v>
      </c>
    </row>
    <row r="65" spans="1:7" s="11" customFormat="1" ht="15.75">
      <c r="A65" s="22" t="s">
        <v>113</v>
      </c>
      <c r="B65" s="69">
        <f>IF(7839.76831="","-",7839.76831)</f>
        <v>7839.76831</v>
      </c>
      <c r="C65" s="69">
        <f>IF(OR(5890.65141="",7839.76831=""),"-",7839.76831/5890.65141*100)</f>
        <v>133.08830830986142</v>
      </c>
      <c r="D65" s="69">
        <f>IF(5890.65141="","-",5890.65141/4359960.60099*100)</f>
        <v>0.13510790461414793</v>
      </c>
      <c r="E65" s="69">
        <f>IF(7839.76831="","-",7839.76831/5244769.76452*100)</f>
        <v>0.1494778352909738</v>
      </c>
      <c r="F65" s="69">
        <f>IF(OR(3628984.82886="",3617.99164="",5890.65141=""),"-",(5890.65141-3617.99164)/3628984.82886*100)</f>
        <v>0.06262522102397236</v>
      </c>
      <c r="G65" s="69">
        <f>IF(OR(4359960.60099="",7839.76831="",5890.65141=""),"-",(7839.76831-5890.65141)/4359960.60099*100)</f>
        <v>0.044704920029722775</v>
      </c>
    </row>
    <row r="66" spans="1:7" s="11" customFormat="1" ht="15.75">
      <c r="A66" s="22" t="s">
        <v>123</v>
      </c>
      <c r="B66" s="69">
        <f>IF(7473.53283="","-",7473.53283)</f>
        <v>7473.53283</v>
      </c>
      <c r="C66" s="69">
        <f>IF(OR(6687.21904="",7473.53283=""),"-",7473.53283/6687.21904*100)</f>
        <v>111.75845721960978</v>
      </c>
      <c r="D66" s="69">
        <f>IF(6687.21904="","-",6687.21904/4359960.60099*100)</f>
        <v>0.15337796948168655</v>
      </c>
      <c r="E66" s="69">
        <f>IF(7473.53283="","-",7473.53283/5244769.76452*100)</f>
        <v>0.14249496480393123</v>
      </c>
      <c r="F66" s="69">
        <f>IF(OR(3628984.82886="",5607.9503="",6687.21904=""),"-",(6687.21904-5607.9503)/3628984.82886*100)</f>
        <v>0.029740238410945308</v>
      </c>
      <c r="G66" s="69">
        <f>IF(OR(4359960.60099="",7473.53283="",6687.21904=""),"-",(7473.53283-6687.21904)/4359960.60099*100)</f>
        <v>0.018034882925810267</v>
      </c>
    </row>
    <row r="67" spans="1:7" s="11" customFormat="1" ht="15.75">
      <c r="A67" s="22" t="s">
        <v>107</v>
      </c>
      <c r="B67" s="69">
        <f>IF(6954.88427="","-",6954.88427)</f>
        <v>6954.88427</v>
      </c>
      <c r="C67" s="69">
        <f>IF(OR(8302.8707="",6954.88427=""),"-",6954.88427/8302.8707*100)</f>
        <v>83.76481486096128</v>
      </c>
      <c r="D67" s="69">
        <f>IF(8302.8707="","-",8302.8707/4359960.60099*100)</f>
        <v>0.19043453507618158</v>
      </c>
      <c r="E67" s="69">
        <f>IF(6954.88427="","-",6954.88427/5244769.76452*100)</f>
        <v>0.1326060929699649</v>
      </c>
      <c r="F67" s="69">
        <f>IF(OR(3628984.82886="",4714.26469="",8302.8707=""),"-",(8302.8707-4714.26469)/3628984.82886*100)</f>
        <v>0.09888732467165798</v>
      </c>
      <c r="G67" s="69">
        <f>IF(OR(4359960.60099="",6954.88427="",8302.8707=""),"-",(6954.88427-8302.8707)/4359960.60099*100)</f>
        <v>-0.030917399338285707</v>
      </c>
    </row>
    <row r="68" spans="1:7" s="11" customFormat="1" ht="15.75">
      <c r="A68" s="22" t="s">
        <v>127</v>
      </c>
      <c r="B68" s="69">
        <f>IF(6380.40014="","-",6380.40014)</f>
        <v>6380.40014</v>
      </c>
      <c r="C68" s="69">
        <f>IF(OR(7520.08676="",6380.40014=""),"-",6380.40014/7520.08676*100)</f>
        <v>84.84476766861131</v>
      </c>
      <c r="D68" s="69">
        <f>IF(7520.08676="","-",7520.08676/4359960.60099*100)</f>
        <v>0.17248061274435467</v>
      </c>
      <c r="E68" s="69">
        <f>IF(6380.40014="","-",6380.40014/5244769.76452*100)</f>
        <v>0.12165262588192817</v>
      </c>
      <c r="F68" s="69">
        <f>IF(OR(3628984.82886="",5723.41537="",7520.08676=""),"-",(7520.08676-5723.41537)/3628984.82886*100)</f>
        <v>0.04950892535322067</v>
      </c>
      <c r="G68" s="69">
        <f>IF(OR(4359960.60099="",6380.40014="",7520.08676=""),"-",(6380.40014-7520.08676)/4359960.60099*100)</f>
        <v>-0.026139837588009765</v>
      </c>
    </row>
    <row r="69" spans="1:7" s="11" customFormat="1" ht="15.75">
      <c r="A69" s="22" t="s">
        <v>132</v>
      </c>
      <c r="B69" s="69">
        <f>IF(5881.33716="","-",5881.33716)</f>
        <v>5881.33716</v>
      </c>
      <c r="C69" s="69" t="s">
        <v>236</v>
      </c>
      <c r="D69" s="69">
        <f>IF(3869.52708="","-",3869.52708/4359960.60099*100)</f>
        <v>0.08875142310050602</v>
      </c>
      <c r="E69" s="69">
        <f>IF(5881.33716="","-",5881.33716/5244769.76452*100)</f>
        <v>0.11213718473947652</v>
      </c>
      <c r="F69" s="69">
        <f>IF(OR(3628984.82886="",2940.47077="",3869.52708=""),"-",(3869.52708-2940.47077)/3628984.82886*100)</f>
        <v>0.025600997353627718</v>
      </c>
      <c r="G69" s="69">
        <f>IF(OR(4359960.60099="",5881.33716="",3869.52708=""),"-",(5881.33716-3869.52708)/4359960.60099*100)</f>
        <v>0.04614284999601111</v>
      </c>
    </row>
    <row r="70" spans="1:7" s="11" customFormat="1" ht="15.75">
      <c r="A70" s="22" t="s">
        <v>131</v>
      </c>
      <c r="B70" s="69">
        <f>IF(5125.26619="","-",5125.26619)</f>
        <v>5125.26619</v>
      </c>
      <c r="C70" s="69">
        <f>IF(OR(3804.59177="",5125.26619=""),"-",5125.26619/3804.59177*100)</f>
        <v>134.71264461048867</v>
      </c>
      <c r="D70" s="69">
        <f>IF(3804.59177="","-",3804.59177/4359960.60099*100)</f>
        <v>0.08726206766951301</v>
      </c>
      <c r="E70" s="69">
        <f>IF(5125.26619="","-",5125.26619/5244769.76452*100)</f>
        <v>0.09772147148711043</v>
      </c>
      <c r="F70" s="69">
        <f>IF(OR(3628984.82886="",2950.13523="",3804.59177=""),"-",(3804.59177-2950.13523)/3628984.82886*100)</f>
        <v>0.02354533238069273</v>
      </c>
      <c r="G70" s="69">
        <f>IF(OR(4359960.60099="",5125.26619="",3804.59177=""),"-",(5125.26619-3804.59177)/4359960.60099*100)</f>
        <v>0.03029097142988218</v>
      </c>
    </row>
    <row r="71" spans="1:7" s="11" customFormat="1" ht="15.75">
      <c r="A71" s="22" t="s">
        <v>110</v>
      </c>
      <c r="B71" s="69">
        <f>IF(5096.83243="","-",5096.83243)</f>
        <v>5096.83243</v>
      </c>
      <c r="C71" s="69">
        <f>IF(OR(5018.5401="",5096.83243=""),"-",5096.83243/5018.5401*100)</f>
        <v>101.56006185942404</v>
      </c>
      <c r="D71" s="69">
        <f>IF(5018.5401="","-",5018.5401/4359960.60099*100)</f>
        <v>0.11510517087838956</v>
      </c>
      <c r="E71" s="69">
        <f>IF(5096.83243="","-",5096.83243/5244769.76452*100)</f>
        <v>0.09717933596397746</v>
      </c>
      <c r="F71" s="69">
        <f>IF(OR(3628984.82886="",4338.74533="",5018.5401=""),"-",(5018.5401-4338.74533)/3628984.82886*100)</f>
        <v>0.01873236737155359</v>
      </c>
      <c r="G71" s="69">
        <f>IF(OR(4359960.60099="",5096.83243="",5018.5401=""),"-",(5096.83243-5018.5401)/4359960.60099*100)</f>
        <v>0.001795711869098603</v>
      </c>
    </row>
    <row r="72" spans="1:7" s="11" customFormat="1" ht="15.75">
      <c r="A72" s="22" t="s">
        <v>128</v>
      </c>
      <c r="B72" s="69">
        <f>IF(4599.66553="","-",4599.66553)</f>
        <v>4599.66553</v>
      </c>
      <c r="C72" s="69">
        <f>IF(OR(5777.4053="",4599.66553=""),"-",4599.66553/5777.4053*100)</f>
        <v>79.61472825872195</v>
      </c>
      <c r="D72" s="69">
        <f>IF(5777.4053="","-",5777.4053/4359960.60099*100)</f>
        <v>0.13251049329868134</v>
      </c>
      <c r="E72" s="69">
        <f>IF(4599.66553="","-",4599.66553/5244769.76452*100)</f>
        <v>0.08770004664677518</v>
      </c>
      <c r="F72" s="69">
        <f>IF(OR(3628984.82886="",5670.30674="",5777.4053=""),"-",(5777.4053-5670.30674)/3628984.82886*100)</f>
        <v>0.0029511988903421246</v>
      </c>
      <c r="G72" s="69">
        <f>IF(OR(4359960.60099="",4599.66553="",5777.4053=""),"-",(4599.66553-5777.4053)/4359960.60099*100)</f>
        <v>-0.027012624144644226</v>
      </c>
    </row>
    <row r="73" spans="1:7" s="11" customFormat="1" ht="15.75">
      <c r="A73" s="22" t="s">
        <v>120</v>
      </c>
      <c r="B73" s="69">
        <f>IF(4295.00822="","-",4295.00822)</f>
        <v>4295.00822</v>
      </c>
      <c r="C73" s="69" t="s">
        <v>147</v>
      </c>
      <c r="D73" s="69">
        <f>IF(1649.10408="","-",1649.10408/4359960.60099*100)</f>
        <v>0.037823829867305314</v>
      </c>
      <c r="E73" s="69">
        <f>IF(4295.00822="","-",4295.00822/5244769.76452*100)</f>
        <v>0.08189126335068167</v>
      </c>
      <c r="F73" s="69">
        <f>IF(OR(3628984.82886="",932.53739="",1649.10408=""),"-",(1649.10408-932.53739)/3628984.82886*100)</f>
        <v>0.01974565129899153</v>
      </c>
      <c r="G73" s="69">
        <f>IF(OR(4359960.60099="",4295.00822="",1649.10408=""),"-",(4295.00822-1649.10408)/4359960.60099*100)</f>
        <v>0.06068642316169563</v>
      </c>
    </row>
    <row r="74" spans="1:7" s="11" customFormat="1" ht="15.75">
      <c r="A74" s="22" t="s">
        <v>109</v>
      </c>
      <c r="B74" s="69">
        <f>IF(4229.02648="","-",4229.02648)</f>
        <v>4229.02648</v>
      </c>
      <c r="C74" s="69">
        <f>IF(OR(6549.11645="",4229.02648=""),"-",4229.02648/6549.11645*100)</f>
        <v>64.57400036000276</v>
      </c>
      <c r="D74" s="69">
        <f>IF(6549.11645="","-",6549.11645/4359960.60099*100)</f>
        <v>0.15021045026216331</v>
      </c>
      <c r="E74" s="69">
        <f>IF(4229.02648="","-",4229.02648/5244769.76452*100)</f>
        <v>0.08063321499084031</v>
      </c>
      <c r="F74" s="69">
        <f>IF(OR(3628984.82886="",5620.44245="",6549.11645=""),"-",(6549.11645-5620.44245)/3628984.82886*100)</f>
        <v>0.025590462451498652</v>
      </c>
      <c r="G74" s="69">
        <f>IF(OR(4359960.60099="",4229.02648="",6549.11645=""),"-",(4229.02648-6549.11645)/4359960.60099*100)</f>
        <v>-0.0532135535691122</v>
      </c>
    </row>
    <row r="75" spans="1:7" s="11" customFormat="1" ht="15.75">
      <c r="A75" s="22" t="s">
        <v>119</v>
      </c>
      <c r="B75" s="69">
        <f>IF(4179.83669="","-",4179.83669)</f>
        <v>4179.83669</v>
      </c>
      <c r="C75" s="69" t="s">
        <v>317</v>
      </c>
      <c r="D75" s="69">
        <f>IF(2481.53814="","-",2481.53814/4359960.60099*100)</f>
        <v>0.056916526709817665</v>
      </c>
      <c r="E75" s="69">
        <f>IF(4179.83669="","-",4179.83669/5244769.76452*100)</f>
        <v>0.0796953322579745</v>
      </c>
      <c r="F75" s="69">
        <f>IF(OR(3628984.82886="",1949.9006="",2481.53814=""),"-",(2481.53814-1949.9006)/3628984.82886*100)</f>
        <v>0.014649759232170928</v>
      </c>
      <c r="G75" s="69">
        <f>IF(OR(4359960.60099="",4179.83669="",2481.53814=""),"-",(4179.83669-2481.53814)/4359960.60099*100)</f>
        <v>0.038952153595479135</v>
      </c>
    </row>
    <row r="76" spans="1:7" s="11" customFormat="1" ht="15.75">
      <c r="A76" s="22" t="s">
        <v>83</v>
      </c>
      <c r="B76" s="69">
        <f>IF(4128.50508="","-",4128.50508)</f>
        <v>4128.50508</v>
      </c>
      <c r="C76" s="69" t="s">
        <v>317</v>
      </c>
      <c r="D76" s="69">
        <f>IF(2420.37628="","-",2420.37628/4359960.60099*100)</f>
        <v>0.055513719079259886</v>
      </c>
      <c r="E76" s="69">
        <f>IF(4128.50508="","-",4128.50508/5244769.76452*100)</f>
        <v>0.07871661227016397</v>
      </c>
      <c r="F76" s="69">
        <f>IF(OR(3628984.82886="",2707.12676="",2420.37628=""),"-",(2420.37628-2707.12676)/3628984.82886*100)</f>
        <v>-0.007901672052183234</v>
      </c>
      <c r="G76" s="69">
        <f>IF(OR(4359960.60099="",4128.50508="",2420.37628=""),"-",(4128.50508-2420.37628)/4359960.60099*100)</f>
        <v>0.039177620082441605</v>
      </c>
    </row>
    <row r="77" spans="1:7" s="11" customFormat="1" ht="15.75">
      <c r="A77" s="22" t="s">
        <v>135</v>
      </c>
      <c r="B77" s="69">
        <f>IF(4071.09238="","-",4071.09238)</f>
        <v>4071.09238</v>
      </c>
      <c r="C77" s="69" t="s">
        <v>324</v>
      </c>
      <c r="D77" s="69">
        <f>IF(2064.58403="","-",2064.58403/4359960.60099*100)</f>
        <v>0.04735327263120686</v>
      </c>
      <c r="E77" s="69">
        <f>IF(4071.09238="","-",4071.09238/5244769.76452*100)</f>
        <v>0.07762194648734186</v>
      </c>
      <c r="F77" s="69">
        <f>IF(OR(3628984.82886="",1425.85691="",2064.58403=""),"-",(2064.58403-1425.85691)/3628984.82886*100)</f>
        <v>0.017600710670390103</v>
      </c>
      <c r="G77" s="69">
        <f>IF(OR(4359960.60099="",4071.09238="",2064.58403=""),"-",(4071.09238-2064.58403)/4359960.60099*100)</f>
        <v>0.04602124958524602</v>
      </c>
    </row>
    <row r="78" spans="1:7" s="11" customFormat="1" ht="15.75">
      <c r="A78" s="22" t="s">
        <v>134</v>
      </c>
      <c r="B78" s="69">
        <f>IF(2547.33703="","-",2547.33703)</f>
        <v>2547.33703</v>
      </c>
      <c r="C78" s="69">
        <f>IF(OR(3758.83661="",2547.33703=""),"-",2547.33703/3758.83661*100)</f>
        <v>67.76929391458705</v>
      </c>
      <c r="D78" s="69">
        <f>IF(3758.83661="","-",3758.83661/4359960.60099*100)</f>
        <v>0.08621262791105255</v>
      </c>
      <c r="E78" s="69">
        <f>IF(2547.33703="","-",2547.33703/5244769.76452*100)</f>
        <v>0.048569091578286504</v>
      </c>
      <c r="F78" s="69">
        <f>IF(OR(3628984.82886="",1634.77017="",3758.83661=""),"-",(3758.83661-1634.77017)/3628984.82886*100)</f>
        <v>0.05853059574975541</v>
      </c>
      <c r="G78" s="69">
        <f>IF(OR(4359960.60099="",2547.33703="",3758.83661=""),"-",(2547.33703-3758.83661)/4359960.60099*100)</f>
        <v>-0.02778693871052204</v>
      </c>
    </row>
    <row r="79" spans="1:7" s="11" customFormat="1" ht="15.75">
      <c r="A79" s="22" t="s">
        <v>102</v>
      </c>
      <c r="B79" s="69">
        <f>IF(2523.97744="","-",2523.97744)</f>
        <v>2523.97744</v>
      </c>
      <c r="C79" s="69">
        <f>IF(OR(1789.37109="",2523.97744=""),"-",2523.97744/1789.37109*100)</f>
        <v>141.05388502728073</v>
      </c>
      <c r="D79" s="69">
        <f>IF(1789.37109="","-",1789.37109/4359960.60099*100)</f>
        <v>0.04104099219597751</v>
      </c>
      <c r="E79" s="69">
        <f>IF(2523.97744="","-",2523.97744/5244769.76452*100)</f>
        <v>0.04812370329531508</v>
      </c>
      <c r="F79" s="69">
        <f>IF(OR(3628984.82886="",1407.27622="",1789.37109=""),"-",(1789.37109-1407.27622)/3628984.82886*100)</f>
        <v>0.010528974024948746</v>
      </c>
      <c r="G79" s="69">
        <f>IF(OR(4359960.60099="",2523.97744="",1789.37109=""),"-",(2523.97744-1789.37109)/4359960.60099*100)</f>
        <v>0.016848921750191863</v>
      </c>
    </row>
    <row r="80" spans="1:7" s="11" customFormat="1" ht="15.75">
      <c r="A80" s="22" t="s">
        <v>82</v>
      </c>
      <c r="B80" s="69">
        <f>IF(2470.92978="","-",2470.92978)</f>
        <v>2470.92978</v>
      </c>
      <c r="C80" s="69" t="s">
        <v>340</v>
      </c>
      <c r="D80" s="69">
        <f>IF(799.79017="","-",799.79017/4359960.60099*100)</f>
        <v>0.018343977003333345</v>
      </c>
      <c r="E80" s="69">
        <f>IF(2470.92978="","-",2470.92978/5244769.76452*100)</f>
        <v>0.04711226404475238</v>
      </c>
      <c r="F80" s="69">
        <f>IF(OR(3628984.82886="",3121.13969="",799.79017=""),"-",(799.79017-3121.13969)/3628984.82886*100)</f>
        <v>-0.06396691167014944</v>
      </c>
      <c r="G80" s="69">
        <f>IF(OR(4359960.60099="",2470.92978="",799.79017=""),"-",(2470.92978-799.79017)/4359960.60099*100)</f>
        <v>0.03832923649861745</v>
      </c>
    </row>
    <row r="81" spans="1:7" s="11" customFormat="1" ht="15.75">
      <c r="A81" s="22" t="s">
        <v>255</v>
      </c>
      <c r="B81" s="69">
        <f>IF(2082.43093="","-",2082.43093)</f>
        <v>2082.43093</v>
      </c>
      <c r="C81" s="69">
        <f>IF(OR(1534.56481="",2082.43093=""),"-",2082.43093/1534.56481*100)</f>
        <v>135.70172575506928</v>
      </c>
      <c r="D81" s="69">
        <f>IF(1534.56481="","-",1534.56481/4359960.60099*100)</f>
        <v>0.035196758650790375</v>
      </c>
      <c r="E81" s="69">
        <f>IF(2082.43093="","-",2082.43093/5244769.76452*100)</f>
        <v>0.03970490647820808</v>
      </c>
      <c r="F81" s="69">
        <f>IF(OR(3628984.82886="",1604.19045="",1534.56481=""),"-",(1534.56481-1604.19045)/3628984.82886*100)</f>
        <v>-0.001918598266002451</v>
      </c>
      <c r="G81" s="69">
        <f>IF(OR(4359960.60099="",2082.43093="",1534.56481=""),"-",(2082.43093-1534.56481)/4359960.60099*100)</f>
        <v>0.0125658502481788</v>
      </c>
    </row>
    <row r="82" spans="1:7" s="11" customFormat="1" ht="15.75">
      <c r="A82" s="22" t="s">
        <v>118</v>
      </c>
      <c r="B82" s="69">
        <f>IF(2002.93463="","-",2002.93463)</f>
        <v>2002.93463</v>
      </c>
      <c r="C82" s="69">
        <f>IF(OR(1472.97559="",2002.93463=""),"-",2002.93463/1472.97559*100)</f>
        <v>135.97880668205778</v>
      </c>
      <c r="D82" s="69">
        <f>IF(1472.97559="","-",1472.97559/4359960.60099*100)</f>
        <v>0.03378414909679543</v>
      </c>
      <c r="E82" s="69">
        <f>IF(2002.93463="","-",2002.93463/5244769.76452*100)</f>
        <v>0.03818918122106182</v>
      </c>
      <c r="F82" s="69">
        <f>IF(OR(3628984.82886="",1319.56275="",1472.97559=""),"-",(1472.97559-1319.56275)/3628984.82886*100)</f>
        <v>0.004227431285464831</v>
      </c>
      <c r="G82" s="69">
        <f>IF(OR(4359960.60099="",2002.93463="",1472.97559=""),"-",(2002.93463-1472.97559)/4359960.60099*100)</f>
        <v>0.012155133692714197</v>
      </c>
    </row>
    <row r="83" spans="1:7" s="11" customFormat="1" ht="15.75">
      <c r="A83" s="22" t="s">
        <v>138</v>
      </c>
      <c r="B83" s="69">
        <f>IF(1788.6137="","-",1788.6137)</f>
        <v>1788.6137</v>
      </c>
      <c r="C83" s="69">
        <f>IF(OR(1830.03866="",1788.6137=""),"-",1788.6137/1830.03866*100)</f>
        <v>97.73638880393926</v>
      </c>
      <c r="D83" s="69">
        <f>IF(1830.03866="","-",1830.03866/4359960.60099*100)</f>
        <v>0.0419737430559455</v>
      </c>
      <c r="E83" s="69">
        <f>IF(1788.6137="","-",1788.6137/5244769.76452*100)</f>
        <v>0.03410280680192439</v>
      </c>
      <c r="F83" s="69">
        <f>IF(OR(3628984.82886="",796.66298="",1830.03866=""),"-",(1830.03866-796.66298)/3628984.82886*100)</f>
        <v>0.028475613118631365</v>
      </c>
      <c r="G83" s="69">
        <f>IF(OR(4359960.60099="",1788.6137="",1830.03866=""),"-",(1788.6137-1830.03866)/4359960.60099*100)</f>
        <v>-0.0009501223472201472</v>
      </c>
    </row>
    <row r="84" spans="1:7" s="11" customFormat="1" ht="15.75">
      <c r="A84" s="22" t="s">
        <v>112</v>
      </c>
      <c r="B84" s="69">
        <f>IF(1667.86448="","-",1667.86448)</f>
        <v>1667.86448</v>
      </c>
      <c r="C84" s="69">
        <f>IF(OR(1269.70409="",1667.86448=""),"-",1667.86448/1269.70409*100)</f>
        <v>131.3585183457982</v>
      </c>
      <c r="D84" s="69">
        <f>IF(1269.70409="","-",1269.70409/4359960.60099*100)</f>
        <v>0.02912191659969801</v>
      </c>
      <c r="E84" s="69">
        <f>IF(1667.86448="","-",1667.86448/5244769.76452*100)</f>
        <v>0.03180052804763381</v>
      </c>
      <c r="F84" s="69">
        <f>IF(OR(3628984.82886="",1690.17117="",1269.70409=""),"-",(1269.70409-1690.17117)/3628984.82886*100)</f>
        <v>-0.011586355408713146</v>
      </c>
      <c r="G84" s="69">
        <f>IF(OR(4359960.60099="",1667.86448="",1269.70409=""),"-",(1667.86448-1269.70409)/4359960.60099*100)</f>
        <v>0.00913220155956435</v>
      </c>
    </row>
    <row r="85" spans="1:7" s="11" customFormat="1" ht="15.75">
      <c r="A85" s="22" t="s">
        <v>198</v>
      </c>
      <c r="B85" s="69">
        <f>IF(1629.35459="","-",1629.35459)</f>
        <v>1629.35459</v>
      </c>
      <c r="C85" s="69" t="s">
        <v>321</v>
      </c>
      <c r="D85" s="69">
        <f>IF(755.88706="","-",755.88706/4359960.60099*100)</f>
        <v>0.017337015839738634</v>
      </c>
      <c r="E85" s="69">
        <f>IF(1629.35459="","-",1629.35459/5244769.76452*100)</f>
        <v>0.031066274844366176</v>
      </c>
      <c r="F85" s="69">
        <f>IF(OR(3628984.82886="",461.31612="",755.88706=""),"-",(755.88706-461.31612)/3628984.82886*100)</f>
        <v>0.00811717198863396</v>
      </c>
      <c r="G85" s="69">
        <f>IF(OR(4359960.60099="",1629.35459="",755.88706=""),"-",(1629.35459-755.88706)/4359960.60099*100)</f>
        <v>0.020033839980151767</v>
      </c>
    </row>
    <row r="86" spans="1:7" s="11" customFormat="1" ht="15.75">
      <c r="A86" s="22" t="s">
        <v>133</v>
      </c>
      <c r="B86" s="69">
        <f>IF(1628.8538="","-",1628.8538)</f>
        <v>1628.8538</v>
      </c>
      <c r="C86" s="69">
        <f>IF(OR(1440.23751="",1628.8538=""),"-",1628.8538/1440.23751*100)</f>
        <v>113.09619341882022</v>
      </c>
      <c r="D86" s="69">
        <f>IF(1440.23751="","-",1440.23751/4359960.60099*100)</f>
        <v>0.033033268916993666</v>
      </c>
      <c r="E86" s="69">
        <f>IF(1628.8538="","-",1628.8538/5244769.76452*100)</f>
        <v>0.031056726474800227</v>
      </c>
      <c r="F86" s="69">
        <f>IF(OR(3628984.82886="",1721.68552="",1440.23751=""),"-",(1440.23751-1721.68552)/3628984.82886*100)</f>
        <v>-0.007755557635891617</v>
      </c>
      <c r="G86" s="69">
        <f>IF(OR(4359960.60099="",1628.8538="",1440.23751=""),"-",(1628.8538-1440.23751)/4359960.60099*100)</f>
        <v>0.004326100789928509</v>
      </c>
    </row>
    <row r="87" spans="1:7" s="11" customFormat="1" ht="15.75">
      <c r="A87" s="22" t="s">
        <v>179</v>
      </c>
      <c r="B87" s="69">
        <f>IF(1599.82487="","-",1599.82487)</f>
        <v>1599.82487</v>
      </c>
      <c r="C87" s="69" t="s">
        <v>151</v>
      </c>
      <c r="D87" s="69">
        <f>IF(891.23016="","-",891.23016/4359960.60099*100)</f>
        <v>0.020441243432283117</v>
      </c>
      <c r="E87" s="69">
        <f>IF(1599.82487="","-",1599.82487/5244769.76452*100)</f>
        <v>0.030503243075083116</v>
      </c>
      <c r="F87" s="69">
        <f>IF(OR(3628984.82886="",553.40197="",891.23016=""),"-",(891.23016-553.40197)/3628984.82886*100)</f>
        <v>0.009309165122801697</v>
      </c>
      <c r="G87" s="69">
        <f>IF(OR(4359960.60099="",1599.82487="",891.23016=""),"-",(1599.82487-891.23016)/4359960.60099*100)</f>
        <v>0.01625231911130348</v>
      </c>
    </row>
    <row r="88" spans="1:7" ht="15.75">
      <c r="A88" s="22" t="s">
        <v>149</v>
      </c>
      <c r="B88" s="69">
        <f>IF(1592.41088="","-",1592.41088)</f>
        <v>1592.41088</v>
      </c>
      <c r="C88" s="69">
        <f>IF(OR(1688.3847="",1592.41088=""),"-",1592.41088/1688.3847*100)</f>
        <v>94.31564263760504</v>
      </c>
      <c r="D88" s="69">
        <f>IF(1688.3847="","-",1688.3847/4359960.60099*100)</f>
        <v>0.038724769659997035</v>
      </c>
      <c r="E88" s="69">
        <f>IF(1592.41088="","-",1592.41088/5244769.76452*100)</f>
        <v>0.030361883390428234</v>
      </c>
      <c r="F88" s="69">
        <f>IF(OR(3628984.82886="",742.28146="",1688.3847=""),"-",(1688.3847-742.28146)/3628984.82886*100)</f>
        <v>0.026070741119554545</v>
      </c>
      <c r="G88" s="69">
        <f>IF(OR(4359960.60099="",1592.41088="",1688.3847=""),"-",(1592.41088-1688.3847)/4359960.60099*100)</f>
        <v>-0.0022012542952385334</v>
      </c>
    </row>
    <row r="89" spans="1:7" ht="15.75">
      <c r="A89" s="22" t="s">
        <v>225</v>
      </c>
      <c r="B89" s="69">
        <f>IF(1239.03633="","-",1239.03633)</f>
        <v>1239.03633</v>
      </c>
      <c r="C89" s="69" t="s">
        <v>158</v>
      </c>
      <c r="D89" s="69">
        <f>IF(542.65694="","-",542.65694/4359960.60099*100)</f>
        <v>0.012446372563017677</v>
      </c>
      <c r="E89" s="69">
        <f>IF(1239.03633="","-",1239.03633/5244769.76452*100)</f>
        <v>0.023624227289858857</v>
      </c>
      <c r="F89" s="69">
        <f>IF(OR(3628984.82886="",1046.38714="",542.65694=""),"-",(542.65694-1046.38714)/3628984.82886*100)</f>
        <v>-0.01388074692387845</v>
      </c>
      <c r="G89" s="69">
        <f>IF(OR(4359960.60099="",1239.03633="",542.65694=""),"-",(1239.03633-542.65694)/4359960.60099*100)</f>
        <v>0.015972148689643563</v>
      </c>
    </row>
    <row r="90" spans="1:7" ht="15.75">
      <c r="A90" s="22" t="s">
        <v>137</v>
      </c>
      <c r="B90" s="69">
        <f>IF(1215.09836="","-",1215.09836)</f>
        <v>1215.09836</v>
      </c>
      <c r="C90" s="69" t="s">
        <v>321</v>
      </c>
      <c r="D90" s="69">
        <f>IF(561.79504="","-",561.79504/4359960.60099*100)</f>
        <v>0.012885323777293657</v>
      </c>
      <c r="E90" s="69">
        <f>IF(1215.09836="","-",1215.09836/5244769.76452*100)</f>
        <v>0.023167811258750375</v>
      </c>
      <c r="F90" s="69">
        <f>IF(OR(3628984.82886="",808.14619="",561.79504=""),"-",(561.79504-808.14619)/3628984.82886*100)</f>
        <v>-0.00678843152059658</v>
      </c>
      <c r="G90" s="69">
        <f>IF(OR(4359960.60099="",1215.09836="",561.79504=""),"-",(1215.09836-561.79504)/4359960.60099*100)</f>
        <v>0.014984156504800911</v>
      </c>
    </row>
    <row r="91" spans="1:7" ht="15.75">
      <c r="A91" s="22" t="s">
        <v>143</v>
      </c>
      <c r="B91" s="69">
        <f>IF(1203.04472="","-",1203.04472)</f>
        <v>1203.04472</v>
      </c>
      <c r="C91" s="69" t="s">
        <v>327</v>
      </c>
      <c r="D91" s="69">
        <f>IF(562.2986="","-",562.2986/4359960.60099*100)</f>
        <v>0.01289687342294609</v>
      </c>
      <c r="E91" s="69">
        <f>IF(1203.04472="","-",1203.04472/5244769.76452*100)</f>
        <v>0.022937989158997953</v>
      </c>
      <c r="F91" s="69">
        <f>IF(OR(3628984.82886="",360.57606="",562.2986=""),"-",(562.2986-360.57606)/3628984.82886*100)</f>
        <v>0.00555864930588229</v>
      </c>
      <c r="G91" s="69">
        <f>IF(OR(4359960.60099="",1203.04472="",562.2986=""),"-",(1203.04472-562.2986)/4359960.60099*100)</f>
        <v>0.014696144727879154</v>
      </c>
    </row>
    <row r="92" spans="1:7" ht="15.75">
      <c r="A92" s="22" t="s">
        <v>139</v>
      </c>
      <c r="B92" s="69">
        <f>IF(1090.80581="","-",1090.80581)</f>
        <v>1090.80581</v>
      </c>
      <c r="C92" s="69">
        <f>IF(OR(925.10747="",1090.80581=""),"-",1090.80581/925.10747*100)</f>
        <v>117.9112530569016</v>
      </c>
      <c r="D92" s="69">
        <f>IF(925.10747="","-",925.10747/4359960.60099*100)</f>
        <v>0.02121825297664248</v>
      </c>
      <c r="E92" s="69">
        <f>IF(1090.80581="","-",1090.80581/5244769.76452*100)</f>
        <v>0.02079797319949335</v>
      </c>
      <c r="F92" s="69">
        <f>IF(OR(3628984.82886="",744.29572="",925.10747=""),"-",(925.10747-744.29572)/3628984.82886*100)</f>
        <v>0.00498243333954085</v>
      </c>
      <c r="G92" s="69">
        <f>IF(OR(4359960.60099="",1090.80581="",925.10747=""),"-",(1090.80581-925.10747)/4359960.60099*100)</f>
        <v>0.00380045498489999</v>
      </c>
    </row>
    <row r="93" spans="1:7" ht="15.75">
      <c r="A93" s="22" t="s">
        <v>136</v>
      </c>
      <c r="B93" s="69">
        <f>IF(1083.53379="","-",1083.53379)</f>
        <v>1083.53379</v>
      </c>
      <c r="C93" s="69">
        <f>IF(OR(1012.21885="",1083.53379=""),"-",1083.53379/1012.21885*100)</f>
        <v>107.0454072259176</v>
      </c>
      <c r="D93" s="69">
        <f>IF(1012.21885="","-",1012.21885/4359960.60099*100)</f>
        <v>0.02321623846257141</v>
      </c>
      <c r="E93" s="69">
        <f>IF(1083.53379="","-",1083.53379/5244769.76452*100)</f>
        <v>0.020659320402011294</v>
      </c>
      <c r="F93" s="69">
        <f>IF(OR(3628984.82886="",1185.9559="",1012.21885=""),"-",(1012.21885-1185.9559)/3628984.82886*100)</f>
        <v>-0.004787483502778304</v>
      </c>
      <c r="G93" s="69">
        <f>IF(OR(4359960.60099="",1083.53379="",1012.21885=""),"-",(1083.53379-1012.21885)/4359960.60099*100)</f>
        <v>0.001635678542228266</v>
      </c>
    </row>
    <row r="94" spans="1:7" ht="15.75">
      <c r="A94" s="22" t="s">
        <v>125</v>
      </c>
      <c r="B94" s="69">
        <f>IF(1040.17875="","-",1040.17875)</f>
        <v>1040.17875</v>
      </c>
      <c r="C94" s="69">
        <f>IF(OR(655.0653="",1040.17875=""),"-",1040.17875/655.0653*100)</f>
        <v>158.79008550750592</v>
      </c>
      <c r="D94" s="69">
        <f>IF(655.0653="","-",655.0653/4359960.60099*100)</f>
        <v>0.015024569255310628</v>
      </c>
      <c r="E94" s="69">
        <f>IF(1040.17875="","-",1040.17875/5244769.76452*100)</f>
        <v>0.01983268659449338</v>
      </c>
      <c r="F94" s="69">
        <f>IF(OR(3628984.82886="",782.87494="",655.0653=""),"-",(655.0653-782.87494)/3628984.82886*100)</f>
        <v>-0.003521911664760248</v>
      </c>
      <c r="G94" s="69">
        <f>IF(OR(4359960.60099="",1040.17875="",655.0653=""),"-",(1040.17875-655.0653)/4359960.60099*100)</f>
        <v>0.008832957112331561</v>
      </c>
    </row>
    <row r="95" spans="1:7" ht="15.75">
      <c r="A95" s="22" t="s">
        <v>140</v>
      </c>
      <c r="B95" s="69">
        <f>IF(881.01766="","-",881.01766)</f>
        <v>881.01766</v>
      </c>
      <c r="C95" s="69">
        <f>IF(OR(865.6331="",881.01766=""),"-",881.01766/865.6331*100)</f>
        <v>101.77726105898677</v>
      </c>
      <c r="D95" s="69">
        <f>IF(865.6331="","-",865.6331/4359960.60099*100)</f>
        <v>0.01985414959491707</v>
      </c>
      <c r="E95" s="69">
        <f>IF(881.01766="","-",881.01766/5244769.76452*100)</f>
        <v>0.016798023546427884</v>
      </c>
      <c r="F95" s="69">
        <f>IF(OR(3628984.82886="",668.73078="",865.6331=""),"-",(865.6331-668.73078)/3628984.82886*100)</f>
        <v>0.0054258237299342595</v>
      </c>
      <c r="G95" s="69">
        <f>IF(OR(4359960.60099="",881.01766="",865.6331=""),"-",(881.01766-865.6331)/4359960.60099*100)</f>
        <v>0.0003528600693434397</v>
      </c>
    </row>
    <row r="96" spans="1:7" ht="15.75">
      <c r="A96" s="22" t="s">
        <v>148</v>
      </c>
      <c r="B96" s="69">
        <f>IF(880.87785="","-",880.87785)</f>
        <v>880.87785</v>
      </c>
      <c r="C96" s="69" t="s">
        <v>341</v>
      </c>
      <c r="D96" s="69">
        <f>IF(160.47137="","-",160.47137/4359960.60099*100)</f>
        <v>0.003680569268528765</v>
      </c>
      <c r="E96" s="69">
        <f>IF(880.87785="","-",880.87785/5244769.76452*100)</f>
        <v>0.016795357843141047</v>
      </c>
      <c r="F96" s="69">
        <f>IF(OR(3628984.82886="",14.02859="",160.47137=""),"-",(160.47137-14.02859)/3628984.82886*100)</f>
        <v>0.004035364899720542</v>
      </c>
      <c r="G96" s="69">
        <f>IF(OR(4359960.60099="",880.87785="",160.47137=""),"-",(880.87785-160.47137)/4359960.60099*100)</f>
        <v>0.016523233715378526</v>
      </c>
    </row>
    <row r="97" spans="1:7" ht="15.75">
      <c r="A97" s="22" t="s">
        <v>144</v>
      </c>
      <c r="B97" s="69">
        <f>IF(664.81322="","-",664.81322)</f>
        <v>664.81322</v>
      </c>
      <c r="C97" s="69" t="s">
        <v>321</v>
      </c>
      <c r="D97" s="69">
        <f>IF(300.29264="","-",300.29264/4359960.60099*100)</f>
        <v>0.00688750811032131</v>
      </c>
      <c r="E97" s="69">
        <f>IF(664.81322="","-",664.81322/5244769.76452*100)</f>
        <v>0.012675736969377599</v>
      </c>
      <c r="F97" s="69">
        <f>IF(OR(3628984.82886="",88.73567="",300.29264=""),"-",(300.29264-88.73567)/3628984.82886*100)</f>
        <v>0.0058296460298638934</v>
      </c>
      <c r="G97" s="69">
        <f>IF(OR(4359960.60099="",664.81322="",300.29264=""),"-",(664.81322-300.29264)/4359960.60099*100)</f>
        <v>0.008360639312135749</v>
      </c>
    </row>
    <row r="98" spans="1:7" ht="15.75">
      <c r="A98" s="22" t="s">
        <v>150</v>
      </c>
      <c r="B98" s="69">
        <f>IF(637.68884="","-",637.68884)</f>
        <v>637.68884</v>
      </c>
      <c r="C98" s="69">
        <f>IF(OR(501.0019="",637.68884=""),"-",637.68884/501.0019*100)</f>
        <v>127.28271888789244</v>
      </c>
      <c r="D98" s="69">
        <f>IF(501.0019="","-",501.0019/4359960.60099*100)</f>
        <v>0.011490973103890878</v>
      </c>
      <c r="E98" s="69">
        <f>IF(637.68884="","-",637.68884/5244769.76452*100)</f>
        <v>0.012158566889129425</v>
      </c>
      <c r="F98" s="69">
        <f>IF(OR(3628984.82886="",281.05712="",501.0019=""),"-",(501.0019-281.05712)/3628984.82886*100)</f>
        <v>0.006060779815083793</v>
      </c>
      <c r="G98" s="69">
        <f>IF(OR(4359960.60099="",637.68884="",501.0019=""),"-",(637.68884-501.0019)/4359960.60099*100)</f>
        <v>0.003135049889417878</v>
      </c>
    </row>
    <row r="99" spans="1:7" ht="15.75">
      <c r="A99" s="22" t="s">
        <v>190</v>
      </c>
      <c r="B99" s="69">
        <f>IF(631.62479="","-",631.62479)</f>
        <v>631.62479</v>
      </c>
      <c r="C99" s="69" t="str">
        <f>IF(OR(""="",631.62479=""),"-",631.62479/""*100)</f>
        <v>-</v>
      </c>
      <c r="D99" s="69" t="str">
        <f>IF(""="","-",""/4359960.60099*100)</f>
        <v>-</v>
      </c>
      <c r="E99" s="69">
        <f>IF(631.62479="","-",631.62479/5244769.76452*100)</f>
        <v>0.012042945989218387</v>
      </c>
      <c r="F99" s="69" t="str">
        <f>IF(OR(3628984.82886="",""="",""=""),"-",(""-"")/3628984.82886*100)</f>
        <v>-</v>
      </c>
      <c r="G99" s="69" t="str">
        <f>IF(OR(4359960.60099="",631.62479="",""=""),"-",(631.62479-"")/4359960.60099*100)</f>
        <v>-</v>
      </c>
    </row>
    <row r="100" spans="1:7" ht="15.75">
      <c r="A100" s="22" t="s">
        <v>256</v>
      </c>
      <c r="B100" s="69">
        <f>IF(599.65134="","-",599.65134)</f>
        <v>599.65134</v>
      </c>
      <c r="C100" s="69">
        <f>IF(OR(797.94168="",599.65134=""),"-",599.65134/797.94168*100)</f>
        <v>75.14977034411838</v>
      </c>
      <c r="D100" s="69">
        <f>IF(797.94168="","-",797.94168/4359960.60099*100)</f>
        <v>0.01830158006058161</v>
      </c>
      <c r="E100" s="69">
        <f>IF(599.65134="","-",599.65134/5244769.76452*100)</f>
        <v>0.011433320563593509</v>
      </c>
      <c r="F100" s="69">
        <f>IF(OR(3628984.82886="",1095.06238="",797.94168=""),"-",(797.94168-1095.06238)/3628984.82886*100)</f>
        <v>-0.008187432960234688</v>
      </c>
      <c r="G100" s="69">
        <f>IF(OR(4359960.60099="",599.65134="",797.94168=""),"-",(599.65134-797.94168)/4359960.60099*100)</f>
        <v>-0.004547984675709569</v>
      </c>
    </row>
    <row r="101" spans="1:7" ht="15.75">
      <c r="A101" s="22" t="s">
        <v>200</v>
      </c>
      <c r="B101" s="69">
        <f>IF(538.27567="","-",538.27567)</f>
        <v>538.27567</v>
      </c>
      <c r="C101" s="69">
        <f>IF(OR(544.40302="",538.27567=""),"-",538.27567/544.40302*100)</f>
        <v>98.87448273156163</v>
      </c>
      <c r="D101" s="69">
        <f>IF(544.40302="","-",544.40302/4359960.60099*100)</f>
        <v>0.01248642063133287</v>
      </c>
      <c r="E101" s="69">
        <f>IF(538.27567="","-",538.27567/5244769.76452*100)</f>
        <v>0.010263094361955521</v>
      </c>
      <c r="F101" s="69">
        <f>IF(OR(3628984.82886="",495.40548="",544.40302=""),"-",(544.40302-495.40548)/3628984.82886*100)</f>
        <v>0.0013501720814686328</v>
      </c>
      <c r="G101" s="69">
        <f>IF(OR(4359960.60099="",538.27567="",544.40302=""),"-",(538.27567-544.40302)/4359960.60099*100)</f>
        <v>-0.00014053682041550246</v>
      </c>
    </row>
    <row r="102" spans="1:7" ht="15.75">
      <c r="A102" s="22" t="s">
        <v>104</v>
      </c>
      <c r="B102" s="69">
        <f>IF(481.75588="","-",481.75588)</f>
        <v>481.75588</v>
      </c>
      <c r="C102" s="69">
        <f>IF(OR(570.71835="",481.75588=""),"-",481.75588/570.71835*100)</f>
        <v>84.41219386059691</v>
      </c>
      <c r="D102" s="69">
        <f>IF(570.71835="","-",570.71835/4359960.60099*100)</f>
        <v>0.013089988700136626</v>
      </c>
      <c r="E102" s="69">
        <f>IF(481.75588="","-",481.75588/5244769.76452*100)</f>
        <v>0.009185453349334778</v>
      </c>
      <c r="F102" s="69">
        <f>IF(OR(3628984.82886="",886.16613="",570.71835=""),"-",(570.71835-886.16613)/3628984.82886*100)</f>
        <v>-0.008692452431637581</v>
      </c>
      <c r="G102" s="69">
        <f>IF(OR(4359960.60099="",481.75588="",570.71835=""),"-",(481.75588-570.71835)/4359960.60099*100)</f>
        <v>-0.0020404420622470673</v>
      </c>
    </row>
    <row r="103" spans="1:7" ht="15.75">
      <c r="A103" s="22" t="s">
        <v>108</v>
      </c>
      <c r="B103" s="69">
        <f>IF(463.6488="","-",463.6488)</f>
        <v>463.6488</v>
      </c>
      <c r="C103" s="69" t="s">
        <v>323</v>
      </c>
      <c r="D103" s="69">
        <f>IF(196.57942="","-",196.57942/4359960.60099*100)</f>
        <v>0.004508743036699997</v>
      </c>
      <c r="E103" s="69">
        <f>IF(463.6488="","-",463.6488/5244769.76452*100)</f>
        <v>0.008840212646444606</v>
      </c>
      <c r="F103" s="69">
        <f>IF(OR(3628984.82886="",67.46066="",196.57942=""),"-",(196.57942-67.46066)/3628984.82886*100)</f>
        <v>0.0035579856651139835</v>
      </c>
      <c r="G103" s="69">
        <f>IF(OR(4359960.60099="",463.6488="",196.57942=""),"-",(463.6488-196.57942)/4359960.60099*100)</f>
        <v>0.006125499848309583</v>
      </c>
    </row>
    <row r="104" spans="1:7" ht="15.75">
      <c r="A104" s="22" t="s">
        <v>226</v>
      </c>
      <c r="B104" s="69">
        <f>IF(396.72142="","-",396.72142)</f>
        <v>396.72142</v>
      </c>
      <c r="C104" s="69" t="s">
        <v>328</v>
      </c>
      <c r="D104" s="69">
        <f>IF(34.10485="","-",34.10485/4359960.60099*100)</f>
        <v>0.0007822283988588323</v>
      </c>
      <c r="E104" s="69">
        <f>IF(396.72142="","-",396.72142/5244769.76452*100)</f>
        <v>0.007564134133851878</v>
      </c>
      <c r="F104" s="69">
        <f>IF(OR(3628984.82886="",18.46659="",34.10485=""),"-",(34.10485-18.46659)/3628984.82886*100)</f>
        <v>0.00043092657416571686</v>
      </c>
      <c r="G104" s="69">
        <f>IF(OR(4359960.60099="",396.72142="",34.10485=""),"-",(396.72142-34.10485)/4359960.60099*100)</f>
        <v>0.008316968963381506</v>
      </c>
    </row>
    <row r="105" spans="1:7" ht="15.75">
      <c r="A105" s="22" t="s">
        <v>159</v>
      </c>
      <c r="B105" s="69">
        <f>IF(263.04378="","-",263.04378)</f>
        <v>263.04378</v>
      </c>
      <c r="C105" s="69" t="s">
        <v>329</v>
      </c>
      <c r="D105" s="69">
        <f>IF(45.14169="","-",45.14169/4359960.60099*100)</f>
        <v>0.0010353692184683924</v>
      </c>
      <c r="E105" s="69">
        <f>IF(263.04378="","-",263.04378/5244769.76452*100)</f>
        <v>0.005015354187317195</v>
      </c>
      <c r="F105" s="69">
        <f>IF(OR(3628984.82886="",27.03469="",45.14169=""),"-",(45.14169-27.03469)/3628984.82886*100)</f>
        <v>0.0004989549654768902</v>
      </c>
      <c r="G105" s="69">
        <f>IF(OR(4359960.60099="",263.04378="",45.14169=""),"-",(263.04378-45.14169)/4359960.60099*100)</f>
        <v>0.004997799520264514</v>
      </c>
    </row>
    <row r="106" spans="1:7" ht="15.75">
      <c r="A106" s="22" t="s">
        <v>124</v>
      </c>
      <c r="B106" s="69">
        <f>IF(244.3242="","-",244.3242)</f>
        <v>244.3242</v>
      </c>
      <c r="C106" s="69">
        <f>IF(OR(491.02211="",244.3242=""),"-",244.3242/491.02211*100)</f>
        <v>49.758288888457585</v>
      </c>
      <c r="D106" s="69">
        <f>IF(491.02211="","-",491.02211/4359960.60099*100)</f>
        <v>0.011262076769420929</v>
      </c>
      <c r="E106" s="69">
        <f>IF(244.3242="","-",244.3242/5244769.76452*100)</f>
        <v>0.004658435183424309</v>
      </c>
      <c r="F106" s="69">
        <f>IF(OR(3628984.82886="",1221.58368="",491.02211=""),"-",(491.02211-1221.58368)/3628984.82886*100)</f>
        <v>-0.020131293032423524</v>
      </c>
      <c r="G106" s="69">
        <f>IF(OR(4359960.60099="",244.3242="",491.02211=""),"-",(244.3242-491.02211)/4359960.60099*100)</f>
        <v>-0.005658260075652592</v>
      </c>
    </row>
    <row r="107" spans="1:7" ht="15.75">
      <c r="A107" s="22" t="s">
        <v>157</v>
      </c>
      <c r="B107" s="69">
        <f>IF(206.76552="","-",206.76552)</f>
        <v>206.76552</v>
      </c>
      <c r="C107" s="69" t="s">
        <v>342</v>
      </c>
      <c r="D107" s="69">
        <f>IF(38.4312="","-",38.4312/4359960.60099*100)</f>
        <v>0.0008814575065488794</v>
      </c>
      <c r="E107" s="69">
        <f>IF(206.76552="","-",206.76552/5244769.76452*100)</f>
        <v>0.003942318333947366</v>
      </c>
      <c r="F107" s="69">
        <f>IF(OR(3628984.82886="",18.31907="",38.4312=""),"-",(38.4312-18.31907)/3628984.82886*100)</f>
        <v>0.0005542081587130241</v>
      </c>
      <c r="G107" s="69">
        <f>IF(OR(4359960.60099="",206.76552="",38.4312=""),"-",(206.76552-38.4312)/4359960.60099*100)</f>
        <v>0.0038609137881148964</v>
      </c>
    </row>
    <row r="108" spans="1:7" ht="15.75">
      <c r="A108" s="22" t="s">
        <v>174</v>
      </c>
      <c r="B108" s="69">
        <f>IF(190.71019="","-",190.71019)</f>
        <v>190.71019</v>
      </c>
      <c r="C108" s="69" t="s">
        <v>343</v>
      </c>
      <c r="D108" s="69">
        <f>IF(102.35422="","-",102.35422/4359960.60099*100)</f>
        <v>0.0023475950671838367</v>
      </c>
      <c r="E108" s="69">
        <f>IF(190.71019="","-",190.71019/5244769.76452*100)</f>
        <v>0.0036361975560895527</v>
      </c>
      <c r="F108" s="69">
        <f>IF(OR(3628984.82886="",58.16874="",102.35422=""),"-",(102.35422-58.16874)/3628984.82886*100)</f>
        <v>0.0012175713617926674</v>
      </c>
      <c r="G108" s="69">
        <f>IF(OR(4359960.60099="",190.71019="",102.35422=""),"-",(190.71019-102.35422)/4359960.60099*100)</f>
        <v>0.002026531386084942</v>
      </c>
    </row>
    <row r="109" spans="1:7" ht="15.75">
      <c r="A109" s="22" t="s">
        <v>231</v>
      </c>
      <c r="B109" s="69">
        <f>IF(175.46073="","-",175.46073)</f>
        <v>175.46073</v>
      </c>
      <c r="C109" s="69" t="s">
        <v>232</v>
      </c>
      <c r="D109" s="69">
        <f>IF(54.8964="","-",54.8964/4359960.60099*100)</f>
        <v>0.0012591031209670765</v>
      </c>
      <c r="E109" s="69">
        <f>IF(175.46073="","-",175.46073/5244769.76452*100)</f>
        <v>0.003345441990360813</v>
      </c>
      <c r="F109" s="69">
        <f>IF(OR(3628984.82886="",0.03228="",54.8964=""),"-",(54.8964-0.03228)/3628984.82886*100)</f>
        <v>0.0015118310653625651</v>
      </c>
      <c r="G109" s="69">
        <f>IF(OR(4359960.60099="",175.46073="",54.8964=""),"-",(175.46073-54.8964)/4359960.60099*100)</f>
        <v>0.0027652619148123476</v>
      </c>
    </row>
    <row r="110" spans="1:7" ht="15.75">
      <c r="A110" s="22" t="s">
        <v>241</v>
      </c>
      <c r="B110" s="69">
        <f>IF(130.8388="","-",130.8388)</f>
        <v>130.8388</v>
      </c>
      <c r="C110" s="69" t="s">
        <v>330</v>
      </c>
      <c r="D110" s="69">
        <f>IF(13.39834="","-",13.39834/4359960.60099*100)</f>
        <v>0.00030730415309160563</v>
      </c>
      <c r="E110" s="69">
        <f>IF(130.8388="","-",130.8388/5244769.76452*100)</f>
        <v>0.002494652880381954</v>
      </c>
      <c r="F110" s="69">
        <f>IF(OR(3628984.82886="",9.54519="",13.39834=""),"-",(13.39834-9.54519)/3628984.82886*100)</f>
        <v>0.00010617707655753464</v>
      </c>
      <c r="G110" s="69">
        <f>IF(OR(4359960.60099="",130.8388="",13.39834=""),"-",(130.8388-13.39834)/4359960.60099*100)</f>
        <v>0.0026936128728625025</v>
      </c>
    </row>
    <row r="111" spans="1:7" ht="15.75">
      <c r="A111" s="22" t="s">
        <v>191</v>
      </c>
      <c r="B111" s="69">
        <f>IF(117.43586="","-",117.43586)</f>
        <v>117.43586</v>
      </c>
      <c r="C111" s="69">
        <f>IF(OR(92.76142="",117.43586=""),"-",117.43586/92.76142*100)</f>
        <v>126.59989465448027</v>
      </c>
      <c r="D111" s="69">
        <f>IF(92.76142="","-",92.76142/4359960.60099*100)</f>
        <v>0.00212757473035277</v>
      </c>
      <c r="E111" s="69">
        <f>IF(117.43586="","-",117.43586/5244769.76452*100)</f>
        <v>0.0022391041985185735</v>
      </c>
      <c r="F111" s="69">
        <f>IF(OR(3628984.82886="",60.95654="",92.76142=""),"-",(92.76142-60.95654)/3628984.82886*100)</f>
        <v>0.00087641259194768</v>
      </c>
      <c r="G111" s="69">
        <f>IF(OR(4359960.60099="",117.43586="",92.76142=""),"-",(117.43586-92.76142)/4359960.60099*100)</f>
        <v>0.0005659326369691797</v>
      </c>
    </row>
    <row r="112" spans="1:7" ht="15.75">
      <c r="A112" s="22" t="s">
        <v>180</v>
      </c>
      <c r="B112" s="69">
        <f>IF(103.87099="","-",103.87099)</f>
        <v>103.87099</v>
      </c>
      <c r="C112" s="69">
        <f>IF(OR(229.76061="",103.87099=""),"-",103.87099/229.76061*100)</f>
        <v>45.20835403422719</v>
      </c>
      <c r="D112" s="69">
        <f>IF(229.76061="","-",229.76061/4359960.60099*100)</f>
        <v>0.005269786381735402</v>
      </c>
      <c r="E112" s="69">
        <f>IF(103.87099="","-",103.87099/5244769.76452*100)</f>
        <v>0.001980468059869283</v>
      </c>
      <c r="F112" s="69">
        <f>IF(OR(3628984.82886="",131.03681="",229.76061=""),"-",(229.76061-131.03681)/3628984.82886*100)</f>
        <v>0.0027204247098220266</v>
      </c>
      <c r="G112" s="69">
        <f>IF(OR(4359960.60099="",103.87099="",229.76061=""),"-",(103.87099-229.76061)/4359960.60099*100)</f>
        <v>-0.00288740269743297</v>
      </c>
    </row>
    <row r="113" spans="1:7" ht="15.75">
      <c r="A113" s="61" t="s">
        <v>242</v>
      </c>
      <c r="B113" s="72">
        <f>IF(100.40752="","-",100.40752)</f>
        <v>100.40752</v>
      </c>
      <c r="C113" s="72" t="s">
        <v>324</v>
      </c>
      <c r="D113" s="72">
        <f>IF(50.9012="","-",50.9012/4359960.60099*100)</f>
        <v>0.0011674692653975373</v>
      </c>
      <c r="E113" s="72">
        <f>IF(100.40752="","-",100.40752/5244769.76452*100)</f>
        <v>0.0019144314146874524</v>
      </c>
      <c r="F113" s="72">
        <f>IF(OR(3628984.82886="",52.10376="",50.9012=""),"-",(50.9012-52.10376)/3628984.82886*100)</f>
        <v>-3.313764197735066E-05</v>
      </c>
      <c r="G113" s="72">
        <f>IF(OR(4359960.60099="",100.40752="",50.9012=""),"-",(100.40752-50.9012)/4359960.60099*100)</f>
        <v>0.0011354763157437428</v>
      </c>
    </row>
    <row r="114" ht="15.75">
      <c r="A114" s="65" t="s">
        <v>19</v>
      </c>
    </row>
  </sheetData>
  <sheetProtection/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6"/>
  <sheetViews>
    <sheetView zoomScalePageLayoutView="0" workbookViewId="0" topLeftCell="A1">
      <selection activeCell="C5" sqref="C5"/>
    </sheetView>
  </sheetViews>
  <sheetFormatPr defaultColWidth="9.00390625" defaultRowHeight="15.75"/>
  <cols>
    <col min="1" max="1" width="42.75390625" style="0" customWidth="1"/>
    <col min="2" max="2" width="14.50390625" style="0" customWidth="1"/>
    <col min="3" max="3" width="14.375" style="0" customWidth="1"/>
    <col min="4" max="4" width="17.125" style="0" customWidth="1"/>
  </cols>
  <sheetData>
    <row r="1" spans="1:4" ht="15.75">
      <c r="A1" s="109" t="s">
        <v>185</v>
      </c>
      <c r="B1" s="109"/>
      <c r="C1" s="109"/>
      <c r="D1" s="109"/>
    </row>
    <row r="2" ht="15.75">
      <c r="A2" s="4"/>
    </row>
    <row r="3" spans="1:5" ht="28.5" customHeight="1">
      <c r="A3" s="110"/>
      <c r="B3" s="114" t="s">
        <v>247</v>
      </c>
      <c r="C3" s="115"/>
      <c r="D3" s="112" t="s">
        <v>248</v>
      </c>
      <c r="E3" s="1"/>
    </row>
    <row r="4" spans="1:5" ht="25.5" customHeight="1">
      <c r="A4" s="111"/>
      <c r="B4" s="26">
        <v>2017</v>
      </c>
      <c r="C4" s="25">
        <v>2018</v>
      </c>
      <c r="D4" s="113"/>
      <c r="E4" s="1"/>
    </row>
    <row r="5" spans="1:4" ht="17.25" customHeight="1">
      <c r="A5" s="56" t="s">
        <v>206</v>
      </c>
      <c r="B5" s="77">
        <f>IF(-2168073.2158="","-",-2168073.2158)</f>
        <v>-2168073.2158</v>
      </c>
      <c r="C5" s="77">
        <f>IF(-2756895.8907="","-",-2756895.8907)</f>
        <v>-2756895.8907</v>
      </c>
      <c r="D5" s="77">
        <f>IF(-2168073.2158="","-",-2756895.8907/-2168073.2158*100)</f>
        <v>127.15880029368518</v>
      </c>
    </row>
    <row r="6" spans="1:4" ht="15.75">
      <c r="A6" s="54" t="s">
        <v>20</v>
      </c>
      <c r="B6" s="49"/>
      <c r="C6" s="49"/>
      <c r="D6" s="49"/>
    </row>
    <row r="7" spans="1:4" ht="15.75">
      <c r="A7" s="57" t="s">
        <v>229</v>
      </c>
      <c r="B7" s="23">
        <f>IF(-730184.78892="","-",-730184.78892)</f>
        <v>-730184.78892</v>
      </c>
      <c r="C7" s="23">
        <f>IF(-888027.43253="","-",-888027.43253)</f>
        <v>-888027.43253</v>
      </c>
      <c r="D7" s="23">
        <f>IF(-730184.78892="","-",-888027.43253/-730184.78892*100)</f>
        <v>121.61680796493468</v>
      </c>
    </row>
    <row r="8" spans="1:4" ht="15.75">
      <c r="A8" s="75" t="s">
        <v>4</v>
      </c>
      <c r="B8" s="13">
        <f>IF(-204835.97919="","-",-204835.97919)</f>
        <v>-204835.97919</v>
      </c>
      <c r="C8" s="13">
        <f>IF(-235039.96263="","-",-235039.96263)</f>
        <v>-235039.96263</v>
      </c>
      <c r="D8" s="13">
        <f>IF(OR(-204835.97919="",-235039.96263="",-204835.97919=0),"-",-235039.96263/-204835.97919*100)</f>
        <v>114.74544831403063</v>
      </c>
    </row>
    <row r="9" spans="1:4" ht="15.75">
      <c r="A9" s="75" t="s">
        <v>86</v>
      </c>
      <c r="B9" s="13">
        <f>IF(-82309.97722="","-",-82309.97722)</f>
        <v>-82309.97722</v>
      </c>
      <c r="C9" s="13">
        <f>IF(-95106.40735="","-",-95106.40735)</f>
        <v>-95106.40735</v>
      </c>
      <c r="D9" s="13">
        <f>IF(OR(-82309.97722="",-95106.40735="",-82309.97722=0),"-",-95106.40735/-82309.97722*100)</f>
        <v>115.54663305980198</v>
      </c>
    </row>
    <row r="10" spans="1:4" ht="15.75">
      <c r="A10" s="75" t="s">
        <v>5</v>
      </c>
      <c r="B10" s="13">
        <f>IF(-54918.8384="","-",-54918.8384)</f>
        <v>-54918.8384</v>
      </c>
      <c r="C10" s="13">
        <f>IF(-92979.51041="","-",-92979.51041)</f>
        <v>-92979.51041</v>
      </c>
      <c r="D10" s="13" t="s">
        <v>317</v>
      </c>
    </row>
    <row r="11" spans="1:4" ht="15.75">
      <c r="A11" s="75" t="s">
        <v>251</v>
      </c>
      <c r="B11" s="13">
        <f>IF(-60351.0106099999="","-",-60351.0106099999)</f>
        <v>-60351.0106099999</v>
      </c>
      <c r="C11" s="13">
        <f>IF(-76808.62491="","-",-76808.62491)</f>
        <v>-76808.62491</v>
      </c>
      <c r="D11" s="13">
        <f>IF(OR(-60351.0106099999="",-76808.62491="",-60351.0106099999=0),"-",-76808.62491/-60351.0106099999*100)</f>
        <v>127.26982387478552</v>
      </c>
    </row>
    <row r="12" spans="1:4" ht="15.75">
      <c r="A12" s="75" t="s">
        <v>3</v>
      </c>
      <c r="B12" s="13">
        <f>IF(-89641.70295="","-",-89641.70295)</f>
        <v>-89641.70295</v>
      </c>
      <c r="C12" s="13">
        <f>IF(-67785.0384="","-",-67785.0384)</f>
        <v>-67785.0384</v>
      </c>
      <c r="D12" s="13">
        <f>IF(OR(-89641.70295="",-67785.0384="",-89641.70295=0),"-",-67785.0384/-89641.70295*100)</f>
        <v>75.6177495175531</v>
      </c>
    </row>
    <row r="13" spans="1:4" ht="15.75">
      <c r="A13" s="75" t="s">
        <v>7</v>
      </c>
      <c r="B13" s="13">
        <f>IF(-35601.28623="","-",-35601.28623)</f>
        <v>-35601.28623</v>
      </c>
      <c r="C13" s="13">
        <f>IF(-60264.24173="","-",-60264.24173)</f>
        <v>-60264.24173</v>
      </c>
      <c r="D13" s="13" t="s">
        <v>317</v>
      </c>
    </row>
    <row r="14" spans="1:4" ht="15.75">
      <c r="A14" s="75" t="s">
        <v>196</v>
      </c>
      <c r="B14" s="13">
        <f>IF(-85925.9687="","-",-85925.9687)</f>
        <v>-85925.9687</v>
      </c>
      <c r="C14" s="13">
        <f>IF(-44346.39261="","-",-44346.39261)</f>
        <v>-44346.39261</v>
      </c>
      <c r="D14" s="13">
        <f>IF(OR(-85925.9687="",-44346.39261="",-85925.9687=0),"-",-44346.39261/-85925.9687*100)</f>
        <v>51.61000019078051</v>
      </c>
    </row>
    <row r="15" spans="1:4" ht="15.75">
      <c r="A15" s="75" t="s">
        <v>84</v>
      </c>
      <c r="B15" s="13">
        <f>IF(-32856.6912="","-",-32856.6912)</f>
        <v>-32856.6912</v>
      </c>
      <c r="C15" s="13">
        <f>IF(-44216.60846="","-",-44216.60846)</f>
        <v>-44216.60846</v>
      </c>
      <c r="D15" s="13">
        <f>IF(OR(-32856.6912="",-44216.60846="",-32856.6912=0),"-",-44216.60846/-32856.6912*100)</f>
        <v>134.57413648517354</v>
      </c>
    </row>
    <row r="16" spans="1:4" ht="15.75">
      <c r="A16" s="75" t="s">
        <v>197</v>
      </c>
      <c r="B16" s="13">
        <f>IF(-33288.33973="","-",-33288.33973)</f>
        <v>-33288.33973</v>
      </c>
      <c r="C16" s="13">
        <f>IF(-39639.4415="","-",-39639.4415)</f>
        <v>-39639.4415</v>
      </c>
      <c r="D16" s="13">
        <f>IF(OR(-33288.33973="",-39639.4415="",-33288.33973=0),"-",-39639.4415/-33288.33973*100)</f>
        <v>119.07905837753839</v>
      </c>
    </row>
    <row r="17" spans="1:4" ht="15.75">
      <c r="A17" s="75" t="s">
        <v>85</v>
      </c>
      <c r="B17" s="13">
        <f>IF(-23932.94419="","-",-23932.94419)</f>
        <v>-23932.94419</v>
      </c>
      <c r="C17" s="13">
        <f>IF(-28093.29896="","-",-28093.29896)</f>
        <v>-28093.29896</v>
      </c>
      <c r="D17" s="13">
        <f>IF(OR(-23932.94419="",-28093.29896="",-23932.94419=0),"-",-28093.29896/-23932.94419*100)</f>
        <v>117.38338056935905</v>
      </c>
    </row>
    <row r="18" spans="1:4" ht="15.75">
      <c r="A18" s="75" t="s">
        <v>94</v>
      </c>
      <c r="B18" s="13">
        <f>IF(-16515.81344="","-",-16515.81344)</f>
        <v>-16515.81344</v>
      </c>
      <c r="C18" s="13">
        <f>IF(-22862.31794="","-",-22862.31794)</f>
        <v>-22862.31794</v>
      </c>
      <c r="D18" s="13">
        <f>IF(OR(-16515.81344="",-22862.31794="",-16515.81344=0),"-",-22862.31794/-16515.81344*100)</f>
        <v>138.42683572962423</v>
      </c>
    </row>
    <row r="19" spans="1:4" ht="15.75">
      <c r="A19" s="75" t="s">
        <v>96</v>
      </c>
      <c r="B19" s="13">
        <f>IF(-15063.05797="","-",-15063.05797)</f>
        <v>-15063.05797</v>
      </c>
      <c r="C19" s="13">
        <f>IF(-20961.76605="","-",-20961.76605)</f>
        <v>-20961.76605</v>
      </c>
      <c r="D19" s="13">
        <f>IF(OR(-15063.05797="",-20961.76605="",-15063.05797=0),"-",-20961.76605/-15063.05797*100)</f>
        <v>139.16009678611096</v>
      </c>
    </row>
    <row r="20" spans="1:4" ht="15.75">
      <c r="A20" s="75" t="s">
        <v>9</v>
      </c>
      <c r="B20" s="13">
        <f>IF(-20034.62191="","-",-20034.62191)</f>
        <v>-20034.62191</v>
      </c>
      <c r="C20" s="13">
        <f>IF(-19496.54145="","-",-19496.54145)</f>
        <v>-19496.54145</v>
      </c>
      <c r="D20" s="13">
        <f>IF(OR(-20034.62191="",-19496.54145="",-20034.62191=0),"-",-19496.54145/-20034.62191*100)</f>
        <v>97.31424699494117</v>
      </c>
    </row>
    <row r="21" spans="1:4" ht="15.75">
      <c r="A21" s="75" t="s">
        <v>6</v>
      </c>
      <c r="B21" s="13">
        <f>IF(4118.88228="","-",4118.88228)</f>
        <v>4118.88228</v>
      </c>
      <c r="C21" s="13">
        <f>IF(-15153.54496="","-",-15153.54496)</f>
        <v>-15153.54496</v>
      </c>
      <c r="D21" s="13" t="s">
        <v>21</v>
      </c>
    </row>
    <row r="22" spans="1:6" ht="15.75">
      <c r="A22" s="75" t="s">
        <v>88</v>
      </c>
      <c r="B22" s="13">
        <f>IF(-11780.5124="","-",-11780.5124)</f>
        <v>-11780.5124</v>
      </c>
      <c r="C22" s="13">
        <f>IF(-13345.26535="","-",-13345.26535)</f>
        <v>-13345.26535</v>
      </c>
      <c r="D22" s="13">
        <f>IF(OR(-11780.5124="",-13345.26535="",-11780.5124=0),"-",-13345.26535/-11780.5124*100)</f>
        <v>113.28255424611243</v>
      </c>
      <c r="F22" t="s">
        <v>155</v>
      </c>
    </row>
    <row r="23" spans="1:4" ht="15.75">
      <c r="A23" s="75" t="s">
        <v>92</v>
      </c>
      <c r="B23" s="13">
        <f>IF(-11807.85672="","-",-11807.85672)</f>
        <v>-11807.85672</v>
      </c>
      <c r="C23" s="13">
        <f>IF(-12761.23702="","-",-12761.23702)</f>
        <v>-12761.23702</v>
      </c>
      <c r="D23" s="13">
        <f>IF(OR(-11807.85672="",-12761.23702="",-11807.85672=0),"-",-12761.23702/-11807.85672*100)</f>
        <v>108.07411812835753</v>
      </c>
    </row>
    <row r="24" spans="1:4" ht="15.75">
      <c r="A24" s="75" t="s">
        <v>93</v>
      </c>
      <c r="B24" s="13">
        <f>IF(-12225.39163="","-",-12225.39163)</f>
        <v>-12225.39163</v>
      </c>
      <c r="C24" s="13">
        <f>IF(-11755.05746="","-",-11755.05746)</f>
        <v>-11755.05746</v>
      </c>
      <c r="D24" s="13">
        <f>IF(OR(-12225.39163="",-11755.05746="",-12225.39163=0),"-",-11755.05746/-12225.39163*100)</f>
        <v>96.1528089714047</v>
      </c>
    </row>
    <row r="25" spans="1:4" ht="15.75">
      <c r="A25" s="75" t="s">
        <v>95</v>
      </c>
      <c r="B25" s="13">
        <f>IF(-11617.81579="","-",-11617.81579)</f>
        <v>-11617.81579</v>
      </c>
      <c r="C25" s="13">
        <f>IF(-6259.57408="","-",-6259.57408)</f>
        <v>-6259.57408</v>
      </c>
      <c r="D25" s="13">
        <f>IF(OR(-11617.81579="",-6259.57408="",-11617.81579=0),"-",-6259.57408/-11617.81579*100)</f>
        <v>53.87909563334537</v>
      </c>
    </row>
    <row r="26" spans="1:4" ht="15.75">
      <c r="A26" s="75" t="s">
        <v>97</v>
      </c>
      <c r="B26" s="13">
        <f>IF(-5417.99557="","-",-5417.99557)</f>
        <v>-5417.99557</v>
      </c>
      <c r="C26" s="13">
        <f>IF(-5765.48326="","-",-5765.48326)</f>
        <v>-5765.48326</v>
      </c>
      <c r="D26" s="13">
        <f>IF(OR(-5417.99557="",-5765.48326="",-5417.99557=0),"-",-5765.48326/-5417.99557*100)</f>
        <v>106.41358387083362</v>
      </c>
    </row>
    <row r="27" spans="1:4" ht="15.75">
      <c r="A27" s="75" t="s">
        <v>89</v>
      </c>
      <c r="B27" s="13">
        <f>IF(-2355.21088="","-",-2355.21088)</f>
        <v>-2355.21088</v>
      </c>
      <c r="C27" s="13">
        <f>IF(-5607.03512="","-",-5607.03512)</f>
        <v>-5607.03512</v>
      </c>
      <c r="D27" s="13" t="s">
        <v>323</v>
      </c>
    </row>
    <row r="28" spans="1:4" ht="15.75">
      <c r="A28" s="75" t="s">
        <v>87</v>
      </c>
      <c r="B28" s="13">
        <f>IF(-2181.10132="","-",-2181.10132)</f>
        <v>-2181.10132</v>
      </c>
      <c r="C28" s="13">
        <f>IF(-4387.60514="","-",-4387.60514)</f>
        <v>-4387.60514</v>
      </c>
      <c r="D28" s="13" t="s">
        <v>324</v>
      </c>
    </row>
    <row r="29" spans="1:4" ht="15.75">
      <c r="A29" s="75" t="s">
        <v>252</v>
      </c>
      <c r="B29" s="13">
        <f>IF(-1146.25655="","-",-1146.25655)</f>
        <v>-1146.25655</v>
      </c>
      <c r="C29" s="13">
        <f>IF(-2009.47141="","-",-2009.47141)</f>
        <v>-2009.47141</v>
      </c>
      <c r="D29" s="13" t="s">
        <v>151</v>
      </c>
    </row>
    <row r="30" spans="1:4" ht="15.75">
      <c r="A30" s="75" t="s">
        <v>90</v>
      </c>
      <c r="B30" s="13">
        <f>IF(-1441.78="","-",-1441.78)</f>
        <v>-1441.78</v>
      </c>
      <c r="C30" s="13">
        <f>IF(-1685.3036="","-",-1685.3036)</f>
        <v>-1685.3036</v>
      </c>
      <c r="D30" s="13">
        <f>IF(OR(-1441.78="",-1685.3036="",-1441.78=0),"-",-1685.3036/-1441.78*100)</f>
        <v>116.89048259789982</v>
      </c>
    </row>
    <row r="31" spans="1:4" ht="15.75">
      <c r="A31" s="75" t="s">
        <v>98</v>
      </c>
      <c r="B31" s="13">
        <f>IF(-2100.42262="","-",-2100.42262)</f>
        <v>-2100.42262</v>
      </c>
      <c r="C31" s="13">
        <f>IF(-840.06851="","-",-840.06851)</f>
        <v>-840.06851</v>
      </c>
      <c r="D31" s="13">
        <f>IF(OR(-2100.42262="",-840.06851="",-2100.42262=0),"-",-840.06851/-2100.42262*100)</f>
        <v>39.995213439474384</v>
      </c>
    </row>
    <row r="32" spans="1:4" ht="15.75">
      <c r="A32" s="75" t="s">
        <v>99</v>
      </c>
      <c r="B32" s="13">
        <f>IF(-223.50429="","-",-223.50429)</f>
        <v>-223.50429</v>
      </c>
      <c r="C32" s="13">
        <f>IF(513.40729="","-",513.40729)</f>
        <v>513.40729</v>
      </c>
      <c r="D32" s="13" t="s">
        <v>21</v>
      </c>
    </row>
    <row r="33" spans="1:4" ht="15.75">
      <c r="A33" s="75" t="s">
        <v>91</v>
      </c>
      <c r="B33" s="13">
        <f>IF(6879.15353="","-",6879.15353)</f>
        <v>6879.15353</v>
      </c>
      <c r="C33" s="13">
        <f>IF(7759.91002="","-",7759.91002)</f>
        <v>7759.91002</v>
      </c>
      <c r="D33" s="13">
        <f>IF(OR(6879.15353="",7759.91002="",6879.15353=0),"-",7759.91002/6879.15353*100)</f>
        <v>112.80326839863393</v>
      </c>
    </row>
    <row r="34" spans="1:4" ht="15.75">
      <c r="A34" s="75" t="s">
        <v>8</v>
      </c>
      <c r="B34" s="13">
        <f>IF(5100.06946="","-",5100.06946)</f>
        <v>5100.06946</v>
      </c>
      <c r="C34" s="13">
        <f>IF(11038.71836="","-",11038.71836)</f>
        <v>11038.71836</v>
      </c>
      <c r="D34" s="13" t="s">
        <v>321</v>
      </c>
    </row>
    <row r="35" spans="1:4" ht="15.75">
      <c r="A35" s="75" t="s">
        <v>250</v>
      </c>
      <c r="B35" s="13">
        <f>IF(71291.18532="","-",71291.18532)</f>
        <v>71291.18532</v>
      </c>
      <c r="C35" s="13">
        <f>IF(19830.33011="","-",19830.33011)</f>
        <v>19830.33011</v>
      </c>
      <c r="D35" s="13">
        <f>IF(OR(71291.18532="",19830.33011="",71291.18532=0),"-",19830.33011/71291.18532*100)</f>
        <v>27.81596353180118</v>
      </c>
    </row>
    <row r="36" spans="1:4" ht="15.75">
      <c r="A36" s="57" t="s">
        <v>202</v>
      </c>
      <c r="B36" s="23">
        <f>IF(-653889.27307="","-",-653889.27307)</f>
        <v>-653889.27307</v>
      </c>
      <c r="C36" s="23">
        <f>IF(-913050.71074="","-",-913050.71074)</f>
        <v>-913050.71074</v>
      </c>
      <c r="D36" s="23">
        <f>IF(-653889.27307="","-",-913050.71074/-653889.27307*100)</f>
        <v>139.63384143820574</v>
      </c>
    </row>
    <row r="37" spans="1:4" ht="15.75">
      <c r="A37" s="75" t="s">
        <v>11</v>
      </c>
      <c r="B37" s="13">
        <f>IF(-403915.29444="","-",-403915.29444)</f>
        <v>-403915.29444</v>
      </c>
      <c r="C37" s="13">
        <f>IF(-454910.82779="","-",-454910.82779)</f>
        <v>-454910.82779</v>
      </c>
      <c r="D37" s="13">
        <f>IF(OR(-403915.29444="",-454910.82779="",-403915.29444=0),"-",-454910.82779/-403915.29444*100)</f>
        <v>112.62530388226612</v>
      </c>
    </row>
    <row r="38" spans="1:4" ht="15.75">
      <c r="A38" s="75" t="s">
        <v>253</v>
      </c>
      <c r="B38" s="13">
        <f>IF(-265963.18288="","-",-265963.18288)</f>
        <v>-265963.18288</v>
      </c>
      <c r="C38" s="13">
        <f>IF(-427492.33819="","-",-427492.33819)</f>
        <v>-427492.33819</v>
      </c>
      <c r="D38" s="13" t="s">
        <v>195</v>
      </c>
    </row>
    <row r="39" spans="1:4" ht="15.75">
      <c r="A39" s="75" t="s">
        <v>10</v>
      </c>
      <c r="B39" s="13">
        <f>IF(-4982.47441="","-",-4982.47441)</f>
        <v>-4982.47441</v>
      </c>
      <c r="C39" s="13">
        <f>IF(-36316.21679="","-",-36316.21679)</f>
        <v>-36316.21679</v>
      </c>
      <c r="D39" s="13" t="s">
        <v>325</v>
      </c>
    </row>
    <row r="40" spans="1:4" ht="15.75">
      <c r="A40" s="75" t="s">
        <v>15</v>
      </c>
      <c r="B40" s="13">
        <f>IF(607.17192="","-",607.17192)</f>
        <v>607.17192</v>
      </c>
      <c r="C40" s="13">
        <f>IF(-10399.50877="","-",-10399.50877)</f>
        <v>-10399.50877</v>
      </c>
      <c r="D40" s="13" t="s">
        <v>21</v>
      </c>
    </row>
    <row r="41" spans="1:4" ht="15.75">
      <c r="A41" s="75" t="s">
        <v>14</v>
      </c>
      <c r="B41" s="13">
        <f>IF(-156.68537="","-",-156.68537)</f>
        <v>-156.68537</v>
      </c>
      <c r="C41" s="13">
        <f>IF(-108.28253="","-",-108.28253)</f>
        <v>-108.28253</v>
      </c>
      <c r="D41" s="13">
        <f>IF(OR(-156.68537="",-108.28253="",-156.68537=0),"-",-108.28253/-156.68537*100)</f>
        <v>69.10825816092465</v>
      </c>
    </row>
    <row r="42" spans="1:4" ht="15.75">
      <c r="A42" s="75" t="s">
        <v>17</v>
      </c>
      <c r="B42" s="13">
        <f>IF(369.90953="","-",369.90953)</f>
        <v>369.90953</v>
      </c>
      <c r="C42" s="13">
        <f>IF(321.25055="","-",321.25055)</f>
        <v>321.25055</v>
      </c>
      <c r="D42" s="13">
        <f>IF(OR(369.90953="",321.25055="",369.90953=0),"-",321.25055/369.90953*100)</f>
        <v>86.84570792215057</v>
      </c>
    </row>
    <row r="43" spans="1:4" ht="15.75">
      <c r="A43" s="75" t="s">
        <v>234</v>
      </c>
      <c r="B43" s="13">
        <f>IF(917.69584="","-",917.69584)</f>
        <v>917.69584</v>
      </c>
      <c r="C43" s="13">
        <f>IF(678.6245="","-",678.6245)</f>
        <v>678.6245</v>
      </c>
      <c r="D43" s="13">
        <f>IF(OR(917.69584="",678.6245="",917.69584=0),"-",678.6245/917.69584*100)</f>
        <v>73.94873883268339</v>
      </c>
    </row>
    <row r="44" spans="1:4" ht="15.75">
      <c r="A44" s="75" t="s">
        <v>16</v>
      </c>
      <c r="B44" s="13">
        <f>IF(495.4503="","-",495.4503)</f>
        <v>495.4503</v>
      </c>
      <c r="C44" s="13">
        <f>IF(1077.74098="","-",1077.74098)</f>
        <v>1077.74098</v>
      </c>
      <c r="D44" s="13" t="s">
        <v>321</v>
      </c>
    </row>
    <row r="45" spans="1:4" ht="15.75">
      <c r="A45" s="75" t="s">
        <v>13</v>
      </c>
      <c r="B45" s="13">
        <f>IF(5278.71819="","-",5278.71819)</f>
        <v>5278.71819</v>
      </c>
      <c r="C45" s="13">
        <f>IF(4299.6799="","-",4299.6799)</f>
        <v>4299.6799</v>
      </c>
      <c r="D45" s="13">
        <f>IF(OR(5278.71819="",4299.6799="",5278.71819=0),"-",4299.6799/5278.71819*100)</f>
        <v>81.45310556917607</v>
      </c>
    </row>
    <row r="46" spans="1:4" ht="15.75">
      <c r="A46" s="75" t="s">
        <v>12</v>
      </c>
      <c r="B46" s="13">
        <f>IF(13459.41825="","-",13459.41825)</f>
        <v>13459.41825</v>
      </c>
      <c r="C46" s="13">
        <f>IF(9799.1674="","-",9799.1674)</f>
        <v>9799.1674</v>
      </c>
      <c r="D46" s="13">
        <f>IF(OR(13459.41825="",9799.1674="",13459.41825=0),"-",9799.1674/13459.41825*100)</f>
        <v>72.80528190733652</v>
      </c>
    </row>
    <row r="47" spans="1:4" ht="15.75">
      <c r="A47" s="31" t="s">
        <v>201</v>
      </c>
      <c r="B47" s="23">
        <f>IF(-783999.15381="","-",-783999.15381)</f>
        <v>-783999.15381</v>
      </c>
      <c r="C47" s="23">
        <f>IF(-955817.74743="","-",-955817.74743)</f>
        <v>-955817.74743</v>
      </c>
      <c r="D47" s="23">
        <f>IF(-783999.15381="","-",-955817.74743/-783999.15381*100)</f>
        <v>121.91566059542454</v>
      </c>
    </row>
    <row r="48" spans="1:4" ht="15.75">
      <c r="A48" s="22" t="s">
        <v>103</v>
      </c>
      <c r="B48" s="13">
        <f>IF(-434780.52088="","-",-434780.52088)</f>
        <v>-434780.52088</v>
      </c>
      <c r="C48" s="13">
        <f>IF(-532254.75206="","-",-532254.75206)</f>
        <v>-532254.75206</v>
      </c>
      <c r="D48" s="13">
        <f>IF(OR(-434780.52088="",-532254.75206="",-434780.52088=0),"-",-532254.75206/-434780.52088*100)</f>
        <v>122.41918082776826</v>
      </c>
    </row>
    <row r="49" spans="1:4" ht="15.75">
      <c r="A49" s="22" t="s">
        <v>100</v>
      </c>
      <c r="B49" s="13">
        <f>IF(-185578.47526="","-",-185578.47526)</f>
        <v>-185578.47526</v>
      </c>
      <c r="C49" s="13">
        <f>IF(-220958.23532="","-",-220958.23532)</f>
        <v>-220958.23532</v>
      </c>
      <c r="D49" s="13">
        <f>IF(OR(-185578.47526="",-220958.23532="",-185578.47526=0),"-",-220958.23532/-185578.47526*100)</f>
        <v>119.06458171424896</v>
      </c>
    </row>
    <row r="50" spans="1:4" ht="15.75">
      <c r="A50" s="22" t="s">
        <v>18</v>
      </c>
      <c r="B50" s="13">
        <f>IF(-47210.1951="","-",-47210.1951)</f>
        <v>-47210.1951</v>
      </c>
      <c r="C50" s="13">
        <f>IF(-49472.48918="","-",-49472.48918)</f>
        <v>-49472.48918</v>
      </c>
      <c r="D50" s="13">
        <f>IF(OR(-47210.1951="",-49472.48918="",-47210.1951=0),"-",-49472.48918/-47210.1951*100)</f>
        <v>104.79196087880602</v>
      </c>
    </row>
    <row r="51" spans="1:4" ht="15.75">
      <c r="A51" s="22" t="s">
        <v>121</v>
      </c>
      <c r="B51" s="13">
        <f>IF(-32447.96826="","-",-32447.96826)</f>
        <v>-32447.96826</v>
      </c>
      <c r="C51" s="13">
        <f>IF(-48053.47023="","-",-48053.47023)</f>
        <v>-48053.47023</v>
      </c>
      <c r="D51" s="13">
        <f>IF(OR(-32447.96826="",-48053.47023="",-32447.96826=0),"-",-48053.47023/-32447.96826*100)</f>
        <v>148.09392638995388</v>
      </c>
    </row>
    <row r="52" spans="1:4" ht="15.75">
      <c r="A52" s="22" t="s">
        <v>81</v>
      </c>
      <c r="B52" s="13">
        <f>IF(-24080.29559="","-",-24080.29559)</f>
        <v>-24080.29559</v>
      </c>
      <c r="C52" s="13">
        <f>IF(-36350.96363="","-",-36350.96363)</f>
        <v>-36350.96363</v>
      </c>
      <c r="D52" s="13">
        <f>IF(OR(-24080.29559="",-36350.96363="",-24080.29559=0),"-",-36350.96363/-24080.29559*100)</f>
        <v>150.95729823638763</v>
      </c>
    </row>
    <row r="53" spans="1:4" ht="15.75">
      <c r="A53" s="22" t="s">
        <v>117</v>
      </c>
      <c r="B53" s="13">
        <f>IF(-31329.06672="","-",-31329.06672)</f>
        <v>-31329.06672</v>
      </c>
      <c r="C53" s="13">
        <f>IF(-33803.68585="","-",-33803.68585)</f>
        <v>-33803.68585</v>
      </c>
      <c r="D53" s="13">
        <f>IF(OR(-31329.06672="",-33803.68585="",-31329.06672=0),"-",-33803.68585/-31329.06672*100)</f>
        <v>107.89879619497329</v>
      </c>
    </row>
    <row r="54" spans="1:4" ht="15.75">
      <c r="A54" s="22" t="s">
        <v>114</v>
      </c>
      <c r="B54" s="13">
        <f>IF(-23803.87028="","-",-23803.87028)</f>
        <v>-23803.87028</v>
      </c>
      <c r="C54" s="13">
        <f>IF(-27110.54239="","-",-27110.54239)</f>
        <v>-27110.54239</v>
      </c>
      <c r="D54" s="13">
        <f>IF(OR(-23803.87028="",-27110.54239="",-23803.87028=0),"-",-27110.54239/-23803.87028*100)</f>
        <v>113.8913213318015</v>
      </c>
    </row>
    <row r="55" spans="1:4" ht="15.75">
      <c r="A55" s="22" t="s">
        <v>115</v>
      </c>
      <c r="B55" s="13">
        <f>IF(-15926.51964="","-",-15926.51964)</f>
        <v>-15926.51964</v>
      </c>
      <c r="C55" s="13">
        <f>IF(-16886.04381="","-",-16886.04381)</f>
        <v>-16886.04381</v>
      </c>
      <c r="D55" s="13">
        <f>IF(OR(-15926.51964="",-16886.04381="",-15926.51964=0),"-",-16886.04381/-15926.51964*100)</f>
        <v>106.02469460804306</v>
      </c>
    </row>
    <row r="56" spans="1:4" ht="15.75">
      <c r="A56" s="22" t="s">
        <v>126</v>
      </c>
      <c r="B56" s="13">
        <f>IF(-11144.63403="","-",-11144.63403)</f>
        <v>-11144.63403</v>
      </c>
      <c r="C56" s="13">
        <f>IF(-13389.29334="","-",-13389.29334)</f>
        <v>-13389.29334</v>
      </c>
      <c r="D56" s="13">
        <f>IF(OR(-11144.63403="",-13389.29334="",-11144.63403=0),"-",-13389.29334/-11144.63403*100)</f>
        <v>120.1411666274339</v>
      </c>
    </row>
    <row r="57" spans="1:4" ht="15.75">
      <c r="A57" s="22" t="s">
        <v>130</v>
      </c>
      <c r="B57" s="13">
        <f>IF(-4903.53066="","-",-4903.53066)</f>
        <v>-4903.53066</v>
      </c>
      <c r="C57" s="13">
        <f>IF(-10988.80906="","-",-10988.80906)</f>
        <v>-10988.80906</v>
      </c>
      <c r="D57" s="13" t="s">
        <v>321</v>
      </c>
    </row>
    <row r="58" spans="1:4" ht="15.75">
      <c r="A58" s="22" t="s">
        <v>116</v>
      </c>
      <c r="B58" s="13">
        <f>IF(-7849.44743="","-",-7849.44743)</f>
        <v>-7849.44743</v>
      </c>
      <c r="C58" s="13">
        <f>IF(-8161.15959="","-",-8161.15959)</f>
        <v>-8161.15959</v>
      </c>
      <c r="D58" s="13">
        <f>IF(OR(-7849.44743="",-8161.15959="",-7849.44743=0),"-",-8161.15959/-7849.44743*100)</f>
        <v>103.97113507389908</v>
      </c>
    </row>
    <row r="59" spans="1:4" ht="15.75">
      <c r="A59" s="22" t="s">
        <v>129</v>
      </c>
      <c r="B59" s="13">
        <f>IF(-6394.11175999999="","-",-6394.11175999999)</f>
        <v>-6394.11175999999</v>
      </c>
      <c r="C59" s="13">
        <f>IF(-7313.95508="","-",-7313.95508)</f>
        <v>-7313.95508</v>
      </c>
      <c r="D59" s="13">
        <f>IF(OR(-6394.11175999999="",-7313.95508="",-6394.11175999999=0),"-",-7313.95508/-6394.11175999999*100)</f>
        <v>114.38578733881893</v>
      </c>
    </row>
    <row r="60" spans="1:4" ht="15.75">
      <c r="A60" s="22" t="s">
        <v>106</v>
      </c>
      <c r="B60" s="13">
        <f>IF(-4654.68856="","-",-4654.68856)</f>
        <v>-4654.68856</v>
      </c>
      <c r="C60" s="13">
        <f>IF(-7309.15178="","-",-7309.15178)</f>
        <v>-7309.15178</v>
      </c>
      <c r="D60" s="13" t="s">
        <v>195</v>
      </c>
    </row>
    <row r="61" spans="1:7" ht="15.75">
      <c r="A61" s="22" t="s">
        <v>123</v>
      </c>
      <c r="B61" s="13">
        <f>IF(-6478.12268="","-",-6478.12268)</f>
        <v>-6478.12268</v>
      </c>
      <c r="C61" s="13">
        <f>IF(-7080.45378="","-",-7080.45378)</f>
        <v>-7080.45378</v>
      </c>
      <c r="D61" s="13">
        <f>IF(OR(-6478.12268="",-7080.45378="",-6478.12268=0),"-",-7080.45378/-6478.12268*100)</f>
        <v>109.29792672589522</v>
      </c>
      <c r="E61" s="1"/>
      <c r="F61" s="1"/>
      <c r="G61" s="1"/>
    </row>
    <row r="62" spans="1:4" ht="15.75">
      <c r="A62" s="22" t="s">
        <v>127</v>
      </c>
      <c r="B62" s="13">
        <f>IF(-7400.38848="","-",-7400.38848)</f>
        <v>-7400.38848</v>
      </c>
      <c r="C62" s="13">
        <f>IF(-6374.43077="","-",-6374.43077)</f>
        <v>-6374.43077</v>
      </c>
      <c r="D62" s="13">
        <f>IF(OR(-7400.38848="",-6374.43077="",-7400.38848=0),"-",-6374.43077/-7400.38848*100)</f>
        <v>86.13643442134541</v>
      </c>
    </row>
    <row r="63" spans="1:4" ht="15.75">
      <c r="A63" s="22" t="s">
        <v>111</v>
      </c>
      <c r="B63" s="13">
        <f>IF(-6944.90792="","-",-6944.90792)</f>
        <v>-6944.90792</v>
      </c>
      <c r="C63" s="13">
        <f>IF(-5944.64521="","-",-5944.64521)</f>
        <v>-5944.64521</v>
      </c>
      <c r="D63" s="13">
        <f>IF(OR(-6944.90792="",-5944.64521="",-6944.90792=0),"-",-5944.64521/-6944.90792*100)</f>
        <v>85.59717822723847</v>
      </c>
    </row>
    <row r="64" spans="1:4" ht="15.75">
      <c r="A64" s="22" t="s">
        <v>107</v>
      </c>
      <c r="B64" s="13">
        <f>IF(-7073.10101="","-",-7073.10101)</f>
        <v>-7073.10101</v>
      </c>
      <c r="C64" s="13">
        <f>IF(-5667.84109="","-",-5667.84109)</f>
        <v>-5667.84109</v>
      </c>
      <c r="D64" s="13">
        <f>IF(OR(-7073.10101="",-5667.84109="",-7073.10101=0),"-",-5667.84109/-7073.10101*100)</f>
        <v>80.13233632584586</v>
      </c>
    </row>
    <row r="65" spans="1:4" ht="15.75">
      <c r="A65" s="22" t="s">
        <v>131</v>
      </c>
      <c r="B65" s="13">
        <f>IF(-3779.90907="","-",-3779.90907)</f>
        <v>-3779.90907</v>
      </c>
      <c r="C65" s="13">
        <f>IF(-4800.47336="","-",-4800.47336)</f>
        <v>-4800.47336</v>
      </c>
      <c r="D65" s="13">
        <f>IF(OR(-3779.90907="",-4800.47336="",-3779.90907=0),"-",-4800.47336/-3779.90907*100)</f>
        <v>126.9997047839037</v>
      </c>
    </row>
    <row r="66" spans="1:4" ht="15.75">
      <c r="A66" s="22" t="s">
        <v>128</v>
      </c>
      <c r="B66" s="13">
        <f>IF(-5726.34088="","-",-5726.34088)</f>
        <v>-5726.34088</v>
      </c>
      <c r="C66" s="13">
        <f>IF(-4599.64139="","-",-4599.64139)</f>
        <v>-4599.64139</v>
      </c>
      <c r="D66" s="13">
        <f>IF(OR(-5726.34088="",-4599.64139="",-5726.34088=0),"-",-4599.64139/-5726.34088*100)</f>
        <v>80.32426791190258</v>
      </c>
    </row>
    <row r="67" spans="1:4" ht="15.75">
      <c r="A67" s="22" t="s">
        <v>132</v>
      </c>
      <c r="B67" s="13">
        <f>IF(-3063.43542="","-",-3063.43542)</f>
        <v>-3063.43542</v>
      </c>
      <c r="C67" s="13">
        <f>IF(-4068.66347="","-",-4068.66347)</f>
        <v>-4068.66347</v>
      </c>
      <c r="D67" s="13">
        <f>IF(OR(-3063.43542="",-4068.66347="",-3063.43542=0),"-",-4068.66347/-3063.43542*100)</f>
        <v>132.81375032217915</v>
      </c>
    </row>
    <row r="68" spans="1:7" ht="15.75">
      <c r="A68" s="22" t="s">
        <v>135</v>
      </c>
      <c r="B68" s="13">
        <f>IF(-2054.84468="","-",-2054.84468)</f>
        <v>-2054.84468</v>
      </c>
      <c r="C68" s="13">
        <f>IF(-4064.378="","-",-4064.378)</f>
        <v>-4064.378</v>
      </c>
      <c r="D68" s="13" t="s">
        <v>324</v>
      </c>
      <c r="E68" s="1"/>
      <c r="F68" s="1"/>
      <c r="G68" s="1"/>
    </row>
    <row r="69" spans="1:4" ht="15.75">
      <c r="A69" s="22" t="s">
        <v>113</v>
      </c>
      <c r="B69" s="13">
        <f>IF(-1463.76364="","-",-1463.76364)</f>
        <v>-1463.76364</v>
      </c>
      <c r="C69" s="13">
        <f>IF(-3845.08574="","-",-3845.08574)</f>
        <v>-3845.08574</v>
      </c>
      <c r="D69" s="13" t="s">
        <v>147</v>
      </c>
    </row>
    <row r="70" spans="1:4" ht="15.75">
      <c r="A70" s="22" t="s">
        <v>119</v>
      </c>
      <c r="B70" s="13">
        <f>IF(-1686.53693="","-",-1686.53693)</f>
        <v>-1686.53693</v>
      </c>
      <c r="C70" s="13">
        <f>IF(-3778.99848="","-",-3778.99848)</f>
        <v>-3778.99848</v>
      </c>
      <c r="D70" s="13" t="s">
        <v>321</v>
      </c>
    </row>
    <row r="71" spans="1:4" ht="15.75">
      <c r="A71" s="22" t="s">
        <v>83</v>
      </c>
      <c r="B71" s="13">
        <f>IF(-2239.84347="","-",-2239.84347)</f>
        <v>-2239.84347</v>
      </c>
      <c r="C71" s="13">
        <f>IF(-2525.08167="","-",-2525.08167)</f>
        <v>-2525.08167</v>
      </c>
      <c r="D71" s="13">
        <f>IF(OR(-2239.84347="",-2525.08167="",-2239.84347=0),"-",-2525.08167/-2239.84347*100)</f>
        <v>112.73473811096272</v>
      </c>
    </row>
    <row r="72" spans="1:4" ht="15.75">
      <c r="A72" s="22" t="s">
        <v>134</v>
      </c>
      <c r="B72" s="13">
        <f>IF(-3699.58731="","-",-3699.58731)</f>
        <v>-3699.58731</v>
      </c>
      <c r="C72" s="13">
        <f>IF(-2092.64877="","-",-2092.64877)</f>
        <v>-2092.64877</v>
      </c>
      <c r="D72" s="13">
        <f>IF(OR(-3699.58731="",-2092.64877="",-3699.58731=0),"-",-2092.64877/-3699.58731*100)</f>
        <v>56.56438393394748</v>
      </c>
    </row>
    <row r="73" spans="1:4" ht="15.75">
      <c r="A73" s="22" t="s">
        <v>109</v>
      </c>
      <c r="B73" s="13">
        <f>IF(-2489.25441="","-",-2489.25441)</f>
        <v>-2489.25441</v>
      </c>
      <c r="C73" s="13">
        <f>IF(-2027.89949="","-",-2027.89949)</f>
        <v>-2027.89949</v>
      </c>
      <c r="D73" s="13">
        <f>IF(OR(-2489.25441="",-2027.89949="",-2489.25441=0),"-",-2027.89949/-2489.25441*100)</f>
        <v>81.46614029700564</v>
      </c>
    </row>
    <row r="74" spans="1:4" ht="15.75">
      <c r="A74" s="22" t="s">
        <v>82</v>
      </c>
      <c r="B74" s="13">
        <f>IF(-48.15883="","-",-48.15883)</f>
        <v>-48.15883</v>
      </c>
      <c r="C74" s="13">
        <f>IF(-1815.3326="","-",-1815.3326)</f>
        <v>-1815.3326</v>
      </c>
      <c r="D74" s="13" t="s">
        <v>326</v>
      </c>
    </row>
    <row r="75" spans="1:4" ht="15.75">
      <c r="A75" s="22" t="s">
        <v>118</v>
      </c>
      <c r="B75" s="13">
        <f>IF(-1426.06417="","-",-1426.06417)</f>
        <v>-1426.06417</v>
      </c>
      <c r="C75" s="13">
        <f>IF(-1810.50413="","-",-1810.50413)</f>
        <v>-1810.50413</v>
      </c>
      <c r="D75" s="13">
        <f>IF(OR(-1426.06417="",-1810.50413="",-1426.06417=0),"-",-1810.50413/-1426.06417*100)</f>
        <v>126.95811086818063</v>
      </c>
    </row>
    <row r="76" spans="1:7" ht="15.75">
      <c r="A76" s="22" t="s">
        <v>112</v>
      </c>
      <c r="B76" s="13">
        <f>IF(168.81962="","-",168.81962)</f>
        <v>168.81962</v>
      </c>
      <c r="C76" s="13">
        <f>IF(-1643.40368="","-",-1643.40368)</f>
        <v>-1643.40368</v>
      </c>
      <c r="D76" s="13" t="s">
        <v>21</v>
      </c>
      <c r="E76" s="16"/>
      <c r="F76" s="16"/>
      <c r="G76" s="16"/>
    </row>
    <row r="77" spans="1:4" ht="15.75">
      <c r="A77" s="22" t="s">
        <v>179</v>
      </c>
      <c r="B77" s="13">
        <f>IF(10665.47796="","-",10665.47796)</f>
        <v>10665.47796</v>
      </c>
      <c r="C77" s="13">
        <f>IF(-1599.82487="","-",-1599.82487)</f>
        <v>-1599.82487</v>
      </c>
      <c r="D77" s="13" t="s">
        <v>21</v>
      </c>
    </row>
    <row r="78" spans="1:4" ht="15.75">
      <c r="A78" s="22" t="s">
        <v>133</v>
      </c>
      <c r="B78" s="13">
        <f>IF(-1152.10782="","-",-1152.10782)</f>
        <v>-1152.10782</v>
      </c>
      <c r="C78" s="13">
        <f>IF(-1346.4815="","-",-1346.4815)</f>
        <v>-1346.4815</v>
      </c>
      <c r="D78" s="13">
        <f>IF(OR(-1152.10782="",-1346.4815="",-1152.10782=0),"-",-1346.4815/-1152.10782*100)</f>
        <v>116.87113624486986</v>
      </c>
    </row>
    <row r="79" spans="1:4" ht="15.75">
      <c r="A79" s="22" t="s">
        <v>225</v>
      </c>
      <c r="B79" s="13">
        <f>IF(-542.65694="","-",-542.65694)</f>
        <v>-542.65694</v>
      </c>
      <c r="C79" s="13">
        <f>IF(-1239.03633="","-",-1239.03633)</f>
        <v>-1239.03633</v>
      </c>
      <c r="D79" s="13" t="s">
        <v>158</v>
      </c>
    </row>
    <row r="80" spans="1:4" ht="15.75">
      <c r="A80" s="22" t="s">
        <v>143</v>
      </c>
      <c r="B80" s="13">
        <f>IF(-560.4586="","-",-560.4586)</f>
        <v>-560.4586</v>
      </c>
      <c r="C80" s="13">
        <f>IF(-1203.04472="","-",-1203.04472)</f>
        <v>-1203.04472</v>
      </c>
      <c r="D80" s="13" t="s">
        <v>327</v>
      </c>
    </row>
    <row r="81" spans="1:4" ht="15.75">
      <c r="A81" s="22" t="s">
        <v>139</v>
      </c>
      <c r="B81" s="13">
        <f>IF(-924.76026="","-",-924.76026)</f>
        <v>-924.76026</v>
      </c>
      <c r="C81" s="13">
        <f>IF(-1090.52597="","-",-1090.52597)</f>
        <v>-1090.52597</v>
      </c>
      <c r="D81" s="13">
        <f>IF(OR(-924.76026="",-1090.52597="",-924.76026=0),"-",-1090.52597/-924.76026*100)</f>
        <v>117.92526313792936</v>
      </c>
    </row>
    <row r="82" spans="1:4" ht="15.75">
      <c r="A82" s="22" t="s">
        <v>137</v>
      </c>
      <c r="B82" s="13">
        <f>IF(-466.89389="","-",-466.89389)</f>
        <v>-466.89389</v>
      </c>
      <c r="C82" s="13">
        <f>IF(-1084.69193="","-",-1084.69193)</f>
        <v>-1084.69193</v>
      </c>
      <c r="D82" s="13" t="s">
        <v>158</v>
      </c>
    </row>
    <row r="83" spans="1:4" ht="15.75">
      <c r="A83" s="22" t="s">
        <v>136</v>
      </c>
      <c r="B83" s="13">
        <f>IF(-1009.66885="","-",-1009.66885)</f>
        <v>-1009.66885</v>
      </c>
      <c r="C83" s="13">
        <f>IF(-1083.53379="","-",-1083.53379)</f>
        <v>-1083.53379</v>
      </c>
      <c r="D83" s="13">
        <f>IF(OR(-1009.66885="",-1083.53379="",-1009.66885=0),"-",-1083.53379/-1009.66885*100)</f>
        <v>107.31575902336692</v>
      </c>
    </row>
    <row r="84" spans="1:4" ht="15.75">
      <c r="A84" s="22" t="s">
        <v>125</v>
      </c>
      <c r="B84" s="13">
        <f>IF(-652.5153="","-",-652.5153)</f>
        <v>-652.5153</v>
      </c>
      <c r="C84" s="13">
        <f>IF(-1040.17875="","-",-1040.17875)</f>
        <v>-1040.17875</v>
      </c>
      <c r="D84" s="13" t="s">
        <v>195</v>
      </c>
    </row>
    <row r="85" spans="1:4" ht="15.75">
      <c r="A85" s="22" t="s">
        <v>255</v>
      </c>
      <c r="B85" s="13">
        <f>IF(66.18583="","-",66.18583)</f>
        <v>66.18583</v>
      </c>
      <c r="C85" s="13">
        <f>IF(-720.8869="","-",-720.8869)</f>
        <v>-720.8869</v>
      </c>
      <c r="D85" s="13" t="s">
        <v>21</v>
      </c>
    </row>
    <row r="86" spans="1:4" ht="15.75">
      <c r="A86" s="22" t="s">
        <v>138</v>
      </c>
      <c r="B86" s="13">
        <f>IF(-1812.26691="","-",-1812.26691)</f>
        <v>-1812.26691</v>
      </c>
      <c r="C86" s="13">
        <f>IF(-665.24597="","-",-665.24597)</f>
        <v>-665.24597</v>
      </c>
      <c r="D86" s="13">
        <f>IF(OR(-1812.26691="",-665.24597="",-1812.26691=0),"-",-665.24597/-1812.26691*100)</f>
        <v>36.70794662360193</v>
      </c>
    </row>
    <row r="87" spans="1:4" ht="15.75">
      <c r="A87" s="22" t="s">
        <v>140</v>
      </c>
      <c r="B87" s="13">
        <f>IF(-496.03653="","-",-496.03653)</f>
        <v>-496.03653</v>
      </c>
      <c r="C87" s="13">
        <f>IF(-622.27732="","-",-622.27732)</f>
        <v>-622.27732</v>
      </c>
      <c r="D87" s="13">
        <f>IF(OR(-496.03653="",-622.27732="",-496.03653=0),"-",-622.27732/-496.03653*100)</f>
        <v>125.44989781296954</v>
      </c>
    </row>
    <row r="88" spans="1:4" ht="15.75">
      <c r="A88" s="22" t="s">
        <v>149</v>
      </c>
      <c r="B88" s="13">
        <f>IF(-1167.62705="","-",-1167.62705)</f>
        <v>-1167.62705</v>
      </c>
      <c r="C88" s="13">
        <f>IF(-593.48565="","-",-593.48565)</f>
        <v>-593.48565</v>
      </c>
      <c r="D88" s="13">
        <f>IF(OR(-1167.62705="",-593.48565="",-1167.62705=0),"-",-593.48565/-1167.62705*100)</f>
        <v>50.82835739374143</v>
      </c>
    </row>
    <row r="89" spans="1:4" ht="15.75">
      <c r="A89" s="22" t="s">
        <v>144</v>
      </c>
      <c r="B89" s="13">
        <f>IF(-249.92041="","-",-249.92041)</f>
        <v>-249.92041</v>
      </c>
      <c r="C89" s="13">
        <f>IF(-548.8224="","-",-548.8224)</f>
        <v>-548.8224</v>
      </c>
      <c r="D89" s="13" t="s">
        <v>321</v>
      </c>
    </row>
    <row r="90" spans="1:4" ht="15.75">
      <c r="A90" s="22" t="s">
        <v>200</v>
      </c>
      <c r="B90" s="13">
        <f>IF(-544.24102="","-",-544.24102)</f>
        <v>-544.24102</v>
      </c>
      <c r="C90" s="13">
        <f>IF(-514.62567="","-",-514.62567)</f>
        <v>-514.62567</v>
      </c>
      <c r="D90" s="13">
        <f>IF(OR(-544.24102="",-514.62567="",-544.24102=0),"-",-514.62567/-544.24102*100)</f>
        <v>94.55841274147251</v>
      </c>
    </row>
    <row r="91" spans="1:4" ht="15.75">
      <c r="A91" s="22" t="s">
        <v>150</v>
      </c>
      <c r="B91" s="13">
        <f>IF(-314.34249="","-",-314.34249)</f>
        <v>-314.34249</v>
      </c>
      <c r="C91" s="13">
        <f>IF(-505.25499="","-",-505.25499)</f>
        <v>-505.25499</v>
      </c>
      <c r="D91" s="13" t="s">
        <v>195</v>
      </c>
    </row>
    <row r="92" spans="1:4" ht="15.75">
      <c r="A92" s="22" t="s">
        <v>226</v>
      </c>
      <c r="B92" s="13">
        <f>IF(-34.10485="","-",-34.10485)</f>
        <v>-34.10485</v>
      </c>
      <c r="C92" s="13">
        <f>IF(-396.72142="","-",-396.72142)</f>
        <v>-396.72142</v>
      </c>
      <c r="D92" s="13" t="s">
        <v>328</v>
      </c>
    </row>
    <row r="93" spans="1:4" ht="15.75">
      <c r="A93" s="22" t="s">
        <v>148</v>
      </c>
      <c r="B93" s="13">
        <f>IF(621.80743="","-",621.80743)</f>
        <v>621.80743</v>
      </c>
      <c r="C93" s="13">
        <f>IF(-378.01908="","-",-378.01908)</f>
        <v>-378.01908</v>
      </c>
      <c r="D93" s="13" t="s">
        <v>21</v>
      </c>
    </row>
    <row r="94" spans="1:4" ht="15.75">
      <c r="A94" s="22" t="s">
        <v>159</v>
      </c>
      <c r="B94" s="13">
        <f>IF(-45.14169="","-",-45.14169)</f>
        <v>-45.14169</v>
      </c>
      <c r="C94" s="13">
        <f>IF(-263.04378="","-",-263.04378)</f>
        <v>-263.04378</v>
      </c>
      <c r="D94" s="13" t="s">
        <v>329</v>
      </c>
    </row>
    <row r="95" spans="1:7" ht="15.75">
      <c r="A95" s="22" t="s">
        <v>241</v>
      </c>
      <c r="B95" s="13">
        <f>IF(-13.39834="","-",-13.39834)</f>
        <v>-13.39834</v>
      </c>
      <c r="C95" s="13">
        <f>IF(-130.8388="","-",-130.8388)</f>
        <v>-130.8388</v>
      </c>
      <c r="D95" s="13" t="s">
        <v>330</v>
      </c>
      <c r="E95" s="16"/>
      <c r="F95" s="16"/>
      <c r="G95" s="16"/>
    </row>
    <row r="96" spans="1:7" ht="15.75">
      <c r="A96" s="22" t="s">
        <v>105</v>
      </c>
      <c r="B96" s="13">
        <f>IF(-1331.85646="","-",-1331.85646)</f>
        <v>-1331.85646</v>
      </c>
      <c r="C96" s="13">
        <f>IF(-128.00234="","-",-128.00234)</f>
        <v>-128.00234</v>
      </c>
      <c r="D96" s="13">
        <f>IF(OR(-1331.85646="",-128.00234="",-1331.85646=0),"-",-128.00234/-1331.85646*100)</f>
        <v>9.610820973905852</v>
      </c>
      <c r="E96" s="16"/>
      <c r="F96" s="16"/>
      <c r="G96" s="16"/>
    </row>
    <row r="97" spans="1:4" ht="15.75">
      <c r="A97" s="22" t="s">
        <v>191</v>
      </c>
      <c r="B97" s="13">
        <f>IF(-92.76142="","-",-92.76142)</f>
        <v>-92.76142</v>
      </c>
      <c r="C97" s="13">
        <f>IF(-117.32436="","-",-117.32436)</f>
        <v>-117.32436</v>
      </c>
      <c r="D97" s="13">
        <f>IF(OR(-92.76142="",-117.32436="",-92.76142=0),"-",-117.32436/-92.76142*100)</f>
        <v>126.47969382098721</v>
      </c>
    </row>
    <row r="98" spans="1:4" ht="15.75">
      <c r="A98" s="22" t="s">
        <v>180</v>
      </c>
      <c r="B98" s="13">
        <f>IF(-229.76061="","-",-229.76061)</f>
        <v>-229.76061</v>
      </c>
      <c r="C98" s="13">
        <f>IF(-103.87099="","-",-103.87099)</f>
        <v>-103.87099</v>
      </c>
      <c r="D98" s="13">
        <f>IF(OR(-229.76061="",-103.87099="",-229.76061=0),"-",-103.87099/-229.76061*100)</f>
        <v>45.20835403422719</v>
      </c>
    </row>
    <row r="99" spans="1:7" ht="15.75">
      <c r="A99" s="22" t="s">
        <v>231</v>
      </c>
      <c r="B99" s="13">
        <f>IF(1196.2642="","-",1196.2642)</f>
        <v>1196.2642</v>
      </c>
      <c r="C99" s="13">
        <f>IF(-102.68834="","-",-102.68834)</f>
        <v>-102.68834</v>
      </c>
      <c r="D99" s="13" t="s">
        <v>21</v>
      </c>
      <c r="E99" s="15"/>
      <c r="F99" s="15"/>
      <c r="G99" s="15"/>
    </row>
    <row r="100" spans="1:4" ht="15.75">
      <c r="A100" s="22" t="s">
        <v>242</v>
      </c>
      <c r="B100" s="13">
        <f>IF(-50.9012="","-",-50.9012)</f>
        <v>-50.9012</v>
      </c>
      <c r="C100" s="13">
        <f>IF(-100.40752="","-",-100.40752)</f>
        <v>-100.40752</v>
      </c>
      <c r="D100" s="13" t="s">
        <v>324</v>
      </c>
    </row>
    <row r="101" spans="1:7" ht="15.75">
      <c r="A101" s="22" t="s">
        <v>192</v>
      </c>
      <c r="B101" s="13">
        <f>IF(-88.21212="","-",-88.21212)</f>
        <v>-88.21212</v>
      </c>
      <c r="C101" s="13">
        <f>IF(-87.51373="","-",-87.51373)</f>
        <v>-87.51373</v>
      </c>
      <c r="D101" s="13">
        <f>IF(OR(-88.21212="",-87.51373="",-88.21212=0),"-",-87.51373/-88.21212*100)</f>
        <v>99.2082833968847</v>
      </c>
      <c r="E101" s="15"/>
      <c r="F101" s="15"/>
      <c r="G101" s="15"/>
    </row>
    <row r="102" spans="1:7" ht="15.75">
      <c r="A102" s="22" t="s">
        <v>256</v>
      </c>
      <c r="B102" s="13">
        <f>IF(-797.94168="","-",-797.94168)</f>
        <v>-797.94168</v>
      </c>
      <c r="C102" s="13">
        <f>IF(-87.19936="","-",-87.19936)</f>
        <v>-87.19936</v>
      </c>
      <c r="D102" s="13">
        <f>IF(OR(-797.94168="",-87.19936="",-797.94168=0),"-",-87.19936/-797.94168*100)</f>
        <v>10.928036745743123</v>
      </c>
      <c r="E102" s="1"/>
      <c r="F102" s="1"/>
      <c r="G102" s="1"/>
    </row>
    <row r="103" spans="1:4" ht="15.75">
      <c r="A103" s="22" t="s">
        <v>243</v>
      </c>
      <c r="B103" s="13">
        <f>IF(-79.5328="","-",-79.5328)</f>
        <v>-79.5328</v>
      </c>
      <c r="C103" s="13">
        <f>IF(-85.30551="","-",-85.30551)</f>
        <v>-85.30551</v>
      </c>
      <c r="D103" s="13">
        <f>IF(OR(-79.5328="",-85.30551="",-79.5328=0),"-",-85.30551/-79.5328*100)</f>
        <v>107.25827583085218</v>
      </c>
    </row>
    <row r="104" spans="1:4" ht="15.75">
      <c r="A104" s="22" t="s">
        <v>312</v>
      </c>
      <c r="B104" s="13">
        <f>IF(-60.02941="","-",-60.02941)</f>
        <v>-60.02941</v>
      </c>
      <c r="C104" s="13">
        <f>IF(-79.8404="","-",-79.8404)</f>
        <v>-79.8404</v>
      </c>
      <c r="D104" s="13">
        <f>IF(OR(-60.02941="",-79.8404="",-60.02941=0),"-",-79.8404/-60.02941*100)</f>
        <v>133.00214011765235</v>
      </c>
    </row>
    <row r="105" spans="1:7" ht="15.75">
      <c r="A105" s="22" t="s">
        <v>313</v>
      </c>
      <c r="B105" s="13">
        <f>IF(-64.49442="","-",-64.49442)</f>
        <v>-64.49442</v>
      </c>
      <c r="C105" s="13">
        <f>IF(-72.13944="","-",-72.13944)</f>
        <v>-72.13944</v>
      </c>
      <c r="D105" s="13">
        <f>IF(OR(-64.49442="",-72.13944="",-64.49442=0),"-",-72.13944/-64.49442*100)</f>
        <v>111.8537696749579</v>
      </c>
      <c r="E105" s="16"/>
      <c r="F105" s="16"/>
      <c r="G105" s="16"/>
    </row>
    <row r="106" spans="1:7" ht="15.75">
      <c r="A106" s="22" t="s">
        <v>314</v>
      </c>
      <c r="B106" s="13">
        <f>IF(45.28454="","-",45.28454)</f>
        <v>45.28454</v>
      </c>
      <c r="C106" s="13">
        <f>IF(74.06953="","-",74.06953)</f>
        <v>74.06953</v>
      </c>
      <c r="D106" s="13">
        <f>IF(OR(45.28454="",74.06953="",45.28454=0),"-",74.06953/45.28454*100)</f>
        <v>163.5647176718589</v>
      </c>
      <c r="E106" s="12"/>
      <c r="F106" s="12"/>
      <c r="G106" s="12"/>
    </row>
    <row r="107" spans="1:7" ht="15.75">
      <c r="A107" s="22" t="s">
        <v>315</v>
      </c>
      <c r="B107" s="13">
        <f>IF(-0.81391="","-",-0.81391)</f>
        <v>-0.81391</v>
      </c>
      <c r="C107" s="13">
        <f>IF(74.08598="","-",74.08598)</f>
        <v>74.08598</v>
      </c>
      <c r="D107" s="13" t="s">
        <v>21</v>
      </c>
      <c r="E107" s="16"/>
      <c r="F107" s="16"/>
      <c r="G107" s="16"/>
    </row>
    <row r="108" spans="1:7" ht="15.75">
      <c r="A108" s="22" t="s">
        <v>316</v>
      </c>
      <c r="B108" s="13">
        <f>IF(-0.26713="","-",-0.26713)</f>
        <v>-0.26713</v>
      </c>
      <c r="C108" s="13">
        <f>IF(99.62="","-",99.62)</f>
        <v>99.62</v>
      </c>
      <c r="D108" s="13" t="s">
        <v>21</v>
      </c>
      <c r="E108" s="16"/>
      <c r="F108" s="16"/>
      <c r="G108" s="16"/>
    </row>
    <row r="109" spans="1:4" ht="15.75">
      <c r="A109" s="22" t="s">
        <v>189</v>
      </c>
      <c r="B109" s="13">
        <f>IF(402.03702="","-",402.03702)</f>
        <v>402.03702</v>
      </c>
      <c r="C109" s="13">
        <f>IF(108.96629="","-",108.96629)</f>
        <v>108.96629</v>
      </c>
      <c r="D109" s="13">
        <f>IF(OR(402.03702="",108.96629="",402.03702=0),"-",108.96629/402.03702*100)</f>
        <v>27.10354633511113</v>
      </c>
    </row>
    <row r="110" spans="1:4" ht="15.75">
      <c r="A110" s="22" t="s">
        <v>216</v>
      </c>
      <c r="B110" s="13">
        <f>IF(174.27736="","-",174.27736)</f>
        <v>174.27736</v>
      </c>
      <c r="C110" s="13">
        <f>IF(134.90109="","-",134.90109)</f>
        <v>134.90109</v>
      </c>
      <c r="D110" s="13">
        <f>IF(OR(174.27736="",134.90109="",174.27736=0),"-",134.90109/174.27736*100)</f>
        <v>77.40597516510465</v>
      </c>
    </row>
    <row r="111" spans="1:4" ht="15.75">
      <c r="A111" s="22" t="s">
        <v>235</v>
      </c>
      <c r="B111" s="13">
        <f>IF(25.98037="","-",25.98037)</f>
        <v>25.98037</v>
      </c>
      <c r="C111" s="13">
        <f>IF(146.18601="","-",146.18601)</f>
        <v>146.18601</v>
      </c>
      <c r="D111" s="13" t="s">
        <v>331</v>
      </c>
    </row>
    <row r="112" spans="1:4" ht="15.75">
      <c r="A112" s="22" t="s">
        <v>224</v>
      </c>
      <c r="B112" s="13">
        <f>IF(827.4645="","-",827.4645)</f>
        <v>827.4645</v>
      </c>
      <c r="C112" s="13">
        <f>IF(203.26985="","-",203.26985)</f>
        <v>203.26985</v>
      </c>
      <c r="D112" s="13">
        <f>IF(OR(827.4645="",203.26985="",827.4645=0),"-",203.26985/827.4645*100)</f>
        <v>24.56538618877305</v>
      </c>
    </row>
    <row r="113" spans="1:4" ht="15.75">
      <c r="A113" s="22" t="s">
        <v>214</v>
      </c>
      <c r="B113" s="13">
        <f>IF(-1.9841="","-",-1.9841)</f>
        <v>-1.9841</v>
      </c>
      <c r="C113" s="13">
        <f>IF(282.96068="","-",282.96068)</f>
        <v>282.96068</v>
      </c>
      <c r="D113" s="13" t="s">
        <v>21</v>
      </c>
    </row>
    <row r="114" spans="1:4" ht="15.75">
      <c r="A114" s="22" t="s">
        <v>178</v>
      </c>
      <c r="B114" s="13">
        <f>IF(2.82522="","-",2.82522)</f>
        <v>2.82522</v>
      </c>
      <c r="C114" s="13">
        <f>IF(329.78556="","-",329.78556)</f>
        <v>329.78556</v>
      </c>
      <c r="D114" s="13" t="s">
        <v>332</v>
      </c>
    </row>
    <row r="115" spans="1:4" ht="15.75">
      <c r="A115" s="22" t="s">
        <v>162</v>
      </c>
      <c r="B115" s="13">
        <f>IF(-0.03953="","-",-0.03953)</f>
        <v>-0.03953</v>
      </c>
      <c r="C115" s="13">
        <f>IF(335.59473="","-",335.59473)</f>
        <v>335.59473</v>
      </c>
      <c r="D115" s="13" t="s">
        <v>21</v>
      </c>
    </row>
    <row r="116" spans="1:4" ht="15.75">
      <c r="A116" s="22" t="s">
        <v>176</v>
      </c>
      <c r="B116" s="13">
        <f>IF(13.5391="","-",13.5391)</f>
        <v>13.5391</v>
      </c>
      <c r="C116" s="13">
        <f>IF(353.87187="","-",353.87187)</f>
        <v>353.87187</v>
      </c>
      <c r="D116" s="13" t="s">
        <v>333</v>
      </c>
    </row>
    <row r="117" spans="1:4" ht="15.75">
      <c r="A117" s="22" t="s">
        <v>157</v>
      </c>
      <c r="B117" s="13">
        <f>IF(443.72813="","-",443.72813)</f>
        <v>443.72813</v>
      </c>
      <c r="C117" s="13">
        <f>IF(368.20709="","-",368.20709)</f>
        <v>368.20709</v>
      </c>
      <c r="D117" s="13">
        <f>IF(OR(443.72813="",368.20709="",443.72813=0),"-",368.20709/443.72813*100)</f>
        <v>82.98033527872123</v>
      </c>
    </row>
    <row r="118" spans="1:4" ht="15.75">
      <c r="A118" s="22" t="s">
        <v>215</v>
      </c>
      <c r="B118" s="13">
        <f>IF(36.94014="","-",36.94014)</f>
        <v>36.94014</v>
      </c>
      <c r="C118" s="13">
        <f>IF(409.54415="","-",409.54415)</f>
        <v>409.54415</v>
      </c>
      <c r="D118" s="13" t="s">
        <v>334</v>
      </c>
    </row>
    <row r="119" spans="1:7" ht="15.75">
      <c r="A119" s="22" t="s">
        <v>175</v>
      </c>
      <c r="B119" s="13">
        <f>IF(239.07536="","-",239.07536)</f>
        <v>239.07536</v>
      </c>
      <c r="C119" s="13">
        <f>IF(489.70775="","-",489.70775)</f>
        <v>489.70775</v>
      </c>
      <c r="D119" s="13" t="s">
        <v>324</v>
      </c>
      <c r="E119" s="1"/>
      <c r="F119" s="1"/>
      <c r="G119" s="1"/>
    </row>
    <row r="120" spans="1:7" ht="15.75">
      <c r="A120" s="22" t="s">
        <v>154</v>
      </c>
      <c r="B120" s="13">
        <f>IF(782.8667="","-",782.8667)</f>
        <v>782.8667</v>
      </c>
      <c r="C120" s="13">
        <f>IF(491.4964="","-",491.4964)</f>
        <v>491.4964</v>
      </c>
      <c r="D120" s="13">
        <f>IF(OR(782.8667="",491.4964="",782.8667=0),"-",491.4964/782.8667*100)</f>
        <v>62.78162042145872</v>
      </c>
      <c r="E120" s="16"/>
      <c r="F120" s="16"/>
      <c r="G120" s="16"/>
    </row>
    <row r="121" spans="1:4" ht="15.75">
      <c r="A121" s="22" t="s">
        <v>124</v>
      </c>
      <c r="B121" s="13">
        <f>IF(67.199="","-",67.199)</f>
        <v>67.199</v>
      </c>
      <c r="C121" s="13">
        <f>IF(497.51617="","-",497.51617)</f>
        <v>497.51617</v>
      </c>
      <c r="D121" s="13" t="s">
        <v>335</v>
      </c>
    </row>
    <row r="122" spans="1:4" ht="15.75">
      <c r="A122" s="22" t="s">
        <v>182</v>
      </c>
      <c r="B122" s="13">
        <f>IF(0.53598="","-",0.53598)</f>
        <v>0.53598</v>
      </c>
      <c r="C122" s="13">
        <f>IF(540.31085="","-",540.31085)</f>
        <v>540.31085</v>
      </c>
      <c r="D122" s="13" t="s">
        <v>336</v>
      </c>
    </row>
    <row r="123" spans="1:4" ht="15.75">
      <c r="A123" s="22" t="s">
        <v>142</v>
      </c>
      <c r="B123" s="13">
        <f>IF(352.81178="","-",352.81178)</f>
        <v>352.81178</v>
      </c>
      <c r="C123" s="13">
        <f>IF(559.15902="","-",559.15902)</f>
        <v>559.15902</v>
      </c>
      <c r="D123" s="13" t="s">
        <v>195</v>
      </c>
    </row>
    <row r="124" spans="1:4" ht="15.75">
      <c r="A124" s="22" t="s">
        <v>153</v>
      </c>
      <c r="B124" s="13">
        <f>IF(1868.58385="","-",1868.58385)</f>
        <v>1868.58385</v>
      </c>
      <c r="C124" s="13">
        <f>IF(926.44746="","-",926.44746)</f>
        <v>926.44746</v>
      </c>
      <c r="D124" s="13">
        <f>IF(OR(1868.58385="",926.44746="",1868.58385=0),"-",926.44746/1868.58385*100)</f>
        <v>49.580191972653516</v>
      </c>
    </row>
    <row r="125" spans="1:4" ht="15.75">
      <c r="A125" s="22" t="s">
        <v>122</v>
      </c>
      <c r="B125" s="13">
        <f>IF(830.40214="","-",830.40214)</f>
        <v>830.40214</v>
      </c>
      <c r="C125" s="13">
        <f>IF(1322.32675="","-",1322.32675)</f>
        <v>1322.32675</v>
      </c>
      <c r="D125" s="13" t="s">
        <v>195</v>
      </c>
    </row>
    <row r="126" spans="1:4" ht="15.75">
      <c r="A126" s="22" t="s">
        <v>110</v>
      </c>
      <c r="B126" s="13">
        <f>IF(-555.11806="","-",-555.11806)</f>
        <v>-555.11806</v>
      </c>
      <c r="C126" s="13">
        <f>IF(1518.76422="","-",1518.76422)</f>
        <v>1518.76422</v>
      </c>
      <c r="D126" s="13" t="s">
        <v>21</v>
      </c>
    </row>
    <row r="127" spans="1:4" ht="15.75">
      <c r="A127" s="22" t="s">
        <v>174</v>
      </c>
      <c r="B127" s="13">
        <f>IF(-102.35422="","-",-102.35422)</f>
        <v>-102.35422</v>
      </c>
      <c r="C127" s="13">
        <f>IF(1548.37333="","-",1548.37333)</f>
        <v>1548.37333</v>
      </c>
      <c r="D127" s="13" t="s">
        <v>21</v>
      </c>
    </row>
    <row r="128" spans="1:4" ht="15.75">
      <c r="A128" s="22" t="s">
        <v>108</v>
      </c>
      <c r="B128" s="13">
        <f>IF(3935.38472="","-",3935.38472)</f>
        <v>3935.38472</v>
      </c>
      <c r="C128" s="13">
        <f>IF(2245.63153="","-",2245.63153)</f>
        <v>2245.63153</v>
      </c>
      <c r="D128" s="13">
        <f>IF(OR(3935.38472="",2245.63153="",3935.38472=0),"-",2245.63153/3935.38472*100)</f>
        <v>57.062566680901284</v>
      </c>
    </row>
    <row r="129" spans="1:4" ht="15.75">
      <c r="A129" s="22" t="s">
        <v>177</v>
      </c>
      <c r="B129" s="13">
        <f>IF(4988.01159="","-",4988.01159)</f>
        <v>4988.01159</v>
      </c>
      <c r="C129" s="13">
        <f>IF(3393.55846="","-",3393.55846)</f>
        <v>3393.55846</v>
      </c>
      <c r="D129" s="13">
        <f>IF(OR(4988.01159="",3393.55846="",4988.01159=0),"-",3393.55846/4988.01159*100)</f>
        <v>68.03429380163088</v>
      </c>
    </row>
    <row r="130" spans="1:4" ht="15.75">
      <c r="A130" s="22" t="s">
        <v>198</v>
      </c>
      <c r="B130" s="13">
        <f>IF(2901.85392="","-",2901.85392)</f>
        <v>2901.85392</v>
      </c>
      <c r="C130" s="13">
        <f>IF(4626.63379="","-",4626.63379)</f>
        <v>4626.63379</v>
      </c>
      <c r="D130" s="13" t="s">
        <v>195</v>
      </c>
    </row>
    <row r="131" spans="1:4" ht="15.75">
      <c r="A131" s="22" t="s">
        <v>120</v>
      </c>
      <c r="B131" s="13">
        <f>IF(624.49547="","-",624.49547)</f>
        <v>624.49547</v>
      </c>
      <c r="C131" s="13">
        <f>IF(7308.63227="","-",7308.63227)</f>
        <v>7308.63227</v>
      </c>
      <c r="D131" s="13" t="s">
        <v>337</v>
      </c>
    </row>
    <row r="132" spans="1:4" ht="15.75">
      <c r="A132" s="22" t="s">
        <v>101</v>
      </c>
      <c r="B132" s="13">
        <f>IF(12656.92043="","-",12656.92043)</f>
        <v>12656.92043</v>
      </c>
      <c r="C132" s="13">
        <f>IF(10682.42535="","-",10682.42535)</f>
        <v>10682.42535</v>
      </c>
      <c r="D132" s="13">
        <f>IF(OR(12656.92043="",10682.42535="",12656.92043=0),"-",10682.42535/12656.92043*100)</f>
        <v>84.39987759328909</v>
      </c>
    </row>
    <row r="133" spans="1:4" ht="15.75">
      <c r="A133" s="22" t="s">
        <v>104</v>
      </c>
      <c r="B133" s="13">
        <f>IF(7257.08135="","-",7257.08135)</f>
        <v>7257.08135</v>
      </c>
      <c r="C133" s="13">
        <f>IF(13373.64685="","-",13373.64685)</f>
        <v>13373.64685</v>
      </c>
      <c r="D133" s="13" t="s">
        <v>151</v>
      </c>
    </row>
    <row r="134" spans="1:4" ht="15.75">
      <c r="A134" s="41" t="s">
        <v>102</v>
      </c>
      <c r="B134" s="78">
        <f>IF(14733.25953="","-",14733.25953)</f>
        <v>14733.25953</v>
      </c>
      <c r="C134" s="78">
        <f>IF(17138.43105="","-",17138.43105)</f>
        <v>17138.43105</v>
      </c>
      <c r="D134" s="78">
        <f>IF(OR(14733.25953="",17138.43105="",14733.25953=0),"-",17138.43105/14733.25953*100)</f>
        <v>116.3247753499663</v>
      </c>
    </row>
    <row r="135" spans="1:4" ht="15.75">
      <c r="A135" s="61" t="s">
        <v>254</v>
      </c>
      <c r="B135" s="79">
        <f>IF(10244.37167="","-",10244.37167)</f>
        <v>10244.37167</v>
      </c>
      <c r="C135" s="79">
        <f>IF(22205.689="","-",22205.689)</f>
        <v>22205.689</v>
      </c>
      <c r="D135" s="79" t="s">
        <v>321</v>
      </c>
    </row>
    <row r="136" ht="15.75">
      <c r="A136" s="63" t="s">
        <v>19</v>
      </c>
    </row>
  </sheetData>
  <sheetProtection/>
  <mergeCells count="4">
    <mergeCell ref="A1:D1"/>
    <mergeCell ref="A3:A4"/>
    <mergeCell ref="D3:D4"/>
    <mergeCell ref="B3:C3"/>
  </mergeCells>
  <printOptions/>
  <pageMargins left="0.5905511811023623" right="0.3937007874015748" top="0.3937007874015748" bottom="0.1968503937007874" header="0.11811023622047245" footer="0.118110236220472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39"/>
  <sheetViews>
    <sheetView zoomScalePageLayoutView="0" workbookViewId="0" topLeftCell="A1">
      <selection activeCell="C6" sqref="C6"/>
    </sheetView>
  </sheetViews>
  <sheetFormatPr defaultColWidth="9.00390625" defaultRowHeight="15.75"/>
  <cols>
    <col min="1" max="1" width="32.625" style="0" customWidth="1"/>
    <col min="2" max="2" width="14.25390625" style="0" customWidth="1"/>
    <col min="3" max="3" width="14.75390625" style="0" customWidth="1"/>
    <col min="4" max="4" width="11.75390625" style="0" customWidth="1"/>
    <col min="5" max="5" width="11.50390625" style="0" customWidth="1"/>
    <col min="6" max="6" width="10.25390625" style="0" customWidth="1"/>
  </cols>
  <sheetData>
    <row r="1" spans="1:5" ht="15.75">
      <c r="A1" s="96" t="s">
        <v>213</v>
      </c>
      <c r="B1" s="96"/>
      <c r="C1" s="96"/>
      <c r="D1" s="96"/>
      <c r="E1" s="96"/>
    </row>
    <row r="2" spans="1:5" ht="15.75">
      <c r="A2" s="11"/>
      <c r="B2" s="11"/>
      <c r="C2" s="11"/>
      <c r="D2" s="11"/>
      <c r="E2" s="11"/>
    </row>
    <row r="3" spans="1:6" ht="19.5" customHeight="1">
      <c r="A3" s="97"/>
      <c r="B3" s="100" t="s">
        <v>244</v>
      </c>
      <c r="C3" s="101"/>
      <c r="D3" s="100" t="s">
        <v>156</v>
      </c>
      <c r="E3" s="116"/>
      <c r="F3" s="1"/>
    </row>
    <row r="4" spans="1:6" ht="21.75" customHeight="1">
      <c r="A4" s="98"/>
      <c r="B4" s="104" t="s">
        <v>181</v>
      </c>
      <c r="C4" s="106" t="s">
        <v>245</v>
      </c>
      <c r="D4" s="108" t="s">
        <v>249</v>
      </c>
      <c r="E4" s="100"/>
      <c r="F4" s="1"/>
    </row>
    <row r="5" spans="1:6" ht="20.25" customHeight="1">
      <c r="A5" s="99"/>
      <c r="B5" s="105"/>
      <c r="C5" s="107"/>
      <c r="D5" s="28">
        <v>2017</v>
      </c>
      <c r="E5" s="27">
        <v>2018</v>
      </c>
      <c r="F5" s="1"/>
    </row>
    <row r="6" spans="1:5" ht="15.75" customHeight="1">
      <c r="A6" s="43" t="s">
        <v>223</v>
      </c>
      <c r="B6" s="80">
        <f>IF(2487873.87382="","-",2487873.87382)</f>
        <v>2487873.87382</v>
      </c>
      <c r="C6" s="90">
        <f>IF(2191887.38519="","-",2487873.87382/2191887.38519*100)</f>
        <v>113.50372699938427</v>
      </c>
      <c r="D6" s="73">
        <v>100</v>
      </c>
      <c r="E6" s="73">
        <v>100</v>
      </c>
    </row>
    <row r="7" spans="1:5" ht="15.75" customHeight="1">
      <c r="A7" s="10" t="s">
        <v>193</v>
      </c>
      <c r="B7" s="50"/>
      <c r="C7" s="59"/>
      <c r="D7" s="47"/>
      <c r="E7" s="47"/>
    </row>
    <row r="8" spans="1:5" ht="15.75">
      <c r="A8" s="32" t="s">
        <v>164</v>
      </c>
      <c r="B8" s="82">
        <f>IF(166540.88298="","-",166540.88298)</f>
        <v>166540.88298</v>
      </c>
      <c r="C8" s="91">
        <v>97.21</v>
      </c>
      <c r="D8" s="82">
        <f>IF(171328.93445="","-",171328.93445/2191887.38519*100)</f>
        <v>7.816502599888299</v>
      </c>
      <c r="E8" s="82">
        <f>IF(166540.88298="","-",166540.88298/2487873.87382*100)</f>
        <v>6.694104742708889</v>
      </c>
    </row>
    <row r="9" spans="1:5" ht="15.75">
      <c r="A9" s="32" t="s">
        <v>165</v>
      </c>
      <c r="B9" s="82">
        <f>IF(106921.82816="","-",106921.82816)</f>
        <v>106921.82816</v>
      </c>
      <c r="C9" s="91">
        <v>139.24</v>
      </c>
      <c r="D9" s="82">
        <f>IF(76789.3371="","-",76789.3371/2191887.38519*100)</f>
        <v>3.503343174418774</v>
      </c>
      <c r="E9" s="82">
        <f>IF(106921.82816="","-",106921.82816/2487873.87382*100)</f>
        <v>4.297718999549891</v>
      </c>
    </row>
    <row r="10" spans="1:5" ht="15.75">
      <c r="A10" s="32" t="s">
        <v>166</v>
      </c>
      <c r="B10" s="82">
        <f>IF(2169615.19273="","-",2169615.19273)</f>
        <v>2169615.19273</v>
      </c>
      <c r="C10" s="91">
        <v>114.87</v>
      </c>
      <c r="D10" s="82">
        <f>IF(1888729.00562="","-",1888729.00562/2191887.38519*100)</f>
        <v>86.16907138485487</v>
      </c>
      <c r="E10" s="82">
        <f>IF(2169615.19273="","-",2169615.19273/2487873.87382*100)</f>
        <v>87.20760387256567</v>
      </c>
    </row>
    <row r="11" spans="1:5" ht="15.75">
      <c r="A11" s="32" t="s">
        <v>167</v>
      </c>
      <c r="B11" s="82">
        <f>IF(43492.96265="","-",43492.96265)</f>
        <v>43492.96265</v>
      </c>
      <c r="C11" s="91">
        <v>81.32</v>
      </c>
      <c r="D11" s="82">
        <f>IF(53484.54549="","-",53484.54549/2191887.38519*100)</f>
        <v>2.440113750887972</v>
      </c>
      <c r="E11" s="82">
        <f>IF(43492.96265="","-",43492.96265/2487873.87382*100)</f>
        <v>1.7481980540765452</v>
      </c>
    </row>
    <row r="12" spans="1:5" ht="15.75">
      <c r="A12" s="32" t="s">
        <v>168</v>
      </c>
      <c r="B12" s="82">
        <f>IF(1187.33233="","-",1187.33233)</f>
        <v>1187.33233</v>
      </c>
      <c r="C12" s="91">
        <v>93.26</v>
      </c>
      <c r="D12" s="82">
        <f>IF(1273.10329="","-",1273.10329/2191887.38519*100)</f>
        <v>0.05808251366388713</v>
      </c>
      <c r="E12" s="82">
        <f>IF(1187.33233="","-",1187.33233/2487873.87382*100)</f>
        <v>0.04772477988110038</v>
      </c>
    </row>
    <row r="13" spans="1:5" ht="15.75">
      <c r="A13" s="32" t="s">
        <v>169</v>
      </c>
      <c r="B13" s="82">
        <f>IF(7.45064="","-",7.45064)</f>
        <v>7.45064</v>
      </c>
      <c r="C13" s="91">
        <v>114.09</v>
      </c>
      <c r="D13" s="82">
        <f>IF(6.53023="","-",6.53023/2191887.38519*100)</f>
        <v>0.0002979272586777509</v>
      </c>
      <c r="E13" s="82">
        <f>IF(7.45064="","-",7.45064/2487873.87382*100)</f>
        <v>0.0002994782041969006</v>
      </c>
    </row>
    <row r="14" spans="1:5" ht="15.75">
      <c r="A14" s="32" t="s">
        <v>170</v>
      </c>
      <c r="B14" s="82">
        <f>IF(108.22433="","-",108.22433)</f>
        <v>108.22433</v>
      </c>
      <c r="C14" s="91">
        <v>39.22</v>
      </c>
      <c r="D14" s="82">
        <f>IF(275.92901="","-",275.92901/2191887.38519*100)</f>
        <v>0.012588649027517516</v>
      </c>
      <c r="E14" s="82">
        <f>IF(108.22433="","-",108.22433/2487873.87382*100)</f>
        <v>0.004350073013702548</v>
      </c>
    </row>
    <row r="15" spans="1:5" ht="15.75">
      <c r="A15" s="31" t="s">
        <v>211</v>
      </c>
      <c r="B15" s="84">
        <f>IF(1726127.03211="","-",1726127.03211)</f>
        <v>1726127.03211</v>
      </c>
      <c r="C15" s="23">
        <f>IF(1439561.18568="","-",1726127.03211/1439561.18568*100)</f>
        <v>119.90647214447061</v>
      </c>
      <c r="D15" s="84">
        <f>IF(1439561.18568="","-",1439561.18568/2191887.38519*100)</f>
        <v>65.67678592462059</v>
      </c>
      <c r="E15" s="84">
        <f>IF(1726127.03211="","-",1726127.03211/2487873.87382*100)</f>
        <v>69.38161336368802</v>
      </c>
    </row>
    <row r="16" spans="1:5" ht="16.5">
      <c r="A16" s="10" t="s">
        <v>193</v>
      </c>
      <c r="B16" s="50"/>
      <c r="C16" s="46"/>
      <c r="D16" s="50"/>
      <c r="E16" s="67"/>
    </row>
    <row r="17" spans="1:5" ht="15.75">
      <c r="A17" s="32" t="s">
        <v>164</v>
      </c>
      <c r="B17" s="82">
        <f>IF(95143.21509="","-",95143.21509)</f>
        <v>95143.21509</v>
      </c>
      <c r="C17" s="91">
        <v>96.95</v>
      </c>
      <c r="D17" s="82">
        <f>IF(98134.56448="","-",98134.56448/2191887.38519*100)</f>
        <v>4.477171826575999</v>
      </c>
      <c r="E17" s="82">
        <f>IF(95143.21509="","-",95143.21509/2487873.87382*100)</f>
        <v>3.8242780749939134</v>
      </c>
    </row>
    <row r="18" spans="1:5" ht="15.75">
      <c r="A18" s="32" t="s">
        <v>165</v>
      </c>
      <c r="B18" s="82">
        <f>IF(54221.67896="","-",54221.67896)</f>
        <v>54221.67896</v>
      </c>
      <c r="C18" s="91" t="s">
        <v>317</v>
      </c>
      <c r="D18" s="82">
        <f>IF(32005.37174="","-",32005.37174/2191887.38519*100)</f>
        <v>1.4601740927135118</v>
      </c>
      <c r="E18" s="82">
        <f>IF(54221.67896="","-",54221.67896/2487873.87382*100)</f>
        <v>2.179438416495988</v>
      </c>
    </row>
    <row r="19" spans="1:5" ht="15.75">
      <c r="A19" s="32" t="s">
        <v>166</v>
      </c>
      <c r="B19" s="82">
        <f>IF(1567529.20608="","-",1567529.20608)</f>
        <v>1567529.20608</v>
      </c>
      <c r="C19" s="91">
        <v>120.12</v>
      </c>
      <c r="D19" s="82">
        <f>IF(1304983.38332="","-",1304983.38332/2191887.38519*100)</f>
        <v>59.53697220657529</v>
      </c>
      <c r="E19" s="82">
        <f>IF(1567529.20608="","-",1567529.20608/2487873.87382*100)</f>
        <v>63.00677950659698</v>
      </c>
    </row>
    <row r="20" spans="1:5" ht="15.75">
      <c r="A20" s="32" t="s">
        <v>167</v>
      </c>
      <c r="B20" s="82">
        <f>IF(8464.51813="","-",8464.51813)</f>
        <v>8464.51813</v>
      </c>
      <c r="C20" s="91" t="s">
        <v>158</v>
      </c>
      <c r="D20" s="82">
        <f>IF(3681.48451="","-",3681.48451/2191887.38519*100)</f>
        <v>0.16795956465988224</v>
      </c>
      <c r="E20" s="82">
        <f>IF(8464.51813="","-",8464.51813/2487873.87382*100)</f>
        <v>0.340230998808761</v>
      </c>
    </row>
    <row r="21" spans="1:5" ht="15.75">
      <c r="A21" s="32" t="s">
        <v>168</v>
      </c>
      <c r="B21" s="82">
        <f>IF(662.65701="","-",662.65701)</f>
        <v>662.65701</v>
      </c>
      <c r="C21" s="92">
        <v>110.04</v>
      </c>
      <c r="D21" s="82">
        <f>IF(602.17517="","-",602.17517/2191887.38519*100)</f>
        <v>0.02747290641247071</v>
      </c>
      <c r="E21" s="82">
        <f>IF(662.65701="","-",662.65701/2487873.87382*100)</f>
        <v>0.026635474449616087</v>
      </c>
    </row>
    <row r="22" spans="1:5" ht="15.75">
      <c r="A22" s="32" t="s">
        <v>170</v>
      </c>
      <c r="B22" s="82">
        <f>IF(105.75684="","-",105.75684)</f>
        <v>105.75684</v>
      </c>
      <c r="C22" s="92">
        <v>68.58</v>
      </c>
      <c r="D22" s="82">
        <f>IF(154.20646="","-",154.20646/2191887.38519*100)</f>
        <v>0.007035327683435383</v>
      </c>
      <c r="E22" s="82">
        <f>IF(105.75684="","-",105.75684/2487873.87382*100)</f>
        <v>0.004250892342770412</v>
      </c>
    </row>
    <row r="23" spans="1:5" ht="15.75">
      <c r="A23" s="31" t="s">
        <v>207</v>
      </c>
      <c r="B23" s="84">
        <f>IF(386348.45412="","-",386348.45412)</f>
        <v>386348.45412</v>
      </c>
      <c r="C23" s="93">
        <f>IF(427707.04239="","-",386348.45412/427707.04239*100)</f>
        <v>90.33015962540836</v>
      </c>
      <c r="D23" s="84">
        <f>IF(427707.04239="","-",427707.04239/2191887.38519*100)</f>
        <v>19.513185087879183</v>
      </c>
      <c r="E23" s="84">
        <f>IF(386348.45412="","-",386348.45412/2487873.87382*100)</f>
        <v>15.529262081392503</v>
      </c>
    </row>
    <row r="24" spans="1:5" ht="15.75">
      <c r="A24" s="32" t="s">
        <v>193</v>
      </c>
      <c r="B24" s="50"/>
      <c r="C24" s="46"/>
      <c r="D24" s="47"/>
      <c r="E24" s="46"/>
    </row>
    <row r="25" spans="1:11" ht="15.75">
      <c r="A25" s="32" t="s">
        <v>164</v>
      </c>
      <c r="B25" s="82">
        <f>IF(4219.69612="","-",4219.69612)</f>
        <v>4219.69612</v>
      </c>
      <c r="C25" s="91" t="s">
        <v>327</v>
      </c>
      <c r="D25" s="82">
        <f>IF(2001.4263="","-",2001.4263/2191887.38519*100)</f>
        <v>0.09131063546070411</v>
      </c>
      <c r="E25" s="82">
        <f>IF(4219.69612="","-",4219.69612/2487873.87382*100)</f>
        <v>0.16961053228638467</v>
      </c>
      <c r="K25" s="30"/>
    </row>
    <row r="26" spans="1:5" ht="15.75">
      <c r="A26" s="32" t="s">
        <v>165</v>
      </c>
      <c r="B26" s="82">
        <f>IF(17996.84465="","-",17996.84465)</f>
        <v>17996.84465</v>
      </c>
      <c r="C26" s="91">
        <v>103.07</v>
      </c>
      <c r="D26" s="82">
        <f>IF(17461.29628="","-",17461.29628/2191887.38519*100)</f>
        <v>0.7966329108868153</v>
      </c>
      <c r="E26" s="82">
        <f>IF(17996.84465="","-",17996.84465/2487873.87382*100)</f>
        <v>0.7233825170713654</v>
      </c>
    </row>
    <row r="27" spans="1:5" ht="15.75">
      <c r="A27" s="32" t="s">
        <v>166</v>
      </c>
      <c r="B27" s="82">
        <f>IF(353537.50844="","-",353537.50844)</f>
        <v>353537.50844</v>
      </c>
      <c r="C27" s="94">
        <v>89.77</v>
      </c>
      <c r="D27" s="82">
        <f>IF(393818.98504="","-",393818.98504/2191887.38519*100)</f>
        <v>17.96711764030078</v>
      </c>
      <c r="E27" s="82">
        <f>IF(353537.50844="","-",353537.50844/2487873.87382*100)</f>
        <v>14.210427311460194</v>
      </c>
    </row>
    <row r="28" spans="1:5" ht="15.75">
      <c r="A28" s="32" t="s">
        <v>167</v>
      </c>
      <c r="B28" s="82">
        <f>IF(10551.2367="","-",10551.2367)</f>
        <v>10551.2367</v>
      </c>
      <c r="C28" s="94">
        <v>74.65</v>
      </c>
      <c r="D28" s="82">
        <f>IF(14134.26293="","-",14134.26293/2191887.38519*100)</f>
        <v>0.6448443941737818</v>
      </c>
      <c r="E28" s="82">
        <f>IF(10551.2367="","-",10551.2367/2487873.87382*100)</f>
        <v>0.4241065759414535</v>
      </c>
    </row>
    <row r="29" spans="1:5" ht="15.75">
      <c r="A29" s="32" t="s">
        <v>168</v>
      </c>
      <c r="B29" s="82">
        <f>IF(33.25008="","-",33.25008)</f>
        <v>33.25008</v>
      </c>
      <c r="C29" s="94">
        <v>16.32</v>
      </c>
      <c r="D29" s="82">
        <f>IF(203.79027="","-",203.79027/2191887.38519*100)</f>
        <v>0.009297479030033964</v>
      </c>
      <c r="E29" s="82">
        <f>IF(33.25008="","-",33.25008/2487873.87382*100)</f>
        <v>0.001336485757975594</v>
      </c>
    </row>
    <row r="30" spans="1:5" ht="15.75">
      <c r="A30" s="32" t="s">
        <v>169</v>
      </c>
      <c r="B30" s="82">
        <f>IF(7.45064="","-",7.45064)</f>
        <v>7.45064</v>
      </c>
      <c r="C30" s="94">
        <v>114.09</v>
      </c>
      <c r="D30" s="82">
        <f>IF(6.53023="","-",6.53023/2191887.38519*100)</f>
        <v>0.0002979272586777509</v>
      </c>
      <c r="E30" s="82">
        <f>IF(7.45064="","-",7.45064/2487873.87382*100)</f>
        <v>0.0002994782041969006</v>
      </c>
    </row>
    <row r="31" spans="1:5" ht="15.75">
      <c r="A31" s="32" t="s">
        <v>170</v>
      </c>
      <c r="B31" s="82">
        <f>IF(2.46749="","-",2.46749)</f>
        <v>2.46749</v>
      </c>
      <c r="C31" s="94">
        <v>3.06</v>
      </c>
      <c r="D31" s="82">
        <f>IF(80.75134="","-",80.75134/2191887.38519*100)</f>
        <v>0.0036841007683887103</v>
      </c>
      <c r="E31" s="82">
        <f>IF(2.46749="","-",2.46749/2487873.87382*100)</f>
        <v>9.918067093213607E-05</v>
      </c>
    </row>
    <row r="32" spans="1:5" ht="15.75">
      <c r="A32" s="31" t="s">
        <v>210</v>
      </c>
      <c r="B32" s="84">
        <f>IF(375398.38759="","-",375398.38759)</f>
        <v>375398.38759</v>
      </c>
      <c r="C32" s="93">
        <f>IF(324619.15712="","-",375398.38759/324619.15712*100)</f>
        <v>115.6427091119668</v>
      </c>
      <c r="D32" s="84">
        <f>IF(324619.15712="","-",324619.15712/2191887.38519*100)</f>
        <v>14.81002898750024</v>
      </c>
      <c r="E32" s="84">
        <f>IF(375398.38759="","-",375398.38759/2487873.87382*100)</f>
        <v>15.089124554919477</v>
      </c>
    </row>
    <row r="33" spans="1:5" ht="15.75">
      <c r="A33" s="32" t="s">
        <v>193</v>
      </c>
      <c r="B33" s="50"/>
      <c r="C33" s="46"/>
      <c r="D33" s="47"/>
      <c r="E33" s="50"/>
    </row>
    <row r="34" spans="1:5" ht="15.75">
      <c r="A34" s="32" t="s">
        <v>164</v>
      </c>
      <c r="B34" s="82">
        <f>IF(67177.97177="","-",67177.97177)</f>
        <v>67177.97177</v>
      </c>
      <c r="C34" s="91">
        <v>94.36</v>
      </c>
      <c r="D34" s="87">
        <f>IF(71192.94367="","-",71192.94367/2191887.38519*100)</f>
        <v>3.2480201378515967</v>
      </c>
      <c r="E34" s="87">
        <f>IF(67177.97177="","-",67177.97177/2487873.87382*100)</f>
        <v>2.700216135428592</v>
      </c>
    </row>
    <row r="35" spans="1:7" ht="15.75">
      <c r="A35" s="32" t="s">
        <v>165</v>
      </c>
      <c r="B35" s="82">
        <f>IF(34703.30455="","-",34703.30455)</f>
        <v>34703.30455</v>
      </c>
      <c r="C35" s="91">
        <v>127.01</v>
      </c>
      <c r="D35" s="87">
        <f>IF(27322.66908="","-",27322.66908/2191887.38519*100)</f>
        <v>1.2465361708184468</v>
      </c>
      <c r="E35" s="87">
        <f>IF(34703.30455="","-",34703.30455/2487873.87382*100)</f>
        <v>1.394898065982537</v>
      </c>
      <c r="F35" s="1"/>
      <c r="G35" s="1"/>
    </row>
    <row r="36" spans="1:7" ht="15.75">
      <c r="A36" s="32" t="s">
        <v>166</v>
      </c>
      <c r="B36" s="82">
        <f>IF(248548.47821="","-",248548.47821)</f>
        <v>248548.47821</v>
      </c>
      <c r="C36" s="91">
        <v>130.87</v>
      </c>
      <c r="D36" s="87">
        <f>IF(189926.63726="","-",189926.63726/2191887.38519*100)</f>
        <v>8.66498153797881</v>
      </c>
      <c r="E36" s="87">
        <f>IF(248548.47821="","-",248548.47821/2487873.87382*100)</f>
        <v>9.990397054508508</v>
      </c>
      <c r="F36" s="16"/>
      <c r="G36" s="16"/>
    </row>
    <row r="37" spans="1:5" ht="15.75">
      <c r="A37" s="32" t="s">
        <v>167</v>
      </c>
      <c r="B37" s="82">
        <f>IF(24477.20782="","-",24477.20782)</f>
        <v>24477.20782</v>
      </c>
      <c r="C37" s="92">
        <v>68.62</v>
      </c>
      <c r="D37" s="87">
        <f>IF(35668.79805="","-",35668.79805/2191887.38519*100)</f>
        <v>1.627309792054308</v>
      </c>
      <c r="E37" s="87">
        <f>IF(24477.20782="","-",24477.20782/2487873.87382*100)</f>
        <v>0.9838604793263307</v>
      </c>
    </row>
    <row r="38" spans="1:5" ht="15.75">
      <c r="A38" s="38" t="s">
        <v>168</v>
      </c>
      <c r="B38" s="88">
        <f>IF(491.42524="","-",491.42524)</f>
        <v>491.42524</v>
      </c>
      <c r="C38" s="95">
        <v>105.2</v>
      </c>
      <c r="D38" s="88">
        <f>IF(467.13785="","-",467.13785/2191887.38519*100)</f>
        <v>0.02131212822138246</v>
      </c>
      <c r="E38" s="88">
        <f>IF(491.42524="","-",491.42524/2487873.87382*100)</f>
        <v>0.0197528196735087</v>
      </c>
    </row>
    <row r="39" ht="15.75">
      <c r="A39" s="66" t="s">
        <v>19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40"/>
  <sheetViews>
    <sheetView zoomScalePageLayoutView="0" workbookViewId="0" topLeftCell="A1">
      <selection activeCell="C6" sqref="C6"/>
    </sheetView>
  </sheetViews>
  <sheetFormatPr defaultColWidth="9.00390625" defaultRowHeight="15.75"/>
  <cols>
    <col min="1" max="1" width="31.50390625" style="0" customWidth="1"/>
    <col min="2" max="2" width="14.875" style="0" customWidth="1"/>
    <col min="3" max="3" width="14.625" style="0" customWidth="1"/>
    <col min="4" max="5" width="11.875" style="0" customWidth="1"/>
    <col min="6" max="6" width="13.625" style="0" customWidth="1"/>
  </cols>
  <sheetData>
    <row r="1" spans="1:5" ht="15.75">
      <c r="A1" s="96" t="s">
        <v>212</v>
      </c>
      <c r="B1" s="96"/>
      <c r="C1" s="96"/>
      <c r="D1" s="96"/>
      <c r="E1" s="96"/>
    </row>
    <row r="2" spans="1:5" ht="15.75">
      <c r="A2" s="11"/>
      <c r="B2" s="11"/>
      <c r="C2" s="11"/>
      <c r="D2" s="11"/>
      <c r="E2" s="11"/>
    </row>
    <row r="3" spans="1:6" ht="19.5" customHeight="1">
      <c r="A3" s="97"/>
      <c r="B3" s="100" t="s">
        <v>244</v>
      </c>
      <c r="C3" s="101"/>
      <c r="D3" s="100" t="s">
        <v>156</v>
      </c>
      <c r="E3" s="116"/>
      <c r="F3" s="1"/>
    </row>
    <row r="4" spans="1:6" ht="21.75" customHeight="1">
      <c r="A4" s="98"/>
      <c r="B4" s="104" t="s">
        <v>181</v>
      </c>
      <c r="C4" s="106" t="s">
        <v>245</v>
      </c>
      <c r="D4" s="108" t="s">
        <v>246</v>
      </c>
      <c r="E4" s="100"/>
      <c r="F4" s="1"/>
    </row>
    <row r="5" spans="1:6" ht="20.25" customHeight="1">
      <c r="A5" s="99"/>
      <c r="B5" s="105"/>
      <c r="C5" s="107"/>
      <c r="D5" s="28">
        <v>2017</v>
      </c>
      <c r="E5" s="27">
        <v>2018</v>
      </c>
      <c r="F5" s="1"/>
    </row>
    <row r="6" spans="1:5" ht="16.5" customHeight="1">
      <c r="A6" s="43" t="s">
        <v>209</v>
      </c>
      <c r="B6" s="80">
        <f>IF(5244769.76452="","-",5244769.76452)</f>
        <v>5244769.76452</v>
      </c>
      <c r="C6" s="74">
        <f>IF(4359960.60099="","-",5244769.76452/4359960.60099*100)</f>
        <v>120.29397154022652</v>
      </c>
      <c r="D6" s="73">
        <v>100</v>
      </c>
      <c r="E6" s="73">
        <v>100</v>
      </c>
    </row>
    <row r="7" spans="1:5" ht="15.75" customHeight="1">
      <c r="A7" s="10" t="s">
        <v>193</v>
      </c>
      <c r="B7" s="50"/>
      <c r="C7" s="81"/>
      <c r="D7" s="47"/>
      <c r="E7" s="47"/>
    </row>
    <row r="8" spans="1:5" ht="15.75" customHeight="1">
      <c r="A8" s="32" t="s">
        <v>164</v>
      </c>
      <c r="B8" s="82">
        <f>IF(151372.44048="","-",151372.44048)</f>
        <v>151372.44048</v>
      </c>
      <c r="C8" s="83">
        <v>125.21</v>
      </c>
      <c r="D8" s="82">
        <f>IF(120896.36536="","-",120896.36536/4359960.60099*100)</f>
        <v>2.772877473538373</v>
      </c>
      <c r="E8" s="82">
        <f>IF(151372.44048="","-",151372.44048/5244769.76452*100)</f>
        <v>2.8861598750055633</v>
      </c>
    </row>
    <row r="9" spans="1:5" ht="15.75" customHeight="1">
      <c r="A9" s="32" t="s">
        <v>165</v>
      </c>
      <c r="B9" s="82">
        <f>IF(307828.66418="","-",307828.66418)</f>
        <v>307828.66418</v>
      </c>
      <c r="C9" s="83">
        <v>124.29</v>
      </c>
      <c r="D9" s="82">
        <f>IF(247663.12712="","-",247663.12712/4359960.60099*100)</f>
        <v>5.680398283043293</v>
      </c>
      <c r="E9" s="82">
        <f>IF(307828.66418="","-",307828.66418/5244769.76452*100)</f>
        <v>5.869250281726569</v>
      </c>
    </row>
    <row r="10" spans="1:5" ht="15.75" customHeight="1">
      <c r="A10" s="32" t="s">
        <v>166</v>
      </c>
      <c r="B10" s="82">
        <f>IF(4355900.94329="","-",4355900.94329)</f>
        <v>4355900.94329</v>
      </c>
      <c r="C10" s="83">
        <v>119.54</v>
      </c>
      <c r="D10" s="82">
        <f>IF(3643782.8794="","-",3643782.8794/4359960.60099*100)</f>
        <v>83.57375703286446</v>
      </c>
      <c r="E10" s="82">
        <f>IF(4355900.94329="","-",4355900.94329/5244769.76452*100)</f>
        <v>83.05228139387452</v>
      </c>
    </row>
    <row r="11" spans="1:5" ht="15.75" customHeight="1">
      <c r="A11" s="32" t="s">
        <v>167</v>
      </c>
      <c r="B11" s="82">
        <f>IF(136529.37371="","-",136529.37371)</f>
        <v>136529.37371</v>
      </c>
      <c r="C11" s="83">
        <v>120</v>
      </c>
      <c r="D11" s="82">
        <f>IF(113801.04312="","-",113801.04312/4359960.60099*100)</f>
        <v>2.6101392543354547</v>
      </c>
      <c r="E11" s="82">
        <f>IF(136529.37371="","-",136529.37371/5244769.76452*100)</f>
        <v>2.603152852077486</v>
      </c>
    </row>
    <row r="12" spans="1:5" ht="15.75" customHeight="1">
      <c r="A12" s="32" t="s">
        <v>168</v>
      </c>
      <c r="B12" s="82">
        <f>IF(11952.78105="","-",11952.78105)</f>
        <v>11952.78105</v>
      </c>
      <c r="C12" s="83">
        <v>99.59</v>
      </c>
      <c r="D12" s="82">
        <f>IF(12001.68106="","-",12001.68106/4359960.60099*100)</f>
        <v>0.2752704016929608</v>
      </c>
      <c r="E12" s="82">
        <f>IF(11952.78105="","-",11952.78105/5244769.76452*100)</f>
        <v>0.22789906109622937</v>
      </c>
    </row>
    <row r="13" spans="1:5" ht="15.75" customHeight="1">
      <c r="A13" s="32" t="s">
        <v>169</v>
      </c>
      <c r="B13" s="82">
        <f>IF(248267.50583="","-",248267.50583)</f>
        <v>248267.50583</v>
      </c>
      <c r="C13" s="83">
        <v>127.29</v>
      </c>
      <c r="D13" s="82">
        <f>IF(195033.99974="","-",195033.99974/4359960.60099*100)</f>
        <v>4.473297297588293</v>
      </c>
      <c r="E13" s="82">
        <f>IF(248267.50583="","-",248267.50583/5244769.76452*100)</f>
        <v>4.733620673103491</v>
      </c>
    </row>
    <row r="14" spans="1:5" ht="15.75" customHeight="1">
      <c r="A14" s="32" t="s">
        <v>170</v>
      </c>
      <c r="B14" s="82">
        <f>IF(32918.05598="","-",32918.05598)</f>
        <v>32918.05598</v>
      </c>
      <c r="C14" s="83">
        <v>122.91</v>
      </c>
      <c r="D14" s="82">
        <f>IF(26781.19747="","-",26781.19747/4359960.60099*100)</f>
        <v>0.6142531990752139</v>
      </c>
      <c r="E14" s="82">
        <f>IF(32918.05598="","-",32918.05598/5244769.76452*100)</f>
        <v>0.6276358631161506</v>
      </c>
    </row>
    <row r="15" spans="1:5" ht="15.75">
      <c r="A15" s="31" t="s">
        <v>211</v>
      </c>
      <c r="B15" s="84">
        <f>IF(2614154.46464="","-",2614154.46464)</f>
        <v>2614154.46464</v>
      </c>
      <c r="C15" s="68">
        <f>IF(2169745.9746="","-",2614154.46464/2169745.9746*100)</f>
        <v>120.48205159693536</v>
      </c>
      <c r="D15" s="84">
        <f>IF(2169745.9746="","-",2169745.9746/4359960.60099*100)</f>
        <v>49.765265633531726</v>
      </c>
      <c r="E15" s="84">
        <f>IF(2614154.46464="","-",2614154.46464/5244769.76452*100)</f>
        <v>49.843073805151995</v>
      </c>
    </row>
    <row r="16" spans="1:5" ht="15.75">
      <c r="A16" s="10" t="s">
        <v>193</v>
      </c>
      <c r="B16" s="50"/>
      <c r="C16" s="49"/>
      <c r="D16" s="50"/>
      <c r="E16" s="50"/>
    </row>
    <row r="17" spans="1:5" ht="15.75">
      <c r="A17" s="32" t="s">
        <v>164</v>
      </c>
      <c r="B17" s="82">
        <f>IF(84882.34309="","-",84882.34309)</f>
        <v>84882.34309</v>
      </c>
      <c r="C17" s="83">
        <v>123.82</v>
      </c>
      <c r="D17" s="82">
        <f>IF(68550.98187="","-",68550.98187/4359960.60099*100)</f>
        <v>1.5722844342775573</v>
      </c>
      <c r="E17" s="82">
        <f>IF(84882.34309="","-",84882.34309/5244769.76452*100)</f>
        <v>1.6184188610950094</v>
      </c>
    </row>
    <row r="18" spans="1:5" ht="15.75">
      <c r="A18" s="32" t="s">
        <v>165</v>
      </c>
      <c r="B18" s="82">
        <f>IF(51930.20102="","-",51930.20102)</f>
        <v>51930.20102</v>
      </c>
      <c r="C18" s="83">
        <v>137.74</v>
      </c>
      <c r="D18" s="82">
        <f>IF(37700.29555="","-",37700.29555/4359960.60099*100)</f>
        <v>0.8646934915292478</v>
      </c>
      <c r="E18" s="82">
        <f>IF(51930.20102="","-",51930.20102/5244769.76452*100)</f>
        <v>0.9901330916620826</v>
      </c>
    </row>
    <row r="19" spans="1:5" ht="15.75">
      <c r="A19" s="32" t="s">
        <v>166</v>
      </c>
      <c r="B19" s="82">
        <f>IF(2404731.38894="","-",2404731.38894)</f>
        <v>2404731.38894</v>
      </c>
      <c r="C19" s="83">
        <v>120.17</v>
      </c>
      <c r="D19" s="82">
        <f>IF(2001169.82187="","-",2001169.82187/4359960.60099*100)</f>
        <v>45.89880517304679</v>
      </c>
      <c r="E19" s="82">
        <f>IF(2404731.38894="","-",2404731.38894/5244769.76452*100)</f>
        <v>45.85008488280287</v>
      </c>
    </row>
    <row r="20" spans="1:5" ht="15.75">
      <c r="A20" s="32" t="s">
        <v>167</v>
      </c>
      <c r="B20" s="82">
        <f>IF(38476.25891="","-",38476.25891)</f>
        <v>38476.25891</v>
      </c>
      <c r="C20" s="83">
        <v>117.66</v>
      </c>
      <c r="D20" s="82">
        <f>IF(32702.43764="","-",32702.43764/4359960.60099*100)</f>
        <v>0.7500626870934195</v>
      </c>
      <c r="E20" s="82">
        <f>IF(38476.25891="","-",38476.25891/5244769.76452*100)</f>
        <v>0.7336119722601653</v>
      </c>
    </row>
    <row r="21" spans="1:5" ht="15.75">
      <c r="A21" s="32" t="s">
        <v>168</v>
      </c>
      <c r="B21" s="82">
        <f>IF(5355.94262="","-",5355.94262)</f>
        <v>5355.94262</v>
      </c>
      <c r="C21" s="83">
        <v>107.14</v>
      </c>
      <c r="D21" s="82">
        <f>IF(4998.83314="","-",4998.83314/4359960.60099*100)</f>
        <v>0.11465317229850502</v>
      </c>
      <c r="E21" s="82">
        <f>IF(5355.94262="","-",5355.94262/5244769.76452*100)</f>
        <v>0.10211968990959462</v>
      </c>
    </row>
    <row r="22" spans="1:5" ht="15.75">
      <c r="A22" s="32" t="s">
        <v>170</v>
      </c>
      <c r="B22" s="82">
        <f>IF(28778.33006="","-",28778.33006)</f>
        <v>28778.33006</v>
      </c>
      <c r="C22" s="83">
        <v>116.87</v>
      </c>
      <c r="D22" s="82">
        <f>IF(24623.60453="","-",24623.60453/4359960.60099*100)</f>
        <v>0.5647666752862127</v>
      </c>
      <c r="E22" s="82">
        <f>IF(28778.33006="","-",28778.33006/5244769.76452*100)</f>
        <v>0.5487053074222752</v>
      </c>
    </row>
    <row r="23" spans="1:5" ht="15.75">
      <c r="A23" s="31" t="s">
        <v>207</v>
      </c>
      <c r="B23" s="84">
        <f>IF(1299399.16486="","-",1299399.16486)</f>
        <v>1299399.16486</v>
      </c>
      <c r="C23" s="68">
        <f>IF(1081596.31546="","-",1299399.16486/1081596.31546*100)</f>
        <v>120.13716636112697</v>
      </c>
      <c r="D23" s="84">
        <f>IF(1081596.31546="","-",1081596.31546/4359960.60099*100)</f>
        <v>24.807479113788457</v>
      </c>
      <c r="E23" s="84">
        <f>IF(1299399.16486="","-",1299399.16486/5244769.76452*100)</f>
        <v>24.775142154956363</v>
      </c>
    </row>
    <row r="24" spans="1:5" ht="15.75">
      <c r="A24" s="32" t="s">
        <v>193</v>
      </c>
      <c r="B24" s="50"/>
      <c r="C24" s="49"/>
      <c r="D24" s="47"/>
      <c r="E24" s="50"/>
    </row>
    <row r="25" spans="1:5" ht="15.75">
      <c r="A25" s="32" t="s">
        <v>164</v>
      </c>
      <c r="B25" s="82">
        <f>IF(45428.71514="","-",45428.71514)</f>
        <v>45428.71514</v>
      </c>
      <c r="C25" s="83">
        <v>100.15</v>
      </c>
      <c r="D25" s="82">
        <f>IF(45358.85558="","-",45358.85558/4359960.60099*100)</f>
        <v>1.0403501254048153</v>
      </c>
      <c r="E25" s="82">
        <f>IF(45428.71514="","-",45428.71514/5244769.76452*100)</f>
        <v>0.8661717707289603</v>
      </c>
    </row>
    <row r="26" spans="1:5" ht="15.75">
      <c r="A26" s="32" t="s">
        <v>165</v>
      </c>
      <c r="B26" s="82">
        <f>IF(255183.24658="","-",255183.24658)</f>
        <v>255183.24658</v>
      </c>
      <c r="C26" s="83">
        <v>122.11</v>
      </c>
      <c r="D26" s="82">
        <f>IF(208979.96462="","-",208979.96462/4359960.60099*100)</f>
        <v>4.793161767850556</v>
      </c>
      <c r="E26" s="82">
        <f>IF(255183.24658="","-",255183.24658/5244769.76452*100)</f>
        <v>4.865480431691634</v>
      </c>
    </row>
    <row r="27" spans="1:5" ht="15.75">
      <c r="A27" s="32" t="s">
        <v>166</v>
      </c>
      <c r="B27" s="82">
        <f>IF(733358.70148="","-",733358.70148)</f>
        <v>733358.70148</v>
      </c>
      <c r="C27" s="83">
        <v>118.68</v>
      </c>
      <c r="D27" s="82">
        <f>IF(617907.57164="","-",617907.57164/4359960.60099*100)</f>
        <v>14.172320077839556</v>
      </c>
      <c r="E27" s="82">
        <f>IF(733358.70148="","-",733358.70148/5244769.76452*100)</f>
        <v>13.982667198111354</v>
      </c>
    </row>
    <row r="28" spans="1:5" ht="15.75">
      <c r="A28" s="32" t="s">
        <v>167</v>
      </c>
      <c r="B28" s="82">
        <f>IF(14304.01174="","-",14304.01174)</f>
        <v>14304.01174</v>
      </c>
      <c r="C28" s="83">
        <v>115.93</v>
      </c>
      <c r="D28" s="82">
        <f>IF(12338.77776="","-",12338.77776/4359960.60099*100)</f>
        <v>0.2830020472478187</v>
      </c>
      <c r="E28" s="82">
        <f>IF(14304.01174="","-",14304.01174/5244769.76452*100)</f>
        <v>0.27272906880992703</v>
      </c>
    </row>
    <row r="29" spans="1:5" ht="15.75">
      <c r="A29" s="32" t="s">
        <v>168</v>
      </c>
      <c r="B29" s="82">
        <f>IF(422.16123="","-",422.16123)</f>
        <v>422.16123</v>
      </c>
      <c r="C29" s="83">
        <v>57.15</v>
      </c>
      <c r="D29" s="82">
        <f>IF(738.73742="","-",738.73742/4359960.60099*100)</f>
        <v>0.01694367191832554</v>
      </c>
      <c r="E29" s="82">
        <f>IF(422.16123="","-",422.16123/5244769.76452*100)</f>
        <v>0.008049185168352879</v>
      </c>
    </row>
    <row r="30" spans="1:5" ht="15.75">
      <c r="A30" s="32" t="s">
        <v>169</v>
      </c>
      <c r="B30" s="82">
        <f>IF(248267.50583="","-",248267.50583)</f>
        <v>248267.50583</v>
      </c>
      <c r="C30" s="83">
        <v>127.29</v>
      </c>
      <c r="D30" s="82">
        <f>IF(195033.99974="","-",195033.99974/4359960.60099*100)</f>
        <v>4.473297297588293</v>
      </c>
      <c r="E30" s="82">
        <f>IF(248267.50583="","-",248267.50583/5244769.76452*100)</f>
        <v>4.733620673103491</v>
      </c>
    </row>
    <row r="31" spans="1:5" ht="15.75">
      <c r="A31" s="32" t="s">
        <v>170</v>
      </c>
      <c r="B31" s="82">
        <f>IF(2434.82286="","-",2434.82286)</f>
        <v>2434.82286</v>
      </c>
      <c r="C31" s="83" t="s">
        <v>324</v>
      </c>
      <c r="D31" s="82">
        <f>IF(1238.10098="","-",1238.10098/4359960.60099*100)</f>
        <v>0.028397068077148886</v>
      </c>
      <c r="E31" s="82">
        <f>IF(2434.82286="","-",2434.82286/5244769.76452*100)</f>
        <v>0.046423827342644754</v>
      </c>
    </row>
    <row r="32" spans="1:5" ht="15.75">
      <c r="A32" s="31" t="s">
        <v>208</v>
      </c>
      <c r="B32" s="84">
        <f>IF(1331216.13502="","-",1331216.13502)</f>
        <v>1331216.13502</v>
      </c>
      <c r="C32" s="68">
        <f>IF(1108618.31093="","-",1331216.13502/1108618.31093*100)</f>
        <v>120.07885147623682</v>
      </c>
      <c r="D32" s="85">
        <f>IF(1108618.31093="","-",1108618.31093/4359960.60099*100)</f>
        <v>25.42725525267981</v>
      </c>
      <c r="E32" s="84">
        <f>IF(1331216.13502="","-",1331216.13502/5244769.76452*100)</f>
        <v>25.38178403989165</v>
      </c>
    </row>
    <row r="33" spans="1:5" ht="15.75">
      <c r="A33" s="32" t="s">
        <v>193</v>
      </c>
      <c r="B33" s="50"/>
      <c r="C33" s="49"/>
      <c r="D33" s="86"/>
      <c r="E33" s="50"/>
    </row>
    <row r="34" spans="1:5" ht="15.75">
      <c r="A34" s="32" t="s">
        <v>164</v>
      </c>
      <c r="B34" s="87">
        <f>IF(21061.38225="","-",21061.38225)</f>
        <v>21061.38225</v>
      </c>
      <c r="C34" s="83" t="s">
        <v>358</v>
      </c>
      <c r="D34" s="87">
        <f>IF(6986.52791="","-",6986.52791/4359960.60099*100)</f>
        <v>0.16024291385600126</v>
      </c>
      <c r="E34" s="87">
        <f>IF(21061.38225="","-",21061.38225/5244769.76452*100)</f>
        <v>0.4015692431815933</v>
      </c>
    </row>
    <row r="35" spans="1:7" ht="15.75">
      <c r="A35" s="32" t="s">
        <v>165</v>
      </c>
      <c r="B35" s="87">
        <f>IF(715.21658="","-",715.21658)</f>
        <v>715.21658</v>
      </c>
      <c r="C35" s="83">
        <v>72.77</v>
      </c>
      <c r="D35" s="87">
        <f>IF(982.86695="","-",982.86695/4359960.60099*100)</f>
        <v>0.02254302366348962</v>
      </c>
      <c r="E35" s="87">
        <f>IF(715.21658="","-",715.21658/5244769.76452*100)</f>
        <v>0.013636758372852168</v>
      </c>
      <c r="F35" s="1"/>
      <c r="G35" s="1"/>
    </row>
    <row r="36" spans="1:7" ht="15.75">
      <c r="A36" s="32" t="s">
        <v>166</v>
      </c>
      <c r="B36" s="87">
        <f>IF(1217810.85287="","-",1217810.85287)</f>
        <v>1217810.85287</v>
      </c>
      <c r="C36" s="83">
        <v>118.84</v>
      </c>
      <c r="D36" s="87">
        <f>IF(1024705.48589="","-",1024705.48589/4359960.60099*100)</f>
        <v>23.50263178197812</v>
      </c>
      <c r="E36" s="87">
        <f>IF(1217810.85287="","-",1217810.85287/5244769.76452*100)</f>
        <v>23.219529312960297</v>
      </c>
      <c r="F36" s="1"/>
      <c r="G36" s="1"/>
    </row>
    <row r="37" spans="1:7" ht="15.75">
      <c r="A37" s="32" t="s">
        <v>167</v>
      </c>
      <c r="B37" s="87">
        <f>IF(83749.10306="","-",83749.10306)</f>
        <v>83749.10306</v>
      </c>
      <c r="C37" s="83">
        <v>121.8</v>
      </c>
      <c r="D37" s="87">
        <f>IF(68759.82772="","-",68759.82772/4359960.60099*100)</f>
        <v>1.5770745199942167</v>
      </c>
      <c r="E37" s="87">
        <f>IF(83749.10306="","-",83749.10306/5244769.76452*100)</f>
        <v>1.5968118110073932</v>
      </c>
      <c r="F37" s="16"/>
      <c r="G37" s="16"/>
    </row>
    <row r="38" spans="1:5" ht="15.75">
      <c r="A38" s="32" t="s">
        <v>168</v>
      </c>
      <c r="B38" s="87">
        <f>IF(6174.6772="","-",6174.6772)</f>
        <v>6174.6772</v>
      </c>
      <c r="C38" s="83">
        <v>98.57</v>
      </c>
      <c r="D38" s="87">
        <f>IF(6264.1105="","-",6264.1105/4359960.60099*100)</f>
        <v>0.1436735574761302</v>
      </c>
      <c r="E38" s="87">
        <f>IF(6174.6772="","-",6174.6772/5244769.76452*100)</f>
        <v>0.11773018601828188</v>
      </c>
    </row>
    <row r="39" spans="1:5" ht="15.75">
      <c r="A39" s="38" t="s">
        <v>170</v>
      </c>
      <c r="B39" s="88">
        <f>IF(1704.90306="","-",1704.90306)</f>
        <v>1704.90306</v>
      </c>
      <c r="C39" s="89" t="s">
        <v>343</v>
      </c>
      <c r="D39" s="88">
        <f>IF(919.49196="","-",919.49196/4359960.60099*100)</f>
        <v>0.021089455711852403</v>
      </c>
      <c r="E39" s="88">
        <f>IF(1704.90306="","-",1704.90306/5244769.76452*100)</f>
        <v>0.03250672835123073</v>
      </c>
    </row>
    <row r="40" ht="15.75">
      <c r="A40" s="36" t="s">
        <v>19</v>
      </c>
    </row>
  </sheetData>
  <sheetProtection/>
  <mergeCells count="7">
    <mergeCell ref="A1:E1"/>
    <mergeCell ref="A3:A5"/>
    <mergeCell ref="B3:C3"/>
    <mergeCell ref="D3:E3"/>
    <mergeCell ref="B4:B5"/>
    <mergeCell ref="C4:C5"/>
    <mergeCell ref="D4:E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79"/>
  <sheetViews>
    <sheetView zoomScalePageLayoutView="0" workbookViewId="0" topLeftCell="A1">
      <selection activeCell="C11" sqref="C11"/>
    </sheetView>
  </sheetViews>
  <sheetFormatPr defaultColWidth="9.00390625" defaultRowHeight="15.75"/>
  <cols>
    <col min="1" max="1" width="27.375" style="0" customWidth="1"/>
    <col min="2" max="2" width="11.125" style="0" customWidth="1"/>
    <col min="3" max="3" width="11.25390625" style="0" customWidth="1"/>
    <col min="4" max="4" width="8.25390625" style="0" customWidth="1"/>
    <col min="5" max="5" width="8.375" style="0" customWidth="1"/>
    <col min="6" max="6" width="9.625" style="0" customWidth="1"/>
    <col min="7" max="7" width="9.875" style="0" customWidth="1"/>
    <col min="8" max="8" width="11.00390625" style="0" customWidth="1"/>
  </cols>
  <sheetData>
    <row r="1" spans="1:7" ht="15.75">
      <c r="A1" s="109" t="s">
        <v>186</v>
      </c>
      <c r="B1" s="109"/>
      <c r="C1" s="109"/>
      <c r="D1" s="109"/>
      <c r="E1" s="109"/>
      <c r="F1" s="109"/>
      <c r="G1" s="109"/>
    </row>
    <row r="2" spans="1:7" ht="15.75">
      <c r="A2" s="109" t="s">
        <v>22</v>
      </c>
      <c r="B2" s="109"/>
      <c r="C2" s="109"/>
      <c r="D2" s="109"/>
      <c r="E2" s="109"/>
      <c r="F2" s="109"/>
      <c r="G2" s="109"/>
    </row>
    <row r="3" ht="15.75">
      <c r="A3" s="6"/>
    </row>
    <row r="4" spans="1:7" ht="57" customHeight="1">
      <c r="A4" s="117"/>
      <c r="B4" s="120" t="s">
        <v>244</v>
      </c>
      <c r="C4" s="115"/>
      <c r="D4" s="120" t="s">
        <v>0</v>
      </c>
      <c r="E4" s="115"/>
      <c r="F4" s="112" t="s">
        <v>152</v>
      </c>
      <c r="G4" s="121"/>
    </row>
    <row r="5" spans="1:7" ht="28.5" customHeight="1">
      <c r="A5" s="118"/>
      <c r="B5" s="122" t="s">
        <v>161</v>
      </c>
      <c r="C5" s="110" t="s">
        <v>245</v>
      </c>
      <c r="D5" s="124" t="s">
        <v>246</v>
      </c>
      <c r="E5" s="124"/>
      <c r="F5" s="124" t="s">
        <v>246</v>
      </c>
      <c r="G5" s="120"/>
    </row>
    <row r="6" spans="1:13" ht="26.25" customHeight="1">
      <c r="A6" s="119"/>
      <c r="B6" s="123"/>
      <c r="C6" s="111"/>
      <c r="D6" s="29">
        <v>2017</v>
      </c>
      <c r="E6" s="29">
        <v>2018</v>
      </c>
      <c r="F6" s="29" t="s">
        <v>141</v>
      </c>
      <c r="G6" s="25" t="s">
        <v>160</v>
      </c>
      <c r="H6" s="1"/>
      <c r="I6" s="1"/>
      <c r="J6" s="1"/>
      <c r="K6" s="1"/>
      <c r="L6" s="1"/>
      <c r="M6" s="1"/>
    </row>
    <row r="7" spans="1:13" ht="16.5" customHeight="1">
      <c r="A7" s="53" t="s">
        <v>146</v>
      </c>
      <c r="B7" s="74">
        <f>IF(2487873.87382="","-",2487873.87382)</f>
        <v>2487873.87382</v>
      </c>
      <c r="C7" s="74">
        <f>IF(2191887.38519="","-",2487873.87382/2191887.38519*100)</f>
        <v>113.50372699938427</v>
      </c>
      <c r="D7" s="74">
        <v>100</v>
      </c>
      <c r="E7" s="74">
        <v>100</v>
      </c>
      <c r="F7" s="74">
        <f>IF(1851128.77138="","-",(2191887.38519-1851128.77138)/1851128.77138*100)</f>
        <v>18.4081528567009</v>
      </c>
      <c r="G7" s="74">
        <f>IF(2191887.38519="","-",(2487873.87382-2191887.38519)/2191887.38519*100)</f>
        <v>13.503726999384277</v>
      </c>
      <c r="H7" s="33"/>
      <c r="I7" s="33"/>
      <c r="J7" s="33"/>
      <c r="K7" s="33"/>
      <c r="L7" s="33"/>
      <c r="M7" s="33"/>
    </row>
    <row r="8" spans="1:13" ht="13.5" customHeight="1">
      <c r="A8" s="58" t="s">
        <v>193</v>
      </c>
      <c r="B8" s="60"/>
      <c r="C8" s="60"/>
      <c r="D8" s="60"/>
      <c r="E8" s="60"/>
      <c r="F8" s="60"/>
      <c r="G8" s="60"/>
      <c r="H8" s="33"/>
      <c r="I8" s="33"/>
      <c r="J8" s="33"/>
      <c r="K8" s="33"/>
      <c r="L8" s="33"/>
      <c r="M8" s="33"/>
    </row>
    <row r="9" spans="1:13" ht="12.75" customHeight="1">
      <c r="A9" s="44" t="s">
        <v>257</v>
      </c>
      <c r="B9" s="68">
        <f>IF(558602.90224="","-",558602.90224)</f>
        <v>558602.90224</v>
      </c>
      <c r="C9" s="68">
        <f>IF(545327.03121="","-",558602.90224/545327.03121*100)</f>
        <v>102.43447881183201</v>
      </c>
      <c r="D9" s="68">
        <f>IF(545327.03121="","-",545327.03121/2191887.38519*100)</f>
        <v>24.879336178246646</v>
      </c>
      <c r="E9" s="68">
        <f>IF(558602.90224="","-",558602.90224/2487873.87382*100)</f>
        <v>22.453023367390184</v>
      </c>
      <c r="F9" s="68">
        <f>IF(1851128.77138="","-",(545327.03121-444725.41798)/1851128.77138*100)</f>
        <v>5.434609130676652</v>
      </c>
      <c r="G9" s="68">
        <f>IF(2191887.38519="","-",(558602.90224-545327.03121)/2191887.38519*100)</f>
        <v>0.6056821677838675</v>
      </c>
      <c r="H9" s="33"/>
      <c r="I9" s="33"/>
      <c r="J9" s="33"/>
      <c r="K9" s="33"/>
      <c r="L9" s="33"/>
      <c r="M9" s="33"/>
    </row>
    <row r="10" spans="1:7" ht="13.5" customHeight="1">
      <c r="A10" s="22" t="s">
        <v>24</v>
      </c>
      <c r="B10" s="69">
        <f>IF(11656.0891="","-",11656.0891)</f>
        <v>11656.0891</v>
      </c>
      <c r="C10" s="69" t="s">
        <v>195</v>
      </c>
      <c r="D10" s="69">
        <f>IF(7193.23845="","-",7193.23845/2191887.38519*100)</f>
        <v>0.3281755485524849</v>
      </c>
      <c r="E10" s="69">
        <f>IF(11656.0891="","-",11656.0891/2487873.87382*100)</f>
        <v>0.4685160780318291</v>
      </c>
      <c r="F10" s="69">
        <f>IF(OR(1851128.77138="",9106.52493="",7193.23845=""),"-",(7193.23845-9106.52493)/1851128.77138*100)</f>
        <v>-0.1033578273743572</v>
      </c>
      <c r="G10" s="69">
        <f>IF(OR(2191887.38519="",11656.0891="",7193.23845=""),"-",(11656.0891-7193.23845)/2191887.38519*100)</f>
        <v>0.20360766160498456</v>
      </c>
    </row>
    <row r="11" spans="1:10" ht="15.75">
      <c r="A11" s="22" t="s">
        <v>258</v>
      </c>
      <c r="B11" s="69">
        <f>IF(8394.10692="","-",8394.10692)</f>
        <v>8394.10692</v>
      </c>
      <c r="C11" s="69">
        <f>IF(OR(10173.46491="",8394.10692=""),"-",8394.10692/10173.46491*100)</f>
        <v>82.50981346334638</v>
      </c>
      <c r="D11" s="69">
        <f>IF(10173.46491="","-",10173.46491/2191887.38519*100)</f>
        <v>0.4641417701812327</v>
      </c>
      <c r="E11" s="69">
        <f>IF(8394.10692="","-",8394.10692/2487873.87382*100)</f>
        <v>0.33740082278010697</v>
      </c>
      <c r="F11" s="69">
        <f>IF(OR(1851128.77138="",7271.94732="",10173.46491=""),"-",(10173.46491-7271.94732)/1851128.77138*100)</f>
        <v>0.1567431523327761</v>
      </c>
      <c r="G11" s="69">
        <f>IF(OR(2191887.38519="",8394.10692="",10173.46491=""),"-",(8394.10692-10173.46491)/2191887.38519*100)</f>
        <v>-0.08117926139922375</v>
      </c>
      <c r="J11" s="21"/>
    </row>
    <row r="12" spans="1:10" s="11" customFormat="1" ht="15.75">
      <c r="A12" s="22" t="s">
        <v>259</v>
      </c>
      <c r="B12" s="69">
        <f>IF(19448.49654="","-",19448.49654)</f>
        <v>19448.49654</v>
      </c>
      <c r="C12" s="69">
        <f>IF(OR(19068.65656="",19448.49654=""),"-",19448.49654/19068.65656*100)</f>
        <v>101.99195983631478</v>
      </c>
      <c r="D12" s="69">
        <f>IF(19068.65656="","-",19068.65656/2191887.38519*100)</f>
        <v>0.869965158285131</v>
      </c>
      <c r="E12" s="69">
        <f>IF(19448.49654="","-",19448.49654/2487873.87382*100)</f>
        <v>0.7817316120667264</v>
      </c>
      <c r="F12" s="69">
        <f>IF(OR(1851128.77138="",17702.01722="",19068.65656=""),"-",(19068.65656-17702.01722)/1851128.77138*100)</f>
        <v>0.07382735124262481</v>
      </c>
      <c r="G12" s="69">
        <f>IF(OR(2191887.38519="",19448.49654="",19068.65656=""),"-",(19448.49654-19068.65656)/2191887.38519*100)</f>
        <v>0.01732935654297198</v>
      </c>
      <c r="J12" s="21"/>
    </row>
    <row r="13" spans="1:10" s="11" customFormat="1" ht="15.75">
      <c r="A13" s="22" t="s">
        <v>260</v>
      </c>
      <c r="B13" s="69">
        <f>IF(17.81796="","-",17.81796)</f>
        <v>17.81796</v>
      </c>
      <c r="C13" s="69">
        <f>IF(OR(27.61945="",17.81796=""),"-",17.81796/27.61945*100)</f>
        <v>64.51236356987557</v>
      </c>
      <c r="D13" s="69">
        <f>IF(27.61945="","-",27.61945/2191887.38519*100)</f>
        <v>0.0012600761419869141</v>
      </c>
      <c r="E13" s="69">
        <f>IF(17.81796="","-",17.81796/2487873.87382*100)</f>
        <v>0.0007161922550616063</v>
      </c>
      <c r="F13" s="69">
        <f>IF(OR(1851128.77138="",18.20086="",27.61945=""),"-",(27.61945-18.20086)/1851128.77138*100)</f>
        <v>0.0005088025287932036</v>
      </c>
      <c r="G13" s="69">
        <f>IF(OR(2191887.38519="",17.81796="",27.61945=""),"-",(17.81796-27.61945)/2191887.38519*100)</f>
        <v>-0.00044717124001105455</v>
      </c>
      <c r="J13" s="21"/>
    </row>
    <row r="14" spans="1:10" s="11" customFormat="1" ht="15.75">
      <c r="A14" s="22" t="s">
        <v>261</v>
      </c>
      <c r="B14" s="69">
        <f>IF(215305.28994="","-",215305.28994)</f>
        <v>215305.28994</v>
      </c>
      <c r="C14" s="69">
        <f>IF(OR(181821.28285="",215305.28994=""),"-",215305.28994/181821.28285*100)</f>
        <v>118.41588980406867</v>
      </c>
      <c r="D14" s="69">
        <f>IF(181821.28285="","-",181821.28285/2191887.38519*100)</f>
        <v>8.295192721967288</v>
      </c>
      <c r="E14" s="69">
        <f>IF(215305.28994="","-",215305.28994/2487873.87382*100)</f>
        <v>8.65418830936996</v>
      </c>
      <c r="F14" s="69">
        <f>IF(OR(1851128.77138="",157204.94708="",181821.28285=""),"-",(181821.28285-157204.94708)/1851128.77138*100)</f>
        <v>1.3298013704172895</v>
      </c>
      <c r="G14" s="69">
        <f>IF(OR(2191887.38519="",215305.28994="",181821.28285=""),"-",(215305.28994-181821.28285)/2191887.38519*100)</f>
        <v>1.52763355071262</v>
      </c>
      <c r="J14" s="21"/>
    </row>
    <row r="15" spans="1:10" s="11" customFormat="1" ht="15.75">
      <c r="A15" s="22" t="s">
        <v>262</v>
      </c>
      <c r="B15" s="69">
        <f>IF(243047.45032="","-",243047.45032)</f>
        <v>243047.45032</v>
      </c>
      <c r="C15" s="69">
        <f>IF(OR(261978.57849="",243047.45032=""),"-",243047.45032/261978.57849*100)</f>
        <v>92.77378773519736</v>
      </c>
      <c r="D15" s="69">
        <f>IF(261978.57849="","-",261978.57849/2191887.38519*100)</f>
        <v>11.952191534114371</v>
      </c>
      <c r="E15" s="69">
        <f>IF(243047.45032="","-",243047.45032/2487873.87382*100)</f>
        <v>9.769283438264232</v>
      </c>
      <c r="F15" s="69">
        <f>IF(OR(1851128.77138="",178727.92008="",261978.57849=""),"-",(261978.57849-178727.92008)/1851128.77138*100)</f>
        <v>4.497291582148408</v>
      </c>
      <c r="G15" s="69">
        <f>IF(OR(2191887.38519="",243047.45032="",261978.57849=""),"-",(243047.45032-261978.57849)/2191887.38519*100)</f>
        <v>-0.8636907305508763</v>
      </c>
      <c r="J15" s="21"/>
    </row>
    <row r="16" spans="1:10" s="11" customFormat="1" ht="15.75" customHeight="1">
      <c r="A16" s="22" t="s">
        <v>30</v>
      </c>
      <c r="B16" s="69">
        <f>IF(29482.9487="","-",29482.9487)</f>
        <v>29482.9487</v>
      </c>
      <c r="C16" s="69">
        <f>IF(OR(39477.08667="",29482.9487=""),"-",29482.9487/39477.08667*100)</f>
        <v>74.68369929740817</v>
      </c>
      <c r="D16" s="69">
        <f>IF(39477.08667="","-",39477.08667/2191887.38519*100)</f>
        <v>1.801054512961577</v>
      </c>
      <c r="E16" s="69">
        <f>IF(29482.9487="","-",29482.9487/2487873.87382*100)</f>
        <v>1.185066052192207</v>
      </c>
      <c r="F16" s="69">
        <f>IF(OR(1851128.77138="",47678.28672="",39477.08667=""),"-",(39477.08667-47678.28672)/1851128.77138*100)</f>
        <v>-0.44303779276717076</v>
      </c>
      <c r="G16" s="69">
        <f>IF(OR(2191887.38519="",29482.9487="",39477.08667=""),"-",(29482.9487-39477.08667)/2191887.38519*100)</f>
        <v>-0.45596037631895364</v>
      </c>
      <c r="J16" s="21"/>
    </row>
    <row r="17" spans="1:10" s="11" customFormat="1" ht="25.5">
      <c r="A17" s="22" t="s">
        <v>263</v>
      </c>
      <c r="B17" s="69">
        <f>IF(10444.54895="","-",10444.54895)</f>
        <v>10444.54895</v>
      </c>
      <c r="C17" s="69">
        <f>IF(OR(9200.79664="",10444.54895=""),"-",10444.54895/9200.79664*100)</f>
        <v>113.51787631728376</v>
      </c>
      <c r="D17" s="69">
        <f>IF(9200.79664="","-",9200.79664/2191887.38519*100)</f>
        <v>0.41976593789294725</v>
      </c>
      <c r="E17" s="69">
        <f>IF(10444.54895="","-",10444.54895/2487873.87382*100)</f>
        <v>0.4198182657050433</v>
      </c>
      <c r="F17" s="69">
        <f>IF(OR(1851128.77138="",7550.7682="",9200.79664=""),"-",(9200.79664-7550.7682)/1851128.77138*100)</f>
        <v>0.08913634024335965</v>
      </c>
      <c r="G17" s="69">
        <f>IF(OR(2191887.38519="",10444.54895="",9200.79664=""),"-",(10444.54895-9200.79664)/2191887.38519*100)</f>
        <v>0.05674344030645477</v>
      </c>
      <c r="J17" s="21"/>
    </row>
    <row r="18" spans="1:10" s="11" customFormat="1" ht="25.5">
      <c r="A18" s="22" t="s">
        <v>32</v>
      </c>
      <c r="B18" s="69">
        <f>IF(18305.02557="","-",18305.02557)</f>
        <v>18305.02557</v>
      </c>
      <c r="C18" s="69">
        <f>IF(OR(13729.97017="",18305.02557=""),"-",18305.02557/13729.97017*100)</f>
        <v>133.3216703558213</v>
      </c>
      <c r="D18" s="69">
        <f>IF(13729.97017="","-",13729.97017/2191887.38519*100)</f>
        <v>0.6263994337834031</v>
      </c>
      <c r="E18" s="69">
        <f>IF(18305.02557="","-",18305.02557/2487873.87382*100)</f>
        <v>0.7357698379578059</v>
      </c>
      <c r="F18" s="69">
        <f>IF(OR(1851128.77138="",13879.90453="",13729.97017=""),"-",(13729.97017-13879.90453)/1851128.77138*100)</f>
        <v>-0.008099618044844312</v>
      </c>
      <c r="G18" s="69">
        <f>IF(OR(2191887.38519="",18305.02557="",13729.97017=""),"-",(18305.02557-13729.97017)/2191887.38519*100)</f>
        <v>0.20872675443603692</v>
      </c>
      <c r="J18" s="21"/>
    </row>
    <row r="19" spans="1:10" s="11" customFormat="1" ht="15.75">
      <c r="A19" s="22" t="s">
        <v>264</v>
      </c>
      <c r="B19" s="69">
        <f>IF(2501.12824="","-",2501.12824)</f>
        <v>2501.12824</v>
      </c>
      <c r="C19" s="69">
        <f>IF(OR(2656.33702="",2501.12824=""),"-",2501.12824/2656.33702*100)</f>
        <v>94.15703734761789</v>
      </c>
      <c r="D19" s="69">
        <f>IF(2656.33702="","-",2656.33702/2191887.38519*100)</f>
        <v>0.12118948436622076</v>
      </c>
      <c r="E19" s="69">
        <f>IF(2501.12824="","-",2501.12824/2487873.87382*100)</f>
        <v>0.10053275876721389</v>
      </c>
      <c r="F19" s="69">
        <f>IF(OR(1851128.77138="",5584.90104="",2656.33702=""),"-",(2656.33702-5584.90104)/1851128.77138*100)</f>
        <v>-0.15820423005022938</v>
      </c>
      <c r="G19" s="69">
        <f>IF(OR(2191887.38519="",2501.12824="",2656.33702=""),"-",(2501.12824-2656.33702)/2191887.38519*100)</f>
        <v>-0.007081056310132738</v>
      </c>
      <c r="J19" s="21"/>
    </row>
    <row r="20" spans="1:10" s="11" customFormat="1" ht="15.75">
      <c r="A20" s="44" t="s">
        <v>265</v>
      </c>
      <c r="B20" s="68">
        <f>IF(201505.74334="","-",201505.74334)</f>
        <v>201505.74334</v>
      </c>
      <c r="C20" s="68">
        <f>IF(180385.72485="","-",201505.74334/180385.72485*100)</f>
        <v>111.7082538031002</v>
      </c>
      <c r="D20" s="68">
        <f>IF(180385.72485="","-",180385.72485/2191887.38519*100)</f>
        <v>8.229698572509626</v>
      </c>
      <c r="E20" s="68">
        <f>IF(201505.74334="","-",201505.74334/2487873.87382*100)</f>
        <v>8.099516034974814</v>
      </c>
      <c r="F20" s="68">
        <f>IF(1851128.77138="","-",(180385.72485-156696.59564)/1851128.77138*100)</f>
        <v>1.2797126583657359</v>
      </c>
      <c r="G20" s="68">
        <f>IF(2191887.38519="","-",(201505.74334-180385.72485)/2191887.38519*100)</f>
        <v>0.9635539960995412</v>
      </c>
      <c r="J20" s="21"/>
    </row>
    <row r="21" spans="1:7" s="11" customFormat="1" ht="15.75">
      <c r="A21" s="22" t="s">
        <v>237</v>
      </c>
      <c r="B21" s="69">
        <f>IF(180693.63433="","-",180693.63433)</f>
        <v>180693.63433</v>
      </c>
      <c r="C21" s="69">
        <f>IF(OR(163373.06108="",180693.63433=""),"-",180693.63433/163373.06108*100)</f>
        <v>110.60185390143269</v>
      </c>
      <c r="D21" s="69">
        <f>IF(163373.06108="","-",163373.06108/2191887.38519*100)</f>
        <v>7.453533524754436</v>
      </c>
      <c r="E21" s="69">
        <f>IF(180693.63433="","-",180693.63433/2487873.87382*100)</f>
        <v>7.262974069202086</v>
      </c>
      <c r="F21" s="69">
        <f>IF(OR(1851128.77138="",144215.7943="",163373.06108=""),"-",(163373.06108-144215.7943)/1851128.77138*100)</f>
        <v>1.0348964953809472</v>
      </c>
      <c r="G21" s="69">
        <f>IF(OR(2191887.38519="",180693.63433="",163373.06108=""),"-",(180693.63433-163373.06108)/2191887.38519*100)</f>
        <v>0.7902127347887713</v>
      </c>
    </row>
    <row r="22" spans="1:7" s="11" customFormat="1" ht="15.75">
      <c r="A22" s="22" t="s">
        <v>266</v>
      </c>
      <c r="B22" s="69">
        <f>IF(20812.10901="","-",20812.10901)</f>
        <v>20812.10901</v>
      </c>
      <c r="C22" s="69">
        <f>IF(OR(17012.66377="",20812.10901=""),"-",20812.10901/17012.66377*100)</f>
        <v>122.3330413823843</v>
      </c>
      <c r="D22" s="69">
        <f>IF(17012.66377="","-",17012.66377/2191887.38519*100)</f>
        <v>0.7761650477551923</v>
      </c>
      <c r="E22" s="69">
        <f>IF(20812.10901="","-",20812.10901/2487873.87382*100)</f>
        <v>0.8365419657727302</v>
      </c>
      <c r="F22" s="69">
        <f>IF(OR(1851128.77138="",12480.80134="",17012.66377=""),"-",(17012.66377-12480.80134)/1851128.77138*100)</f>
        <v>0.24481616298478986</v>
      </c>
      <c r="G22" s="69">
        <f>IF(OR(2191887.38519="",20812.10901="",17012.66377=""),"-",(20812.10901-17012.66377)/2191887.38519*100)</f>
        <v>0.17334126131076996</v>
      </c>
    </row>
    <row r="23" spans="1:7" s="11" customFormat="1" ht="25.5">
      <c r="A23" s="44" t="s">
        <v>36</v>
      </c>
      <c r="B23" s="68">
        <f>IF(251336.10358="","-",251336.10358)</f>
        <v>251336.10358</v>
      </c>
      <c r="C23" s="68">
        <f>IF(241562.7016="","-",251336.10358/241562.7016*100)</f>
        <v>104.04590688681054</v>
      </c>
      <c r="D23" s="68">
        <f>IF(241562.7016="","-",241562.7016/2191887.38519*100)</f>
        <v>11.020762436618547</v>
      </c>
      <c r="E23" s="68">
        <f>IF(251336.10358="","-",251336.10358/2487873.87382*100)</f>
        <v>10.102445555010656</v>
      </c>
      <c r="F23" s="68">
        <f>IF(1851128.77138="","-",(241562.7016-205333.61127)/1851128.77138*100)</f>
        <v>1.9571350675399821</v>
      </c>
      <c r="G23" s="68">
        <f>IF(2191887.38519="","-",(251336.10358-241562.7016)/2191887.38519*100)</f>
        <v>0.4458897864021789</v>
      </c>
    </row>
    <row r="24" spans="1:7" s="11" customFormat="1" ht="15.75">
      <c r="A24" s="22" t="s">
        <v>267</v>
      </c>
      <c r="B24" s="69">
        <f>IF(2757.90108="","-",2757.90108)</f>
        <v>2757.90108</v>
      </c>
      <c r="C24" s="69">
        <f>IF(OR(3407.04319="",2757.90108=""),"-",2757.90108/3407.04319*100)</f>
        <v>80.94705368263911</v>
      </c>
      <c r="D24" s="69">
        <f>IF(3407.04319="","-",3407.04319/2191887.38519*100)</f>
        <v>0.15543878818868545</v>
      </c>
      <c r="E24" s="69">
        <f>IF(2757.90108="","-",2757.90108/2487873.87382*100)</f>
        <v>0.11085373374516722</v>
      </c>
      <c r="F24" s="69">
        <f>IF(OR(1851128.77138="",3395.29279="",3407.04319=""),"-",(3407.04319-3395.29279)/1851128.77138*100)</f>
        <v>0.0006347694542741119</v>
      </c>
      <c r="G24" s="69">
        <f>IF(OR(2191887.38519="",2757.90108="",3407.04319=""),"-",(2757.90108-3407.04319)/2191887.38519*100)</f>
        <v>-0.02961566886994653</v>
      </c>
    </row>
    <row r="25" spans="1:8" s="11" customFormat="1" ht="15.75">
      <c r="A25" s="22" t="s">
        <v>268</v>
      </c>
      <c r="B25" s="69">
        <f>IF(214450.29871="","-",214450.29871)</f>
        <v>214450.29871</v>
      </c>
      <c r="C25" s="69">
        <f>IF(OR(208023.7419="",214450.29871=""),"-",214450.29871/208023.7419*100)</f>
        <v>103.08933814539753</v>
      </c>
      <c r="D25" s="69">
        <f>IF(208023.7419="","-",208023.7419/2191887.38519*100)</f>
        <v>9.490621794968169</v>
      </c>
      <c r="E25" s="69">
        <f>IF(214450.29871="","-",214450.29871/2487873.87382*100)</f>
        <v>8.619821967932918</v>
      </c>
      <c r="F25" s="69">
        <f>IF(OR(1851128.77138="",177176.35137="",208023.7419=""),"-",(208023.7419-177176.35137)/1851128.77138*100)</f>
        <v>1.6664097607322883</v>
      </c>
      <c r="G25" s="69">
        <f>IF(OR(2191887.38519="",214450.29871="",208023.7419=""),"-",(214450.29871-208023.7419)/2191887.38519*100)</f>
        <v>0.2931973993473636</v>
      </c>
      <c r="H25" s="8"/>
    </row>
    <row r="26" spans="1:8" s="11" customFormat="1" ht="15.75">
      <c r="A26" s="22" t="s">
        <v>270</v>
      </c>
      <c r="B26" s="69">
        <f>IF(765.79885="","-",765.79885)</f>
        <v>765.79885</v>
      </c>
      <c r="C26" s="69">
        <f>IF(OR(553.14083="",765.79885=""),"-",765.79885/553.14083*100)</f>
        <v>138.44554740245806</v>
      </c>
      <c r="D26" s="69">
        <f>IF(553.14083="","-",553.14083/2191887.38519*100)</f>
        <v>0.025235823415811667</v>
      </c>
      <c r="E26" s="69">
        <f>IF(765.79885="","-",765.79885/2487873.87382*100)</f>
        <v>0.030781256962361843</v>
      </c>
      <c r="F26" s="69">
        <f>IF(OR(1851128.77138="",1897.8452="",553.14083=""),"-",(553.14083-1897.8452)/1851128.77138*100)</f>
        <v>-0.07264240018254023</v>
      </c>
      <c r="G26" s="69">
        <f>IF(OR(2191887.38519="",765.79885="",553.14083=""),"-",(765.79885-553.14083)/2191887.38519*100)</f>
        <v>0.009702050453726485</v>
      </c>
      <c r="H26" s="9"/>
    </row>
    <row r="27" spans="1:8" s="11" customFormat="1" ht="15.75">
      <c r="A27" s="22" t="s">
        <v>271</v>
      </c>
      <c r="B27" s="69">
        <f>IF(3037.48898="","-",3037.48898)</f>
        <v>3037.48898</v>
      </c>
      <c r="C27" s="69">
        <f>IF(OR(2671.87132="",3037.48898=""),"-",3037.48898/2671.87132*100)</f>
        <v>113.68395465991227</v>
      </c>
      <c r="D27" s="69">
        <f>IF(2671.87132="","-",2671.87132/2191887.38519*100)</f>
        <v>0.12189820234621196</v>
      </c>
      <c r="E27" s="69">
        <f>IF(3037.48898="","-",3037.48898/2487873.87382*100)</f>
        <v>0.12209175923119024</v>
      </c>
      <c r="F27" s="69">
        <f>IF(OR(1851128.77138="",2362.04938="",2671.87132=""),"-",(2671.87132-2362.04938)/1851128.77138*100)</f>
        <v>0.01673691991557296</v>
      </c>
      <c r="G27" s="69">
        <f>IF(OR(2191887.38519="",3037.48898="",2671.87132=""),"-",(3037.48898-2671.87132)/2191887.38519*100)</f>
        <v>0.016680494740303777</v>
      </c>
      <c r="H27" s="9"/>
    </row>
    <row r="28" spans="1:8" s="11" customFormat="1" ht="14.25" customHeight="1">
      <c r="A28" s="22" t="s">
        <v>272</v>
      </c>
      <c r="B28" s="69">
        <f>IF(344.83315="","-",344.83315)</f>
        <v>344.83315</v>
      </c>
      <c r="C28" s="69">
        <f>IF(OR(378.634="",344.83315=""),"-",344.83315/378.634*100)</f>
        <v>91.07294907483215</v>
      </c>
      <c r="D28" s="69">
        <f>IF(378.634="","-",378.634/2191887.38519*100)</f>
        <v>0.01727433638052435</v>
      </c>
      <c r="E28" s="69">
        <f>IF(344.83315="","-",344.83315/2487873.87382*100)</f>
        <v>0.013860555940101849</v>
      </c>
      <c r="F28" s="69">
        <f>IF(OR(1851128.77138="",758.73829="",378.634=""),"-",(378.634-758.73829)/1851128.77138*100)</f>
        <v>-0.02053364929964519</v>
      </c>
      <c r="G28" s="69">
        <f>IF(OR(2191887.38519="",344.83315="",378.634=""),"-",(344.83315-378.634)/2191887.38519*100)</f>
        <v>-0.0015420888056742047</v>
      </c>
      <c r="H28" s="9"/>
    </row>
    <row r="29" spans="1:8" s="11" customFormat="1" ht="15" customHeight="1">
      <c r="A29" s="22" t="s">
        <v>273</v>
      </c>
      <c r="B29" s="69">
        <f>IF(9981.94953="","-",9981.94953)</f>
        <v>9981.94953</v>
      </c>
      <c r="C29" s="69">
        <f>IF(OR(9584.05158="",9981.94953=""),"-",9981.94953/9584.05158*100)</f>
        <v>104.15166745168958</v>
      </c>
      <c r="D29" s="69">
        <f>IF(9584.05158="","-",9584.05158/2191887.38519*100)</f>
        <v>0.43725109441100335</v>
      </c>
      <c r="E29" s="69">
        <f>IF(9981.94953="","-",9981.94953/2487873.87382*100)</f>
        <v>0.4012240988194968</v>
      </c>
      <c r="F29" s="69">
        <f>IF(OR(1851128.77138="",7126.80468="",9584.05158=""),"-",(9584.05158-7126.80468)/1851128.77138*100)</f>
        <v>0.13274316395439867</v>
      </c>
      <c r="G29" s="69">
        <f>IF(OR(2191887.38519="",9981.94953="",9584.05158=""),"-",(9981.94953-9584.05158)/2191887.38519*100)</f>
        <v>0.018153211368818083</v>
      </c>
      <c r="H29" s="9"/>
    </row>
    <row r="30" spans="1:8" s="11" customFormat="1" ht="15" customHeight="1">
      <c r="A30" s="22" t="s">
        <v>274</v>
      </c>
      <c r="B30" s="69">
        <f>IF(15773.92399="","-",15773.92399)</f>
        <v>15773.92399</v>
      </c>
      <c r="C30" s="69">
        <f>IF(OR(14033.65336="",15773.92399=""),"-",15773.92399/14033.65336*100)</f>
        <v>112.40069556627554</v>
      </c>
      <c r="D30" s="69">
        <f>IF(14033.65336="","-",14033.65336/2191887.38519*100)</f>
        <v>0.6402543057103054</v>
      </c>
      <c r="E30" s="69">
        <f>IF(15773.92399="","-",15773.92399/2487873.87382*100)</f>
        <v>0.6340323018779069</v>
      </c>
      <c r="F30" s="69">
        <f>IF(OR(1851128.77138="",9945.57743="",14033.65336=""),"-",(14033.65336-9945.57743)/1851128.77138*100)</f>
        <v>0.22084233107955947</v>
      </c>
      <c r="G30" s="69">
        <f>IF(OR(2191887.38519="",15773.92399="",14033.65336=""),"-",(15773.92399-14033.65336)/2191887.38519*100)</f>
        <v>0.07939598730110611</v>
      </c>
      <c r="H30" s="9"/>
    </row>
    <row r="31" spans="1:7" s="11" customFormat="1" ht="25.5">
      <c r="A31" s="22" t="s">
        <v>42</v>
      </c>
      <c r="B31" s="69">
        <f>IF(4222.85583="","-",4222.85583)</f>
        <v>4222.85583</v>
      </c>
      <c r="C31" s="69">
        <f>IF(OR(2910.10117="",4222.85583=""),"-",4222.85583/2910.10117*100)</f>
        <v>145.11027566783875</v>
      </c>
      <c r="D31" s="69">
        <f>IF(2910.10117="","-",2910.10117/2191887.38519*100)</f>
        <v>0.132766910821367</v>
      </c>
      <c r="E31" s="69">
        <f>IF(4222.85583="","-",4222.85583/2487873.87382*100)</f>
        <v>0.16973753671507577</v>
      </c>
      <c r="F31" s="69">
        <f>IF(OR(1851128.77138="",2554.21342="",2910.10117=""),"-",(2910.10117-2554.21342)/1851128.77138*100)</f>
        <v>0.0192254453338051</v>
      </c>
      <c r="G31" s="69">
        <f>IF(OR(2191887.38519="",4222.85583="",2910.10117=""),"-",(4222.85583-2910.10117)/2191887.38519*100)</f>
        <v>0.059891519467192275</v>
      </c>
    </row>
    <row r="32" spans="1:7" s="11" customFormat="1" ht="25.5">
      <c r="A32" s="44" t="s">
        <v>275</v>
      </c>
      <c r="B32" s="68">
        <f>IF(16606.81361="","-",16606.81361)</f>
        <v>16606.81361</v>
      </c>
      <c r="C32" s="68">
        <f>IF(16663.55014="","-",16606.81361/16663.55014*100)</f>
        <v>99.6595171525676</v>
      </c>
      <c r="D32" s="68">
        <f>IF(16663.55014="","-",16663.55014/2191887.38519*100)</f>
        <v>0.7602375127751169</v>
      </c>
      <c r="E32" s="68">
        <f>IF(16606.81361="","-",16606.81361/2487873.87382*100)</f>
        <v>0.6675102699037194</v>
      </c>
      <c r="F32" s="68">
        <f>IF(1851128.77138="","-",(16663.55014-5329.44084)/1851128.77138*100)</f>
        <v>0.6122809755450196</v>
      </c>
      <c r="G32" s="68">
        <f>IF(2191887.38519="","-",(16606.81361-16663.55014)/2191887.38519*100)</f>
        <v>-0.0025884783307460026</v>
      </c>
    </row>
    <row r="33" spans="1:7" s="11" customFormat="1" ht="15.75">
      <c r="A33" s="22" t="s">
        <v>276</v>
      </c>
      <c r="B33" s="69">
        <f>IF(18.25726="","-",18.25726)</f>
        <v>18.25726</v>
      </c>
      <c r="C33" s="69">
        <f>IF(OR(13.8022="",18.25726=""),"-",18.25726/13.8022*100)</f>
        <v>132.2778977264494</v>
      </c>
      <c r="D33" s="69">
        <f>IF(13.8022="","-",13.8022/2191887.38519*100)</f>
        <v>0.0006296947595600847</v>
      </c>
      <c r="E33" s="69">
        <f>IF(18.25726="","-",18.25726/2487873.87382*100)</f>
        <v>0.0007338499026064747</v>
      </c>
      <c r="F33" s="69" t="str">
        <f>IF(OR(1851128.77138="",""="",13.8022=""),"-",(13.8022-"")/1851128.77138*100)</f>
        <v>-</v>
      </c>
      <c r="G33" s="69">
        <f>IF(OR(2191887.38519="",18.25726="",13.8022=""),"-",(18.25726-13.8022)/2191887.38519*100)</f>
        <v>0.00020325223047961568</v>
      </c>
    </row>
    <row r="34" spans="1:7" s="11" customFormat="1" ht="25.5">
      <c r="A34" s="22" t="s">
        <v>277</v>
      </c>
      <c r="B34" s="69">
        <f>IF(16571.72434="","-",16571.72434)</f>
        <v>16571.72434</v>
      </c>
      <c r="C34" s="69">
        <f>IF(OR(16643.21771="",16571.72434=""),"-",16571.72434/16643.21771*100)</f>
        <v>99.57043540951193</v>
      </c>
      <c r="D34" s="69">
        <f>IF(16643.21771="","-",16643.21771/2191887.38519*100)</f>
        <v>0.759309890756879</v>
      </c>
      <c r="E34" s="69">
        <f>IF(16571.72434="","-",16571.72434/2487873.87382*100)</f>
        <v>0.6660998579704922</v>
      </c>
      <c r="F34" s="69">
        <f>IF(OR(1851128.77138="",5323.3646="",16643.21771=""),"-",(16643.21771-5323.3646)/1851128.77138*100)</f>
        <v>0.6115108405754587</v>
      </c>
      <c r="G34" s="69">
        <f>IF(OR(2191887.38519="",16571.72434="",16643.21771=""),"-",(16571.72434-16643.21771)/2191887.38519*100)</f>
        <v>-0.0032617264227652308</v>
      </c>
    </row>
    <row r="35" spans="1:7" s="11" customFormat="1" ht="15.75">
      <c r="A35" s="22" t="s">
        <v>46</v>
      </c>
      <c r="B35" s="69">
        <f>IF(7.45064="","-",7.45064)</f>
        <v>7.45064</v>
      </c>
      <c r="C35" s="69">
        <f>IF(OR(6.53023="",7.45064=""),"-",7.45064/6.53023*100)</f>
        <v>114.09460309973767</v>
      </c>
      <c r="D35" s="69">
        <f>IF(6.53023="","-",6.53023/2191887.38519*100)</f>
        <v>0.0002979272586777509</v>
      </c>
      <c r="E35" s="69">
        <f>IF(7.45064="","-",7.45064/2487873.87382*100)</f>
        <v>0.0002994782041969006</v>
      </c>
      <c r="F35" s="69">
        <f>IF(OR(1851128.77138="",6.07624="",6.53023=""),"-",(6.53023-6.07624)/1851128.77138*100)</f>
        <v>2.4525036130336553E-05</v>
      </c>
      <c r="G35" s="69">
        <f>IF(OR(2191887.38519="",7.45064="",6.53023=""),"-",(7.45064-6.53023)/2191887.38519*100)</f>
        <v>4.199166463655775E-05</v>
      </c>
    </row>
    <row r="36" spans="1:7" s="11" customFormat="1" ht="25.5">
      <c r="A36" s="44" t="s">
        <v>279</v>
      </c>
      <c r="B36" s="68">
        <f>IF(63184.3760699999="","-",63184.3760699999)</f>
        <v>63184.3760699999</v>
      </c>
      <c r="C36" s="68">
        <f>IF(43924.6032="","-",63184.3760699999/43924.6032*100)</f>
        <v>143.8473462863289</v>
      </c>
      <c r="D36" s="68">
        <f>IF(43924.6032="","-",43924.6032/2191887.38519*100)</f>
        <v>2.00396258935504</v>
      </c>
      <c r="E36" s="68">
        <f>IF(63184.3760699999="","-",63184.3760699999/2487873.87382*100)</f>
        <v>2.5396937013122614</v>
      </c>
      <c r="F36" s="68">
        <f>IF(1851128.77138="","-",(43924.6032-44374.40646)/1851128.77138*100)</f>
        <v>-0.02429886385832987</v>
      </c>
      <c r="G36" s="68">
        <f>IF(2191887.38519="","-",(63184.3760699999-43924.6032)/2191887.38519*100)</f>
        <v>0.8786844160029873</v>
      </c>
    </row>
    <row r="37" spans="1:7" s="11" customFormat="1" ht="25.5">
      <c r="A37" s="22" t="s">
        <v>281</v>
      </c>
      <c r="B37" s="69">
        <f>IF(63010.61314="","-",63010.61314)</f>
        <v>63010.61314</v>
      </c>
      <c r="C37" s="69">
        <f>IF(OR(43802.77186="",63010.61314=""),"-",63010.61314/43802.77186*100)</f>
        <v>143.85074383281278</v>
      </c>
      <c r="D37" s="69">
        <f>IF(43802.77186="","-",43802.77186/2191887.38519*100)</f>
        <v>1.9984043047085212</v>
      </c>
      <c r="E37" s="69">
        <f>IF(63010.61314="","-",63010.61314/2487873.87382*100)</f>
        <v>2.5327093066518884</v>
      </c>
      <c r="F37" s="69">
        <f>IF(OR(1851128.77138="",44194.86182="",43802.77186=""),"-",(43802.77186-44194.86182)/1851128.77138*100)</f>
        <v>-0.021181128296531092</v>
      </c>
      <c r="G37" s="69">
        <f>IF(OR(2191887.38519="",63010.61314="",43802.77186=""),"-",(63010.61314-43802.77186)/2191887.38519*100)</f>
        <v>0.8763151524016368</v>
      </c>
    </row>
    <row r="38" spans="1:7" s="11" customFormat="1" ht="63.75">
      <c r="A38" s="22" t="s">
        <v>282</v>
      </c>
      <c r="B38" s="69">
        <f>IF(173.74538="","-",173.74538)</f>
        <v>173.74538</v>
      </c>
      <c r="C38" s="69">
        <f>IF(OR(121.83134="",173.74538=""),"-",173.74538/121.83134*100)</f>
        <v>142.61140031784927</v>
      </c>
      <c r="D38" s="69">
        <f>IF(121.83134="","-",121.83134/2191887.38519*100)</f>
        <v>0.005558284646518884</v>
      </c>
      <c r="E38" s="69">
        <f>IF(173.74538="","-",173.74538/2487873.87382*100)</f>
        <v>0.006983689238764467</v>
      </c>
      <c r="F38" s="69">
        <f>IF(OR(1851128.77138="",153.90667="",121.83134=""),"-",(121.83134-153.90667)/1851128.77138*100)</f>
        <v>-0.0017327443933621172</v>
      </c>
      <c r="G38" s="69">
        <f>IF(OR(2191887.38519="",173.74538="",121.83134=""),"-",(173.74538-121.83134)/2191887.38519*100)</f>
        <v>0.002368462921533715</v>
      </c>
    </row>
    <row r="39" spans="1:7" s="11" customFormat="1" ht="25.5">
      <c r="A39" s="44" t="s">
        <v>283</v>
      </c>
      <c r="B39" s="68">
        <f>IF(118471.08143="","-",118471.08143)</f>
        <v>118471.08143</v>
      </c>
      <c r="C39" s="68">
        <f>IF(119464.29129="","-",118471.08143/119464.29129*100)</f>
        <v>99.16861360890763</v>
      </c>
      <c r="D39" s="68">
        <f>IF(119464.29129="","-",119464.29129/2191887.38519*100)</f>
        <v>5.450293299609663</v>
      </c>
      <c r="E39" s="68">
        <f>IF(118471.08143="","-",118471.08143/2487873.87382*100)</f>
        <v>4.7619408152750875</v>
      </c>
      <c r="F39" s="68">
        <f>IF(1851128.77138="","-",(119464.29129-103188.4153)/1851128.77138*100)</f>
        <v>0.8792406147880506</v>
      </c>
      <c r="G39" s="68">
        <f>IF(2191887.38519="","-",(118471.08143-119464.29129)/2191887.38519*100)</f>
        <v>-0.04531299676757314</v>
      </c>
    </row>
    <row r="40" spans="1:7" s="11" customFormat="1" ht="15.75">
      <c r="A40" s="22" t="s">
        <v>51</v>
      </c>
      <c r="B40" s="69">
        <f>IF(23821.72393="","-",23821.72393)</f>
        <v>23821.72393</v>
      </c>
      <c r="C40" s="69">
        <f>IF(OR(21170.53227="",23821.72393=""),"-",23821.72393/21170.53227*100)</f>
        <v>112.52302788700742</v>
      </c>
      <c r="D40" s="69">
        <f>IF(21170.53227="","-",21170.53227/2191887.38519*100)</f>
        <v>0.9658585752645714</v>
      </c>
      <c r="E40" s="69">
        <f>IF(23821.72393="","-",23821.72393/2487873.87382*100)</f>
        <v>0.9575133281745908</v>
      </c>
      <c r="F40" s="69">
        <f>IF(OR(1851128.77138="",15590.35452="",21170.53227=""),"-",(21170.53227-15590.35452)/1851128.77138*100)</f>
        <v>0.30144730265523484</v>
      </c>
      <c r="G40" s="69">
        <f>IF(OR(2191887.38519="",23821.72393="",21170.53227=""),"-",(23821.72393-21170.53227)/2191887.38519*100)</f>
        <v>0.12095473872943462</v>
      </c>
    </row>
    <row r="41" spans="1:7" s="11" customFormat="1" ht="15.75">
      <c r="A41" s="22" t="s">
        <v>52</v>
      </c>
      <c r="B41" s="69">
        <f>IF(1013.60972="","-",1013.60972)</f>
        <v>1013.60972</v>
      </c>
      <c r="C41" s="69">
        <f>IF(OR(1071.69393="",1013.60972=""),"-",1013.60972/1071.69393*100)</f>
        <v>94.58014939022749</v>
      </c>
      <c r="D41" s="69">
        <f>IF(1071.69393="","-",1071.69393/2191887.38519*100)</f>
        <v>0.04889365837137213</v>
      </c>
      <c r="E41" s="69">
        <f>IF(1013.60972="","-",1013.60972/2487873.87382*100)</f>
        <v>0.040742005881658924</v>
      </c>
      <c r="F41" s="69">
        <f>IF(OR(1851128.77138="",839.6269="",1071.69393=""),"-",(1071.69393-839.6269)/1851128.77138*100)</f>
        <v>0.01253651467082952</v>
      </c>
      <c r="G41" s="69">
        <f>IF(OR(2191887.38519="",1013.60972="",1071.69393=""),"-",(1013.60972-1071.69393)/2191887.38519*100)</f>
        <v>-0.0026499632413808953</v>
      </c>
    </row>
    <row r="42" spans="1:7" s="11" customFormat="1" ht="15.75">
      <c r="A42" s="22" t="s">
        <v>284</v>
      </c>
      <c r="B42" s="69">
        <f>IF(2700.8668="","-",2700.8668)</f>
        <v>2700.8668</v>
      </c>
      <c r="C42" s="69" t="s">
        <v>318</v>
      </c>
      <c r="D42" s="69">
        <f>IF(1095.10871="","-",1095.10871/2191887.38519*100)</f>
        <v>0.04996190577122522</v>
      </c>
      <c r="E42" s="69">
        <f>IF(2700.8668="","-",2700.8668/2487873.87382*100)</f>
        <v>0.10856124293202052</v>
      </c>
      <c r="F42" s="69">
        <f>IF(OR(1851128.77138="",1340.32981="",1095.10871=""),"-",(1095.10871-1340.32981)/1851128.77138*100)</f>
        <v>-0.013247111913083703</v>
      </c>
      <c r="G42" s="69">
        <f>IF(OR(2191887.38519="",2700.8668="",1095.10871=""),"-",(2700.8668-1095.10871)/2191887.38519*100)</f>
        <v>0.07325915103347372</v>
      </c>
    </row>
    <row r="43" spans="1:7" s="11" customFormat="1" ht="15.75">
      <c r="A43" s="22" t="s">
        <v>285</v>
      </c>
      <c r="B43" s="69">
        <f>IF(64424.65619="","-",64424.65619)</f>
        <v>64424.65619</v>
      </c>
      <c r="C43" s="69">
        <f>IF(OR(58159.12429="",64424.65619=""),"-",64424.65619/58159.12429*100)</f>
        <v>110.77308500856728</v>
      </c>
      <c r="D43" s="69">
        <f>IF(58159.12429="","-",58159.12429/2191887.38519*100)</f>
        <v>2.6533810396905304</v>
      </c>
      <c r="E43" s="69">
        <f>IF(64424.65619="","-",64424.65619/2487873.87382*100)</f>
        <v>2.589546715689382</v>
      </c>
      <c r="F43" s="69">
        <f>IF(OR(1851128.77138="",43521.51673="",58159.12429=""),"-",(58159.12429-43521.51673)/1851128.77138*100)</f>
        <v>0.7907395631416712</v>
      </c>
      <c r="G43" s="69">
        <f>IF(OR(2191887.38519="",64424.65619="",58159.12429=""),"-",(64424.65619-58159.12429)/2191887.38519*100)</f>
        <v>0.2858509950070672</v>
      </c>
    </row>
    <row r="44" spans="1:7" s="11" customFormat="1" ht="38.25">
      <c r="A44" s="22" t="s">
        <v>286</v>
      </c>
      <c r="B44" s="69">
        <f>IF(20171.71918="","-",20171.71918)</f>
        <v>20171.71918</v>
      </c>
      <c r="C44" s="69">
        <f>IF(OR(26891.21844="",20171.71918=""),"-",20171.71918/26891.21844*100)</f>
        <v>75.01229155907299</v>
      </c>
      <c r="D44" s="69">
        <f>IF(26891.21844="","-",26891.21844/2191887.38519*100)</f>
        <v>1.2268521923934967</v>
      </c>
      <c r="E44" s="69">
        <f>IF(20171.71918="","-",20171.71918/2487873.87382*100)</f>
        <v>0.8108015198144825</v>
      </c>
      <c r="F44" s="69">
        <f>IF(OR(1851128.77138="",33191.5735="",26891.21844=""),"-",(26891.21844-33191.5735)/1851128.77138*100)</f>
        <v>-0.34035206828443054</v>
      </c>
      <c r="G44" s="69">
        <f>IF(OR(2191887.38519="",20171.71918="",26891.21844=""),"-",(20171.71918-26891.21844)/2191887.38519*100)</f>
        <v>-0.3065622488364078</v>
      </c>
    </row>
    <row r="45" spans="1:7" s="11" customFormat="1" ht="15.75">
      <c r="A45" s="22" t="s">
        <v>287</v>
      </c>
      <c r="B45" s="69">
        <f>IF(36.52661="","-",36.52661)</f>
        <v>36.52661</v>
      </c>
      <c r="C45" s="69">
        <f>IF(OR(54.51003="",36.52661=""),"-",36.52661/54.51003*100)</f>
        <v>67.00897064265054</v>
      </c>
      <c r="D45" s="69">
        <f>IF(54.51003="","-",54.51003/2191887.38519*100)</f>
        <v>0.002486899206971571</v>
      </c>
      <c r="E45" s="69">
        <f>IF(36.52661="","-",36.52661/2487873.87382*100)</f>
        <v>0.0014681857623238474</v>
      </c>
      <c r="F45" s="69">
        <f>IF(OR(1851128.77138="",21.44633="",54.51003=""),"-",(54.51003-21.44633)/1851128.77138*100)</f>
        <v>0.0017861372213101795</v>
      </c>
      <c r="G45" s="69">
        <f>IF(OR(2191887.38519="",36.52661="",54.51003=""),"-",(36.52661-54.51003)/2191887.38519*100)</f>
        <v>-0.0008204536474596821</v>
      </c>
    </row>
    <row r="46" spans="1:7" s="11" customFormat="1" ht="15.75">
      <c r="A46" s="22" t="s">
        <v>56</v>
      </c>
      <c r="B46" s="69">
        <f>IF(2086.66137="","-",2086.66137)</f>
        <v>2086.66137</v>
      </c>
      <c r="C46" s="69">
        <f>IF(OR(3275.82415="",2086.66137=""),"-",2086.66137/3275.82415*100)</f>
        <v>63.69882125693468</v>
      </c>
      <c r="D46" s="69">
        <f>IF(3275.82415="","-",3275.82415/2191887.38519*100)</f>
        <v>0.14945221055305452</v>
      </c>
      <c r="E46" s="69">
        <f>IF(2086.66137="","-",2086.66137/2487873.87382*100)</f>
        <v>0.08387327798077</v>
      </c>
      <c r="F46" s="69">
        <f>IF(OR(1851128.77138="",2938.4599="",3275.82415=""),"-",(3275.82415-2938.4599)/1851128.77138*100)</f>
        <v>0.01822478561275335</v>
      </c>
      <c r="G46" s="69">
        <f>IF(OR(2191887.38519="",2086.66137="",3275.82415=""),"-",(2086.66137-3275.82415)/2191887.38519*100)</f>
        <v>-0.05425291408832666</v>
      </c>
    </row>
    <row r="47" spans="1:7" s="11" customFormat="1" ht="15.75">
      <c r="A47" s="22" t="s">
        <v>57</v>
      </c>
      <c r="B47" s="69">
        <f>IF(1798.08825="","-",1798.08825)</f>
        <v>1798.08825</v>
      </c>
      <c r="C47" s="69">
        <f>IF(OR(3156.73742="",1798.08825=""),"-",1798.08825/3156.73742*100)</f>
        <v>56.96033628289552</v>
      </c>
      <c r="D47" s="69">
        <f>IF(3156.73742="","-",3156.73742/2191887.38519*100)</f>
        <v>0.14401914264981108</v>
      </c>
      <c r="E47" s="69">
        <f>IF(1798.08825="","-",1798.08825/2487873.87382*100)</f>
        <v>0.07227409190318518</v>
      </c>
      <c r="F47" s="69">
        <f>IF(OR(1851128.77138="",2846.16163="",3156.73742=""),"-",(3156.73742-2846.16163)/1851128.77138*100)</f>
        <v>0.016777643716729032</v>
      </c>
      <c r="G47" s="69">
        <f>IF(OR(2191887.38519="",1798.08825="",3156.73742=""),"-",(1798.08825-3156.73742)/2191887.38519*100)</f>
        <v>-0.06198535468473568</v>
      </c>
    </row>
    <row r="48" spans="1:7" s="11" customFormat="1" ht="15.75">
      <c r="A48" s="22" t="s">
        <v>288</v>
      </c>
      <c r="B48" s="69">
        <f>IF(2417.22938="","-",2417.22938)</f>
        <v>2417.22938</v>
      </c>
      <c r="C48" s="69">
        <f>IF(OR(4589.54205="",2417.22938=""),"-",2417.22938/4589.54205*100)</f>
        <v>52.668204227478434</v>
      </c>
      <c r="D48" s="69">
        <f>IF(4589.54205="","-",4589.54205/2191887.38519*100)</f>
        <v>0.2093876757086297</v>
      </c>
      <c r="E48" s="69">
        <f>IF(2417.22938="","-",2417.22938/2487873.87382*100)</f>
        <v>0.09716044713667382</v>
      </c>
      <c r="F48" s="69">
        <f>IF(OR(1851128.77138="",2898.94598="",4589.54205=""),"-",(4589.54205-2898.94598)/1851128.77138*100)</f>
        <v>0.09132784796703666</v>
      </c>
      <c r="G48" s="69">
        <f>IF(OR(2191887.38519="",2417.22938="",4589.54205=""),"-",(2417.22938-4589.54205)/2191887.38519*100)</f>
        <v>-0.09910694703923836</v>
      </c>
    </row>
    <row r="49" spans="1:7" s="11" customFormat="1" ht="25.5">
      <c r="A49" s="44" t="s">
        <v>222</v>
      </c>
      <c r="B49" s="68">
        <f>IF(168374.05042="","-",168374.05042)</f>
        <v>168374.05042</v>
      </c>
      <c r="C49" s="68">
        <f>IF(156782.75674="","-",168374.05042/156782.75674*100)</f>
        <v>107.39321971434804</v>
      </c>
      <c r="D49" s="68">
        <f>IF(156782.75674="","-",156782.75674/2191887.38519*100)</f>
        <v>7.152865507568473</v>
      </c>
      <c r="E49" s="68">
        <f>IF(168374.05042="","-",168374.05042/2487873.87382*100)</f>
        <v>6.767788841380069</v>
      </c>
      <c r="F49" s="68">
        <f>IF(1851128.77138="","-",(156782.75674-160036.79927)/1851128.77138*100)</f>
        <v>-0.1757869349939452</v>
      </c>
      <c r="G49" s="68">
        <f>IF(2191887.38519="","-",(168374.05042-156782.75674)/2191887.38519*100)</f>
        <v>0.528827062846353</v>
      </c>
    </row>
    <row r="50" spans="1:7" s="11" customFormat="1" ht="15.75">
      <c r="A50" s="22" t="s">
        <v>289</v>
      </c>
      <c r="B50" s="69">
        <f>IF(1309.80634="","-",1309.80634)</f>
        <v>1309.80634</v>
      </c>
      <c r="C50" s="69">
        <f>IF(OR(2202.48558="",1309.80634=""),"-",1309.80634/2202.48558*100)</f>
        <v>59.46946267861605</v>
      </c>
      <c r="D50" s="69">
        <f>IF(2202.48558="","-",2202.48558/2191887.38519*100)</f>
        <v>0.10048351912975134</v>
      </c>
      <c r="E50" s="69">
        <f>IF(1309.80634="","-",1309.80634/2487873.87382*100)</f>
        <v>0.052647618264862486</v>
      </c>
      <c r="F50" s="69">
        <f>IF(OR(1851128.77138="",1767.95303="",2202.48558=""),"-",(2202.48558-1767.95303)/1851128.77138*100)</f>
        <v>0.023473923409232086</v>
      </c>
      <c r="G50" s="69">
        <f>IF(OR(2191887.38519="",1309.80634="",2202.48558=""),"-",(1309.80634-2202.48558)/2191887.38519*100)</f>
        <v>-0.04072651022272386</v>
      </c>
    </row>
    <row r="51" spans="1:7" s="11" customFormat="1" ht="15.75">
      <c r="A51" s="22" t="s">
        <v>60</v>
      </c>
      <c r="B51" s="69">
        <f>IF(1268.70077="","-",1268.70077)</f>
        <v>1268.70077</v>
      </c>
      <c r="C51" s="69">
        <f>IF(OR(2025.76551="",1268.70077=""),"-",1268.70077/2025.76551*100)</f>
        <v>62.628214555790315</v>
      </c>
      <c r="D51" s="69">
        <f>IF(2025.76551="","-",2025.76551/2191887.38519*100)</f>
        <v>0.09242105792877675</v>
      </c>
      <c r="E51" s="69">
        <f>IF(1268.70077="","-",1268.70077/2487873.87382*100)</f>
        <v>0.05099538137164391</v>
      </c>
      <c r="F51" s="69">
        <f>IF(OR(1851128.77138="",11681.28238="",2025.76551=""),"-",(2025.76551-11681.28238)/1851128.77138*100)</f>
        <v>-0.521601577333915</v>
      </c>
      <c r="G51" s="69">
        <f>IF(OR(2191887.38519="",1268.70077="",2025.76551=""),"-",(1268.70077-2025.76551)/2191887.38519*100)</f>
        <v>-0.034539399474411196</v>
      </c>
    </row>
    <row r="52" spans="1:7" s="11" customFormat="1" ht="15.75">
      <c r="A52" s="22" t="s">
        <v>61</v>
      </c>
      <c r="B52" s="69">
        <f>IF(15696.98171="","-",15696.98171)</f>
        <v>15696.98171</v>
      </c>
      <c r="C52" s="69" t="s">
        <v>317</v>
      </c>
      <c r="D52" s="69">
        <f>IF(9075.89054="","-",9075.89054/2191887.38519*100)</f>
        <v>0.41406737414172734</v>
      </c>
      <c r="E52" s="69">
        <f>IF(15696.98171="","-",15696.98171/2487873.87382*100)</f>
        <v>0.6309396097278078</v>
      </c>
      <c r="F52" s="69">
        <f>IF(OR(1851128.77138="",7330.50586="",9075.89054=""),"-",(9075.89054-7330.50586)/1851128.77138*100)</f>
        <v>0.09428758857758077</v>
      </c>
      <c r="G52" s="69">
        <f>IF(OR(2191887.38519="",15696.98171="",9075.89054=""),"-",(15696.98171-9075.89054)/2191887.38519*100)</f>
        <v>0.3020725980147042</v>
      </c>
    </row>
    <row r="53" spans="1:7" s="11" customFormat="1" ht="25.5">
      <c r="A53" s="22" t="s">
        <v>290</v>
      </c>
      <c r="B53" s="69">
        <f>IF(8862.68794="","-",8862.68794)</f>
        <v>8862.68794</v>
      </c>
      <c r="C53" s="69">
        <f>IF(OR(6728.42943="",8862.68794=""),"-",8862.68794/6728.42943*100)</f>
        <v>131.720010326392</v>
      </c>
      <c r="D53" s="69">
        <f>IF(6728.42943="","-",6728.42943/2191887.38519*100)</f>
        <v>0.306969668034143</v>
      </c>
      <c r="E53" s="69">
        <f>IF(8862.68794="","-",8862.68794/2487873.87382*100)</f>
        <v>0.3562354198604051</v>
      </c>
      <c r="F53" s="69">
        <f>IF(OR(1851128.77138="",5910.88584="",6728.42943=""),"-",(6728.42943-5910.88584)/1851128.77138*100)</f>
        <v>0.044164598521718654</v>
      </c>
      <c r="G53" s="69">
        <f>IF(OR(2191887.38519="",8862.68794="",6728.42943=""),"-",(8862.68794-6728.42943)/2191887.38519*100)</f>
        <v>0.09737081039932147</v>
      </c>
    </row>
    <row r="54" spans="1:7" s="11" customFormat="1" ht="25.5">
      <c r="A54" s="22" t="s">
        <v>291</v>
      </c>
      <c r="B54" s="69">
        <f>IF(66549.61408="","-",66549.61408)</f>
        <v>66549.61408</v>
      </c>
      <c r="C54" s="69">
        <f>IF(OR(74807.26763="",66549.61408=""),"-",66549.61408/74807.26763*100)</f>
        <v>88.96142873331142</v>
      </c>
      <c r="D54" s="69">
        <f>IF(74807.26763="","-",74807.26763/2191887.38519*100)</f>
        <v>3.4129156513903416</v>
      </c>
      <c r="E54" s="69">
        <f>IF(66549.61408="","-",66549.61408/2487873.87382*100)</f>
        <v>2.6749593209006437</v>
      </c>
      <c r="F54" s="69">
        <f>IF(OR(1851128.77138="",69112.29718="",74807.26763=""),"-",(74807.26763-69112.29718)/1851128.77138*100)</f>
        <v>0.3076485298078133</v>
      </c>
      <c r="G54" s="69">
        <f>IF(OR(2191887.38519="",66549.61408="",74807.26763=""),"-",(66549.61408-74807.26763)/2191887.38519*100)</f>
        <v>-0.3767371264506914</v>
      </c>
    </row>
    <row r="55" spans="1:7" s="11" customFormat="1" ht="15.75">
      <c r="A55" s="22" t="s">
        <v>62</v>
      </c>
      <c r="B55" s="69">
        <f>IF(46777.38107="","-",46777.38107)</f>
        <v>46777.38107</v>
      </c>
      <c r="C55" s="69" t="s">
        <v>236</v>
      </c>
      <c r="D55" s="69">
        <f>IF(30680.02655="","-",30680.02655/2191887.38519*100)</f>
        <v>1.399708158242836</v>
      </c>
      <c r="E55" s="69">
        <f>IF(46777.38107="","-",46777.38107/2487873.87382*100)</f>
        <v>1.8802151331801957</v>
      </c>
      <c r="F55" s="69">
        <f>IF(OR(1851128.77138="",33117.52388="",30680.02655=""),"-",(30680.02655-33117.52388)/1851128.77138*100)</f>
        <v>-0.13167627059153045</v>
      </c>
      <c r="G55" s="69">
        <f>IF(OR(2191887.38519="",46777.38107="",30680.02655=""),"-",(46777.38107-30680.02655)/2191887.38519*100)</f>
        <v>0.7344060935231229</v>
      </c>
    </row>
    <row r="56" spans="1:7" s="11" customFormat="1" ht="15.75">
      <c r="A56" s="22" t="s">
        <v>292</v>
      </c>
      <c r="B56" s="69">
        <f>IF(3615.68751="","-",3615.68751)</f>
        <v>3615.68751</v>
      </c>
      <c r="C56" s="69">
        <f>IF(OR(2890.6091="",3615.68751=""),"-",3615.68751/2890.6091*100)</f>
        <v>125.08393161842604</v>
      </c>
      <c r="D56" s="69">
        <f>IF(2890.6091="","-",2890.6091/2191887.38519*100)</f>
        <v>0.13187762836407915</v>
      </c>
      <c r="E56" s="69">
        <f>IF(3615.68751="","-",3615.68751/2487873.87382*100)</f>
        <v>0.14533242814469136</v>
      </c>
      <c r="F56" s="69">
        <f>IF(OR(1851128.77138="",3125.42658="",2890.6091=""),"-",(2890.6091-3125.42658)/1851128.77138*100)</f>
        <v>-0.01268509698679392</v>
      </c>
      <c r="G56" s="69">
        <f>IF(OR(2191887.38519="",3615.68751="",2890.6091=""),"-",(3615.68751-2890.6091)/2191887.38519*100)</f>
        <v>0.033080094118847624</v>
      </c>
    </row>
    <row r="57" spans="1:7" ht="15.75">
      <c r="A57" s="22" t="s">
        <v>63</v>
      </c>
      <c r="B57" s="69">
        <f>IF(2050.04294="","-",2050.04294)</f>
        <v>2050.04294</v>
      </c>
      <c r="C57" s="69">
        <f>IF(OR(3252.1219="",2050.04294=""),"-",2050.04294/3252.1219*100)</f>
        <v>63.037087877917486</v>
      </c>
      <c r="D57" s="69">
        <f>IF(3252.1219="","-",3252.1219/2191887.38519*100)</f>
        <v>0.14837084797210492</v>
      </c>
      <c r="E57" s="69">
        <f>IF(2050.04294="","-",2050.04294/2487873.87382*100)</f>
        <v>0.08240140151688102</v>
      </c>
      <c r="F57" s="69">
        <f>IF(OR(1851128.77138="",2003.98394="",3252.1219=""),"-",(3252.1219-2003.98394)/1851128.77138*100)</f>
        <v>0.0674257771418854</v>
      </c>
      <c r="G57" s="69">
        <f>IF(OR(2191887.38519="",2050.04294="",3252.1219=""),"-",(2050.04294-3252.1219)/2191887.38519*100)</f>
        <v>-0.05484218615071779</v>
      </c>
    </row>
    <row r="58" spans="1:7" ht="15.75">
      <c r="A58" s="22" t="s">
        <v>64</v>
      </c>
      <c r="B58" s="69">
        <f>IF(22243.14806="","-",22243.14806)</f>
        <v>22243.14806</v>
      </c>
      <c r="C58" s="69">
        <f>IF(OR(25120.1605="",22243.14806=""),"-",22243.14806/25120.1605*100)</f>
        <v>88.54699817702199</v>
      </c>
      <c r="D58" s="69">
        <f>IF(25120.1605="","-",25120.1605/2191887.38519*100)</f>
        <v>1.146051602364713</v>
      </c>
      <c r="E58" s="69">
        <f>IF(22243.14806="","-",22243.14806/2487873.87382*100)</f>
        <v>0.894062528412938</v>
      </c>
      <c r="F58" s="69">
        <f>IF(OR(1851128.77138="",25986.94058="",25120.1605=""),"-",(25120.1605-25986.94058)/1851128.77138*100)</f>
        <v>-0.04682440753993683</v>
      </c>
      <c r="G58" s="69">
        <f>IF(OR(2191887.38519="",22243.14806="",25120.1605=""),"-",(22243.14806-25120.1605)/2191887.38519*100)</f>
        <v>-0.1312573109110993</v>
      </c>
    </row>
    <row r="59" spans="1:7" ht="25.5">
      <c r="A59" s="44" t="s">
        <v>293</v>
      </c>
      <c r="B59" s="68">
        <f>IF(539849.69423="","-",539849.69423)</f>
        <v>539849.69423</v>
      </c>
      <c r="C59" s="68">
        <f>IF(397893.57305="","-",539849.69423/397893.57305*100)</f>
        <v>135.6769072925341</v>
      </c>
      <c r="D59" s="68">
        <f>IF(397893.57305="","-",397893.57305/2191887.38519*100)</f>
        <v>18.153011680183074</v>
      </c>
      <c r="E59" s="68">
        <f>IF(539849.69423="","-",539849.69423/2487873.87382*100)</f>
        <v>21.699238852534318</v>
      </c>
      <c r="F59" s="68">
        <f>IF(1851128.77138="","-",(397893.57305-299937.89682)/1851128.77138*100)</f>
        <v>5.291672721232402</v>
      </c>
      <c r="G59" s="68">
        <f>IF(2191887.38519="","-",(539849.69423-397893.57305)/2191887.38519*100)</f>
        <v>6.476433147941804</v>
      </c>
    </row>
    <row r="60" spans="1:7" ht="25.5">
      <c r="A60" s="22" t="s">
        <v>294</v>
      </c>
      <c r="B60" s="69">
        <f>IF(2825.24086="","-",2825.24086)</f>
        <v>2825.24086</v>
      </c>
      <c r="C60" s="69">
        <f>IF(OR(2965.17733="",2825.24086=""),"-",2825.24086/2965.17733*100)</f>
        <v>95.28067112262725</v>
      </c>
      <c r="D60" s="69">
        <f>IF(2965.17733="","-",2965.17733/2191887.38519*100)</f>
        <v>0.13527963845382363</v>
      </c>
      <c r="E60" s="69">
        <f>IF(2825.24086="","-",2825.24086/2487873.87382*100)</f>
        <v>0.11356045375652388</v>
      </c>
      <c r="F60" s="69">
        <f>IF(OR(1851128.77138="",2271.64124="",2965.17733=""),"-",(2965.17733-2271.64124)/1851128.77138*100)</f>
        <v>0.03746557779894345</v>
      </c>
      <c r="G60" s="69">
        <f>IF(OR(2191887.38519="",2825.24086="",2965.17733=""),"-",(2825.24086-2965.17733)/2191887.38519*100)</f>
        <v>-0.00638429104275674</v>
      </c>
    </row>
    <row r="61" spans="1:7" s="1" customFormat="1" ht="25.5">
      <c r="A61" s="22" t="s">
        <v>295</v>
      </c>
      <c r="B61" s="69">
        <f>IF(12350.67161="","-",12350.67161)</f>
        <v>12350.67161</v>
      </c>
      <c r="C61" s="69">
        <f>IF(OR(9539.20034="",12350.67161=""),"-",12350.67161/9539.20034*100)</f>
        <v>129.47281920698188</v>
      </c>
      <c r="D61" s="69">
        <f>IF(9539.20034="","-",9539.20034/2191887.38519*100)</f>
        <v>0.4352048560730738</v>
      </c>
      <c r="E61" s="69">
        <f>IF(12350.67161="","-",12350.67161/2487873.87382*100)</f>
        <v>0.4964347967944287</v>
      </c>
      <c r="F61" s="69">
        <f>IF(OR(1851128.77138="",9808.30877="",9539.20034=""),"-",(9539.20034-9808.30877)/1851128.77138*100)</f>
        <v>-0.014537531594810787</v>
      </c>
      <c r="G61" s="69">
        <f>IF(OR(2191887.38519="",12350.67161="",9539.20034=""),"-",(12350.67161-9539.20034)/2191887.38519*100)</f>
        <v>0.1282671404104227</v>
      </c>
    </row>
    <row r="62" spans="1:7" s="1" customFormat="1" ht="25.5">
      <c r="A62" s="22" t="s">
        <v>296</v>
      </c>
      <c r="B62" s="69">
        <f>IF(2122.58906="","-",2122.58906)</f>
        <v>2122.58906</v>
      </c>
      <c r="C62" s="69">
        <f>IF(OR(1468.2329="",2122.58906=""),"-",2122.58906/1468.2329*100)</f>
        <v>144.56759959540477</v>
      </c>
      <c r="D62" s="69">
        <f>IF(1468.2329="","-",1468.2329/2191887.38519*100)</f>
        <v>0.06698486929212054</v>
      </c>
      <c r="E62" s="69">
        <f>IF(2122.58906="","-",2122.58906/2487873.87382*100)</f>
        <v>0.0853173901754463</v>
      </c>
      <c r="F62" s="69">
        <f>IF(OR(1851128.77138="",1895.5357="",1468.2329=""),"-",(1468.2329-1895.5357)/1851128.77138*100)</f>
        <v>-0.023083364410216016</v>
      </c>
      <c r="G62" s="69">
        <f>IF(OR(2191887.38519="",2122.58906="",1468.2329=""),"-",(2122.58906-1468.2329)/2191887.38519*100)</f>
        <v>0.029853548335617527</v>
      </c>
    </row>
    <row r="63" spans="1:7" ht="38.25">
      <c r="A63" s="22" t="s">
        <v>297</v>
      </c>
      <c r="B63" s="69">
        <f>IF(19002.15375="","-",19002.15375)</f>
        <v>19002.15375</v>
      </c>
      <c r="C63" s="69">
        <f>IF(OR(26922.69959="",19002.15375=""),"-",19002.15375/26922.69959*100)</f>
        <v>70.58041741496845</v>
      </c>
      <c r="D63" s="69">
        <f>IF(26922.69959="","-",26922.69959/2191887.38519*100)</f>
        <v>1.2282884500321285</v>
      </c>
      <c r="E63" s="69">
        <f>IF(19002.15375="","-",19002.15375/2487873.87382*100)</f>
        <v>0.7637908798335983</v>
      </c>
      <c r="F63" s="69">
        <f>IF(OR(1851128.77138="",26357.56336="",26922.69959=""),"-",(26922.69959-26357.56336)/1851128.77138*100)</f>
        <v>0.03052927698696488</v>
      </c>
      <c r="G63" s="69">
        <f>IF(OR(2191887.38519="",19002.15375="",26922.69959=""),"-",(19002.15375-26922.69959)/2191887.38519*100)</f>
        <v>-0.361357334939606</v>
      </c>
    </row>
    <row r="64" spans="1:7" ht="25.5">
      <c r="A64" s="22" t="s">
        <v>298</v>
      </c>
      <c r="B64" s="69">
        <f>IF(1081.50733="","-",1081.50733)</f>
        <v>1081.50733</v>
      </c>
      <c r="C64" s="69">
        <f>IF(OR(892.36161="",1081.50733=""),"-",1081.50733/892.36161*100)</f>
        <v>121.19608439901397</v>
      </c>
      <c r="D64" s="69">
        <f>IF(892.36161="","-",892.36161/2191887.38519*100)</f>
        <v>0.040712019058526915</v>
      </c>
      <c r="E64" s="69">
        <f>IF(1081.50733="","-",1081.50733/2487873.87382*100)</f>
        <v>0.0434711478496055</v>
      </c>
      <c r="F64" s="69">
        <f>IF(OR(1851128.77138="",2170.53928="",892.36161=""),"-",(892.36161-2170.53928)/1851128.77138*100)</f>
        <v>-0.06904855511738009</v>
      </c>
      <c r="G64" s="69">
        <f>IF(OR(2191887.38519="",1081.50733="",892.36161=""),"-",(1081.50733-892.36161)/2191887.38519*100)</f>
        <v>0.008629353920188017</v>
      </c>
    </row>
    <row r="65" spans="1:7" ht="38.25">
      <c r="A65" s="22" t="s">
        <v>299</v>
      </c>
      <c r="B65" s="69">
        <f>IF(3497.46305="","-",3497.46305)</f>
        <v>3497.46305</v>
      </c>
      <c r="C65" s="69">
        <f>IF(OR(3536.96559="",3497.46305=""),"-",3497.46305/3536.96559*100)</f>
        <v>98.88315170179533</v>
      </c>
      <c r="D65" s="69">
        <f>IF(3536.96559="","-",3536.96559/2191887.38519*100)</f>
        <v>0.16136620950046685</v>
      </c>
      <c r="E65" s="69">
        <f>IF(3497.46305="","-",3497.46305/2487873.87382*100)</f>
        <v>0.14058040026883795</v>
      </c>
      <c r="F65" s="69">
        <f>IF(OR(1851128.77138="",2819.53845="",3536.96559=""),"-",(3536.96559-2819.53845)/1851128.77138*100)</f>
        <v>0.03875619843913745</v>
      </c>
      <c r="G65" s="69">
        <f>IF(OR(2191887.38519="",3497.46305="",3536.96559=""),"-",(3497.46305-3536.96559)/2191887.38519*100)</f>
        <v>-0.0018022157646833553</v>
      </c>
    </row>
    <row r="66" spans="1:7" ht="51">
      <c r="A66" s="22" t="s">
        <v>300</v>
      </c>
      <c r="B66" s="69">
        <f>IF(479792.59481="","-",479792.59481)</f>
        <v>479792.59481</v>
      </c>
      <c r="C66" s="69" t="s">
        <v>236</v>
      </c>
      <c r="D66" s="69">
        <f>IF(314346.51055="","-",314346.51055/2191887.38519*100)</f>
        <v>14.341362274081954</v>
      </c>
      <c r="E66" s="69">
        <f>IF(479792.59481="","-",479792.59481/2487873.87382*100)</f>
        <v>19.28524592258785</v>
      </c>
      <c r="F66" s="69">
        <f>IF(OR(1851128.77138="",229286.07075="",314346.51055=""),"-",(314346.51055-229286.07075)/1851128.77138*100)</f>
        <v>4.59505795140271</v>
      </c>
      <c r="G66" s="69">
        <f>IF(OR(2191887.38519="",479792.59481="",314346.51055=""),"-",(479792.59481-314346.51055)/2191887.38519*100)</f>
        <v>7.548110609052052</v>
      </c>
    </row>
    <row r="67" spans="1:7" ht="25.5">
      <c r="A67" s="22" t="s">
        <v>72</v>
      </c>
      <c r="B67" s="69">
        <f>IF(18702.6779="","-",18702.6779)</f>
        <v>18702.6779</v>
      </c>
      <c r="C67" s="69">
        <f>IF(OR(22678.03104="",18702.6779=""),"-",18702.6779/22678.03104*100)</f>
        <v>82.47046609563155</v>
      </c>
      <c r="D67" s="69">
        <f>IF(22678.03104="","-",22678.03104/2191887.38519*100)</f>
        <v>1.0346348627775965</v>
      </c>
      <c r="E67" s="69">
        <f>IF(18702.6779="","-",18702.6779/2487873.87382*100)</f>
        <v>0.7517534589196444</v>
      </c>
      <c r="F67" s="69">
        <f>IF(OR(1851128.77138="",24785.74867="",22678.03104=""),"-",(22678.03104-24785.74867)/1851128.77138*100)</f>
        <v>-0.11386121066168263</v>
      </c>
      <c r="G67" s="69">
        <f>IF(OR(2191887.38519="",18702.6779="",22678.03104=""),"-",(18702.6779-22678.03104)/2191887.38519*100)</f>
        <v>-0.18136666905701485</v>
      </c>
    </row>
    <row r="68" spans="1:7" ht="15.75">
      <c r="A68" s="22" t="s">
        <v>73</v>
      </c>
      <c r="B68" s="69">
        <f>IF(474.79586="","-",474.79586)</f>
        <v>474.79586</v>
      </c>
      <c r="C68" s="69">
        <f>IF(OR(15544.3941="",474.79586=""),"-",474.79586/15544.3941*100)</f>
        <v>3.0544507360373734</v>
      </c>
      <c r="D68" s="69">
        <f>IF(15544.3941="","-",15544.3941/2191887.38519*100)</f>
        <v>0.7091785009133834</v>
      </c>
      <c r="E68" s="69">
        <f>IF(474.79586="","-",474.79586/2487873.87382*100)</f>
        <v>0.01908440234837853</v>
      </c>
      <c r="F68" s="69">
        <f>IF(OR(1851128.77138="",542.9506="",15544.3941=""),"-",(15544.3941-542.9506)/1851128.77138*100)</f>
        <v>0.8103943783887362</v>
      </c>
      <c r="G68" s="69">
        <f>IF(OR(2191887.38519="",474.79586="",15544.3941=""),"-",(474.79586-15544.3941)/2191887.38519*100)</f>
        <v>-0.6875169929724159</v>
      </c>
    </row>
    <row r="69" spans="1:7" ht="15.75">
      <c r="A69" s="44" t="s">
        <v>74</v>
      </c>
      <c r="B69" s="68">
        <f>IF(568871.76235="","-",568871.76235)</f>
        <v>568871.76235</v>
      </c>
      <c r="C69" s="68">
        <f>IF(489255.22231="","-",568871.76235/489255.22231*100)</f>
        <v>116.27300770834769</v>
      </c>
      <c r="D69" s="68">
        <f>IF(489255.22231="","-",489255.22231/2191887.38519*100)</f>
        <v>22.32118427323262</v>
      </c>
      <c r="E69" s="68">
        <f>IF(568871.76235="","-",568871.76235/2487873.87382*100)</f>
        <v>22.865779826552348</v>
      </c>
      <c r="F69" s="68">
        <f>IF(1851128.77138="","-",(489255.22231-431120.13494)/1851128.77138*100)</f>
        <v>3.1405209766504125</v>
      </c>
      <c r="G69" s="68">
        <f>IF(2191887.38519="","-",(568871.76235-489255.22231)/2191887.38519*100)</f>
        <v>3.63232803737764</v>
      </c>
    </row>
    <row r="70" spans="1:7" ht="38.25">
      <c r="A70" s="22" t="s">
        <v>301</v>
      </c>
      <c r="B70" s="69">
        <f>IF(7564.95829="","-",7564.95829)</f>
        <v>7564.95829</v>
      </c>
      <c r="C70" s="69">
        <f>IF(OR(8404.90611="",7564.95829=""),"-",7564.95829/8404.90611*100)</f>
        <v>90.00645802573992</v>
      </c>
      <c r="D70" s="69">
        <f>IF(8404.90611="","-",8404.90611/2191887.38519*100)</f>
        <v>0.38345519787146526</v>
      </c>
      <c r="E70" s="69">
        <f>IF(7564.95829="","-",7564.95829/2487873.87382*100)</f>
        <v>0.3040732237114739</v>
      </c>
      <c r="F70" s="69">
        <f>IF(OR(1851128.77138="",5582.57862="",8404.90611=""),"-",(8404.90611-5582.57862)/1851128.77138*100)</f>
        <v>0.15246521655519293</v>
      </c>
      <c r="G70" s="69">
        <f>IF(OR(2191887.38519="",7564.95829="",8404.90611=""),"-",(7564.95829-8404.90611)/2191887.38519*100)</f>
        <v>-0.03832075615176694</v>
      </c>
    </row>
    <row r="71" spans="1:7" ht="15.75">
      <c r="A71" s="22" t="s">
        <v>302</v>
      </c>
      <c r="B71" s="69">
        <f>IF(147900.06485="","-",147900.06485)</f>
        <v>147900.06485</v>
      </c>
      <c r="C71" s="69">
        <f>IF(OR(122407.01715="",147900.06485=""),"-",147900.06485/122407.01715*100)</f>
        <v>120.82645937590351</v>
      </c>
      <c r="D71" s="69">
        <f>IF(122407.01715="","-",122407.01715/2191887.38519*100)</f>
        <v>5.584548639545611</v>
      </c>
      <c r="E71" s="69">
        <f>IF(147900.06485="","-",147900.06485/2487873.87382*100)</f>
        <v>5.944837734997683</v>
      </c>
      <c r="F71" s="69">
        <f>IF(OR(1851128.77138="",112564.48784="",122407.01715=""),"-",(122407.01715-112564.48784)/1851128.77138*100)</f>
        <v>0.5317041937964413</v>
      </c>
      <c r="G71" s="69">
        <f>IF(OR(2191887.38519="",147900.06485="",122407.01715=""),"-",(147900.06485-122407.01715)/2191887.38519*100)</f>
        <v>1.163063753742539</v>
      </c>
    </row>
    <row r="72" spans="1:7" ht="15.75">
      <c r="A72" s="22" t="s">
        <v>303</v>
      </c>
      <c r="B72" s="69">
        <f>IF(15501.91078="","-",15501.91078)</f>
        <v>15501.91078</v>
      </c>
      <c r="C72" s="69">
        <f>IF(OR(11107.94423="",15501.91078=""),"-",15501.91078/11107.94423*100)</f>
        <v>139.5569734508831</v>
      </c>
      <c r="D72" s="69">
        <f>IF(11107.94423="","-",11107.94423/2191887.38519*100)</f>
        <v>0.5067753163348365</v>
      </c>
      <c r="E72" s="69">
        <f>IF(15501.91078="","-",15501.91078/2487873.87382*100)</f>
        <v>0.6230987407813254</v>
      </c>
      <c r="F72" s="69">
        <f>IF(OR(1851128.77138="",13369.81107="",11107.94423=""),"-",(11107.94423-13369.81107)/1851128.77138*100)</f>
        <v>-0.12218851951146537</v>
      </c>
      <c r="G72" s="69">
        <f>IF(OR(2191887.38519="",15501.91078="",11107.94423=""),"-",(15501.91078-11107.94423)/2191887.38519*100)</f>
        <v>0.20046497733820015</v>
      </c>
    </row>
    <row r="73" spans="1:7" ht="15.75">
      <c r="A73" s="22" t="s">
        <v>304</v>
      </c>
      <c r="B73" s="69">
        <f>IF(286250.46883="","-",286250.46883)</f>
        <v>286250.46883</v>
      </c>
      <c r="C73" s="69">
        <f>IF(OR(253784.81353="",286250.46883=""),"-",286250.46883/253784.81353*100)</f>
        <v>112.79259182155998</v>
      </c>
      <c r="D73" s="69">
        <f>IF(253784.81353="","-",253784.81353/2191887.38519*100)</f>
        <v>11.578369182867537</v>
      </c>
      <c r="E73" s="69">
        <f>IF(286250.46883="","-",286250.46883/2487873.87382*100)</f>
        <v>11.505827198164088</v>
      </c>
      <c r="F73" s="69">
        <f>IF(OR(1851128.77138="",222862.92833="",253784.81353=""),"-",(253784.81353-222862.92833)/1851128.77138*100)</f>
        <v>1.6704340442479335</v>
      </c>
      <c r="G73" s="69">
        <f>IF(OR(2191887.38519="",286250.46883="",253784.81353=""),"-",(286250.46883-253784.81353)/2191887.38519*100)</f>
        <v>1.481173509157533</v>
      </c>
    </row>
    <row r="74" spans="1:7" ht="15.75">
      <c r="A74" s="22" t="s">
        <v>305</v>
      </c>
      <c r="B74" s="69">
        <f>IF(33684.38994="","-",33684.38994)</f>
        <v>33684.38994</v>
      </c>
      <c r="C74" s="69">
        <f>IF(OR(30361.8205="",33684.38994=""),"-",33684.38994/30361.8205*100)</f>
        <v>110.94324841292043</v>
      </c>
      <c r="D74" s="69">
        <f>IF(30361.8205="","-",30361.8205/2191887.38519*100)</f>
        <v>1.3851907130424104</v>
      </c>
      <c r="E74" s="69">
        <f>IF(33684.38994="","-",33684.38994/2487873.87382*100)</f>
        <v>1.3539428302399987</v>
      </c>
      <c r="F74" s="69">
        <f>IF(OR(1851128.77138="",26165.30778="",30361.8205=""),"-",(30361.8205-26165.30778)/1851128.77138*100)</f>
        <v>0.22670020502525817</v>
      </c>
      <c r="G74" s="69">
        <f>IF(OR(2191887.38519="",33684.38994="",30361.8205=""),"-",(33684.38994-30361.8205)/2191887.38519*100)</f>
        <v>0.15158486072093472</v>
      </c>
    </row>
    <row r="75" spans="1:7" ht="25.5">
      <c r="A75" s="22" t="s">
        <v>306</v>
      </c>
      <c r="B75" s="69">
        <f>IF(21166.39563="","-",21166.39563)</f>
        <v>21166.39563</v>
      </c>
      <c r="C75" s="69">
        <f>IF(OR(21571.93192="",21166.39563=""),"-",21166.39563/21571.93192*100)</f>
        <v>98.12007430996937</v>
      </c>
      <c r="D75" s="69">
        <f>IF(21571.93192="","-",21571.93192/2191887.38519*100)</f>
        <v>0.9841715439285708</v>
      </c>
      <c r="E75" s="69">
        <f>IF(21166.39563="","-",21166.39563/2487873.87382*100)</f>
        <v>0.8507825035961373</v>
      </c>
      <c r="F75" s="69">
        <f>IF(OR(1851128.77138="",22338.7718="",21571.93192=""),"-",(21571.93192-22338.7718)/1851128.77138*100)</f>
        <v>-0.04142552867504335</v>
      </c>
      <c r="G75" s="69">
        <f>IF(OR(2191887.38519="",21166.39563="",21571.93192=""),"-",(21166.39563-21571.93192)/2191887.38519*100)</f>
        <v>-0.018501693688284394</v>
      </c>
    </row>
    <row r="76" spans="1:7" ht="25.5">
      <c r="A76" s="22" t="s">
        <v>307</v>
      </c>
      <c r="B76" s="69">
        <f>IF(3432.51429="","-",3432.51429)</f>
        <v>3432.51429</v>
      </c>
      <c r="C76" s="69">
        <f>IF(OR(2729.64561="",3432.51429=""),"-",3432.51429/2729.64561*100)</f>
        <v>125.74944811242365</v>
      </c>
      <c r="D76" s="69">
        <f>IF(2729.64561="","-",2729.64561/2191887.38519*100)</f>
        <v>0.12453402617504392</v>
      </c>
      <c r="E76" s="69">
        <f>IF(3432.51429="","-",3432.51429/2487873.87382*100)</f>
        <v>0.13796978721954078</v>
      </c>
      <c r="F76" s="69">
        <f>IF(OR(1851128.77138="",1810.77524="",2729.64561=""),"-",(2729.64561-1810.77524)/1851128.77138*100)</f>
        <v>0.04963838195410848</v>
      </c>
      <c r="G76" s="69">
        <f>IF(OR(2191887.38519="",3432.51429="",2729.64561=""),"-",(3432.51429-2729.64561)/2191887.38519*100)</f>
        <v>0.03206682445225502</v>
      </c>
    </row>
    <row r="77" spans="1:7" ht="15.75">
      <c r="A77" s="41" t="s">
        <v>80</v>
      </c>
      <c r="B77" s="37">
        <f>IF(53371.05974="","-",53371.05974)</f>
        <v>53371.05974</v>
      </c>
      <c r="C77" s="37">
        <f>IF(OR(38887.14326="",53371.05974=""),"-",53371.05974/38887.14326*100)</f>
        <v>137.24602854768818</v>
      </c>
      <c r="D77" s="37">
        <f>IF(38887.14326="","-",38887.14326/2191887.38519*100)</f>
        <v>1.774139653467148</v>
      </c>
      <c r="E77" s="37">
        <f>IF(53371.05974="","-",53371.05974/2487873.87382*100)</f>
        <v>2.1452478078421047</v>
      </c>
      <c r="F77" s="37">
        <f>IF(OR(1851128.77138="",26425.47426="",38887.14326=""),"-",(38887.14326-26425.47426)/1851128.77138*100)</f>
        <v>0.6731929832579899</v>
      </c>
      <c r="G77" s="37">
        <f>IF(OR(2191887.38519="",53371.05974="",38887.14326=""),"-",(53371.05974-38887.14326)/2191887.38519*100)</f>
        <v>0.6607965618062303</v>
      </c>
    </row>
    <row r="78" spans="1:7" ht="25.5">
      <c r="A78" s="39" t="s">
        <v>308</v>
      </c>
      <c r="B78" s="76">
        <f>IF(1071.34655="","-",1071.34655)</f>
        <v>1071.34655</v>
      </c>
      <c r="C78" s="76" t="s">
        <v>317</v>
      </c>
      <c r="D78" s="76">
        <f>IF(627.9308="","-",627.9308/2191887.38519*100)</f>
        <v>0.02864794990120211</v>
      </c>
      <c r="E78" s="76">
        <f>IF(1071.34655="","-",1071.34655/2487873.87382*100)</f>
        <v>0.04306273566653938</v>
      </c>
      <c r="F78" s="76">
        <f>IF(1851128.77138="","-",(627.9308-386.05286)/1851128.77138*100)</f>
        <v>0.013066510754931551</v>
      </c>
      <c r="G78" s="76">
        <f>IF(2191887.38519="","-",(1071.34655-627.9308)/2191887.38519*100)</f>
        <v>0.020229860028213233</v>
      </c>
    </row>
    <row r="79" ht="15.75">
      <c r="A79" s="63" t="s">
        <v>19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N82"/>
  <sheetViews>
    <sheetView zoomScalePageLayoutView="0" workbookViewId="0" topLeftCell="A1">
      <selection activeCell="I30" sqref="I30"/>
    </sheetView>
  </sheetViews>
  <sheetFormatPr defaultColWidth="9.00390625" defaultRowHeight="15.75"/>
  <cols>
    <col min="1" max="1" width="28.75390625" style="0" customWidth="1"/>
    <col min="2" max="2" width="11.50390625" style="0" customWidth="1"/>
    <col min="3" max="3" width="10.875" style="0" customWidth="1"/>
    <col min="4" max="5" width="7.75390625" style="0" customWidth="1"/>
    <col min="6" max="6" width="10.125" style="0" customWidth="1"/>
    <col min="7" max="7" width="9.50390625" style="0" customWidth="1"/>
    <col min="8" max="8" width="13.00390625" style="0" customWidth="1"/>
  </cols>
  <sheetData>
    <row r="1" spans="1:7" ht="15.75">
      <c r="A1" s="109" t="s">
        <v>187</v>
      </c>
      <c r="B1" s="109"/>
      <c r="C1" s="109"/>
      <c r="D1" s="109"/>
      <c r="E1" s="109"/>
      <c r="F1" s="109"/>
      <c r="G1" s="109"/>
    </row>
    <row r="2" spans="1:7" ht="15.75">
      <c r="A2" s="109" t="s">
        <v>22</v>
      </c>
      <c r="B2" s="109"/>
      <c r="C2" s="109"/>
      <c r="D2" s="109"/>
      <c r="E2" s="109"/>
      <c r="F2" s="109"/>
      <c r="G2" s="109"/>
    </row>
    <row r="3" ht="15.75">
      <c r="A3" s="5"/>
    </row>
    <row r="4" spans="1:7" ht="57" customHeight="1">
      <c r="A4" s="117"/>
      <c r="B4" s="120" t="s">
        <v>244</v>
      </c>
      <c r="C4" s="115"/>
      <c r="D4" s="120" t="s">
        <v>0</v>
      </c>
      <c r="E4" s="115"/>
      <c r="F4" s="112" t="s">
        <v>172</v>
      </c>
      <c r="G4" s="121"/>
    </row>
    <row r="5" spans="1:7" ht="29.25" customHeight="1">
      <c r="A5" s="118"/>
      <c r="B5" s="122" t="s">
        <v>161</v>
      </c>
      <c r="C5" s="110" t="s">
        <v>245</v>
      </c>
      <c r="D5" s="124" t="s">
        <v>246</v>
      </c>
      <c r="E5" s="124"/>
      <c r="F5" s="124" t="s">
        <v>246</v>
      </c>
      <c r="G5" s="120"/>
    </row>
    <row r="6" spans="1:14" ht="25.5" customHeight="1">
      <c r="A6" s="119"/>
      <c r="B6" s="123"/>
      <c r="C6" s="111"/>
      <c r="D6" s="29">
        <v>2017</v>
      </c>
      <c r="E6" s="29">
        <v>2018</v>
      </c>
      <c r="F6" s="29" t="s">
        <v>141</v>
      </c>
      <c r="G6" s="25" t="s">
        <v>160</v>
      </c>
      <c r="H6" s="1"/>
      <c r="I6" s="1"/>
      <c r="J6" s="1"/>
      <c r="K6" s="1"/>
      <c r="L6" s="1"/>
      <c r="M6" s="1"/>
      <c r="N6" s="1"/>
    </row>
    <row r="7" spans="1:14" ht="15.75">
      <c r="A7" s="53" t="s">
        <v>199</v>
      </c>
      <c r="B7" s="74">
        <f>IF(5244769.76452="","-",5244769.76452)</f>
        <v>5244769.76452</v>
      </c>
      <c r="C7" s="74">
        <f>IF(4359960.60099="","-",5244769.76452/4359960.60099*100)</f>
        <v>120.29397154022652</v>
      </c>
      <c r="D7" s="74">
        <v>100</v>
      </c>
      <c r="E7" s="74">
        <v>100</v>
      </c>
      <c r="F7" s="74">
        <f>IF(3628984.82886="","-",(4359960.60099-3628984.82886)/3628984.82886*100)</f>
        <v>20.142706751398222</v>
      </c>
      <c r="G7" s="74">
        <f>IF(4359960.60099="","-",(5244769.76452-4359960.60099)/4359960.60099*100)</f>
        <v>20.293971540226515</v>
      </c>
      <c r="H7" s="34"/>
      <c r="I7" s="34"/>
      <c r="J7" s="34"/>
      <c r="K7" s="34"/>
      <c r="L7" s="34"/>
      <c r="M7" s="34"/>
      <c r="N7" s="1"/>
    </row>
    <row r="8" spans="1:14" ht="15.75">
      <c r="A8" s="58" t="s">
        <v>193</v>
      </c>
      <c r="B8" s="60"/>
      <c r="C8" s="60"/>
      <c r="D8" s="60"/>
      <c r="E8" s="60"/>
      <c r="F8" s="60"/>
      <c r="G8" s="60"/>
      <c r="H8" s="1"/>
      <c r="I8" s="1"/>
      <c r="J8" s="1"/>
      <c r="K8" s="1"/>
      <c r="L8" s="1"/>
      <c r="M8" s="1"/>
      <c r="N8" s="1"/>
    </row>
    <row r="9" spans="1:7" ht="15.75">
      <c r="A9" s="44" t="s">
        <v>257</v>
      </c>
      <c r="B9" s="68">
        <f>IF(502854.70382="","-",502854.70382)</f>
        <v>502854.70382</v>
      </c>
      <c r="C9" s="68">
        <f>IF(453073.18789="","-",502854.70382/453073.18789*100)</f>
        <v>110.98752194139688</v>
      </c>
      <c r="D9" s="68">
        <f>IF(453073.18789="","-",453073.18789/4359960.60099*100)</f>
        <v>10.391680782324554</v>
      </c>
      <c r="E9" s="68">
        <f>IF(502854.70382="","-",502854.70382/5244769.76452*100)</f>
        <v>9.587736476474696</v>
      </c>
      <c r="F9" s="68">
        <f>IF(3628984.82886="","-",(453073.18789-391650.13229)/3628984.82886*100)</f>
        <v>1.6925685418005814</v>
      </c>
      <c r="G9" s="68">
        <f>IF(4359960.60099="","-",(502854.70382-453073.18789)/4359960.60099*100)</f>
        <v>1.1417882060378317</v>
      </c>
    </row>
    <row r="10" spans="1:7" ht="15.75">
      <c r="A10" s="22" t="s">
        <v>24</v>
      </c>
      <c r="B10" s="69">
        <f>IF(4444.39218="","-",4444.39218)</f>
        <v>4444.39218</v>
      </c>
      <c r="C10" s="69">
        <f>IF(OR(6073.31632="",4444.39218=""),"-",4444.39218/6073.31632*100)</f>
        <v>73.1790004970464</v>
      </c>
      <c r="D10" s="69">
        <f>IF(6073.31632="","-",6073.31632/4359960.60099*100)</f>
        <v>0.13929750462930685</v>
      </c>
      <c r="E10" s="69">
        <f>IF(4444.39218="","-",4444.39218/5244769.76452*100)</f>
        <v>0.08473950963616321</v>
      </c>
      <c r="F10" s="69">
        <f>IF(OR(3628984.82886="",6404.71392="",6073.31632=""),"-",(6073.31632-6404.71392)/3628984.82886*100)</f>
        <v>-0.009131964326897024</v>
      </c>
      <c r="G10" s="69">
        <f>IF(OR(4359960.60099="",4444.39218="",6073.31632=""),"-",(4444.39218-6073.31632)/4359960.60099*100)</f>
        <v>-0.03736098302425316</v>
      </c>
    </row>
    <row r="11" spans="1:7" s="11" customFormat="1" ht="15.75">
      <c r="A11" s="22" t="s">
        <v>258</v>
      </c>
      <c r="B11" s="69">
        <f>IF(37517.93046="","-",37517.93046)</f>
        <v>37517.93046</v>
      </c>
      <c r="C11" s="69">
        <f>IF(OR(33840.99998="",37517.93046=""),"-",37517.93046/33840.99998*100)</f>
        <v>110.86531273358666</v>
      </c>
      <c r="D11" s="69">
        <f>IF(33840.99998="","-",33840.99998/4359960.60099*100)</f>
        <v>0.7761767382098785</v>
      </c>
      <c r="E11" s="69">
        <f>IF(37517.93046="","-",37517.93046/5244769.76452*100)</f>
        <v>0.7153398937318964</v>
      </c>
      <c r="F11" s="69">
        <f>IF(OR(3628984.82886="",23030.71673="",33840.99998=""),"-",(33840.99998-23030.71673)/3628984.82886*100)</f>
        <v>0.29788725386862297</v>
      </c>
      <c r="G11" s="69">
        <f>IF(OR(4359960.60099="",37517.93046="",33840.99998=""),"-",(37517.93046-33840.99998)/4359960.60099*100)</f>
        <v>0.08433402997185561</v>
      </c>
    </row>
    <row r="12" spans="1:7" s="11" customFormat="1" ht="15.75">
      <c r="A12" s="22" t="s">
        <v>259</v>
      </c>
      <c r="B12" s="69">
        <f>IF(52235.40958="","-",52235.40958)</f>
        <v>52235.40958</v>
      </c>
      <c r="C12" s="69">
        <f>IF(OR(46012.68183="",52235.40958=""),"-",52235.40958/46012.68183*100)</f>
        <v>113.52394058010071</v>
      </c>
      <c r="D12" s="69">
        <f>IF(46012.68183="","-",46012.68183/4359960.60099*100)</f>
        <v>1.0553462758253382</v>
      </c>
      <c r="E12" s="69">
        <f>IF(52235.40958="","-",52235.40958/5244769.76452*100)</f>
        <v>0.9959523854290785</v>
      </c>
      <c r="F12" s="69">
        <f>IF(OR(3628984.82886="",36207.69268="",46012.68183=""),"-",(46012.68183-36207.69268)/3628984.82886*100)</f>
        <v>0.2701854544010347</v>
      </c>
      <c r="G12" s="69">
        <f>IF(OR(4359960.60099="",52235.40958="",46012.68183=""),"-",(52235.40958-46012.68183)/4359960.60099*100)</f>
        <v>0.14272440325692454</v>
      </c>
    </row>
    <row r="13" spans="1:7" s="11" customFormat="1" ht="15.75">
      <c r="A13" s="22" t="s">
        <v>260</v>
      </c>
      <c r="B13" s="69">
        <f>IF(46132.945="","-",46132.945)</f>
        <v>46132.945</v>
      </c>
      <c r="C13" s="69">
        <f>IF(OR(41655.32543="",46132.945=""),"-",46132.945/41655.32543*100)</f>
        <v>110.74921279279033</v>
      </c>
      <c r="D13" s="69">
        <f>IF(41655.32543="","-",41655.32543/4359960.60099*100)</f>
        <v>0.9554060057455904</v>
      </c>
      <c r="E13" s="69">
        <f>IF(46132.945="","-",46132.945/5244769.76452*100)</f>
        <v>0.8795990495537429</v>
      </c>
      <c r="F13" s="69">
        <f>IF(OR(3628984.82886="",38592.79602="",41655.32543=""),"-",(41655.32543-38592.79602)/3628984.82886*100)</f>
        <v>0.08439080223330807</v>
      </c>
      <c r="G13" s="69">
        <f>IF(OR(4359960.60099="",46132.945="",41655.32543=""),"-",(46132.945-41655.32543)/4359960.60099*100)</f>
        <v>0.10269862459269209</v>
      </c>
    </row>
    <row r="14" spans="1:7" s="11" customFormat="1" ht="15.75">
      <c r="A14" s="22" t="s">
        <v>261</v>
      </c>
      <c r="B14" s="69">
        <f>IF(68307.78664="","-",68307.78664)</f>
        <v>68307.78664</v>
      </c>
      <c r="C14" s="69">
        <f>IF(OR(59554.93819="",68307.78664=""),"-",68307.78664/59554.93819*100)</f>
        <v>114.69709937751176</v>
      </c>
      <c r="D14" s="69">
        <f>IF(59554.93819="","-",59554.93819/4359960.60099*100)</f>
        <v>1.365951292690055</v>
      </c>
      <c r="E14" s="69">
        <f>IF(68307.78664="","-",68307.78664/5244769.76452*100)</f>
        <v>1.3023981929977344</v>
      </c>
      <c r="F14" s="69">
        <f>IF(OR(3628984.82886="",53479.73242="",59554.93819=""),"-",(59554.93819-53479.73242)/3628984.82886*100)</f>
        <v>0.1674078580237121</v>
      </c>
      <c r="G14" s="69">
        <f>IF(OR(4359960.60099="",68307.78664="",59554.93819=""),"-",(68307.78664-59554.93819)/4359960.60099*100)</f>
        <v>0.20075521893506396</v>
      </c>
    </row>
    <row r="15" spans="1:7" s="11" customFormat="1" ht="15.75">
      <c r="A15" s="22" t="s">
        <v>262</v>
      </c>
      <c r="B15" s="69">
        <f>IF(131921.46606="","-",131921.46606)</f>
        <v>131921.46606</v>
      </c>
      <c r="C15" s="69">
        <f>IF(OR(93345.73909="",131921.46606=""),"-",131921.46606/93345.73909*100)</f>
        <v>141.32564308351226</v>
      </c>
      <c r="D15" s="69">
        <f>IF(93345.73909="","-",93345.73909/4359960.60099*100)</f>
        <v>2.1409766654497826</v>
      </c>
      <c r="E15" s="69">
        <f>IF(131921.46606="","-",131921.46606/5244769.76452*100)</f>
        <v>2.5152956561111015</v>
      </c>
      <c r="F15" s="69">
        <f>IF(OR(3628984.82886="",82123.38743="",93345.73909=""),"-",(93345.73909-82123.38743)/3628984.82886*100)</f>
        <v>0.30924217623487177</v>
      </c>
      <c r="G15" s="69">
        <f>IF(OR(4359960.60099="",131921.46606="",93345.73909=""),"-",(131921.46606-93345.73909)/4359960.60099*100)</f>
        <v>0.8847723752650598</v>
      </c>
    </row>
    <row r="16" spans="1:7" s="11" customFormat="1" ht="15" customHeight="1">
      <c r="A16" s="22" t="s">
        <v>30</v>
      </c>
      <c r="B16" s="69">
        <f>IF(15282.34968="","-",15282.34968)</f>
        <v>15282.34968</v>
      </c>
      <c r="C16" s="69">
        <f>IF(OR(33032.15513="",15282.34968=""),"-",15282.34968/33032.15513*100)</f>
        <v>46.26506995942411</v>
      </c>
      <c r="D16" s="69">
        <f>IF(33032.15513="","-",33032.15513/4359960.60099*100)</f>
        <v>0.75762508318308</v>
      </c>
      <c r="E16" s="69">
        <f>IF(15282.34968="","-",15282.34968/5244769.76452*100)</f>
        <v>0.2913826605580014</v>
      </c>
      <c r="F16" s="69">
        <f>IF(OR(3628984.82886="",22842.81925="",33032.15513=""),"-",(33032.15513-22842.81925)/3628984.82886*100)</f>
        <v>0.28077648049029874</v>
      </c>
      <c r="G16" s="69">
        <f>IF(OR(4359960.60099="",15282.34968="",33032.15513=""),"-",(15282.34968-33032.15513)/4359960.60099*100)</f>
        <v>-0.40710930841828286</v>
      </c>
    </row>
    <row r="17" spans="1:7" s="11" customFormat="1" ht="25.5">
      <c r="A17" s="22" t="s">
        <v>263</v>
      </c>
      <c r="B17" s="69">
        <f>IF(49630.50692="","-",49630.50692)</f>
        <v>49630.50692</v>
      </c>
      <c r="C17" s="69">
        <f>IF(OR(46568.90815="",49630.50692=""),"-",49630.50692/46568.90815*100)</f>
        <v>106.57434088885762</v>
      </c>
      <c r="D17" s="69">
        <f>IF(46568.90815="","-",46568.90815/4359960.60099*100)</f>
        <v>1.0681038755126773</v>
      </c>
      <c r="E17" s="69">
        <f>IF(49630.50692="","-",49630.50692/5244769.76452*100)</f>
        <v>0.9462857122107088</v>
      </c>
      <c r="F17" s="69">
        <f>IF(OR(3628984.82886="",42648.85081="",46568.90815=""),"-",(46568.90815-42648.85081)/3628984.82886*100)</f>
        <v>0.10802076957790525</v>
      </c>
      <c r="G17" s="69">
        <f>IF(OR(4359960.60099="",49630.50692="",46568.90815=""),"-",(49630.50692-46568.90815)/4359960.60099*100)</f>
        <v>0.07022078982330278</v>
      </c>
    </row>
    <row r="18" spans="1:7" s="11" customFormat="1" ht="25.5">
      <c r="A18" s="22" t="s">
        <v>32</v>
      </c>
      <c r="B18" s="69">
        <f>IF(32398.70914="","-",32398.70914)</f>
        <v>32398.70914</v>
      </c>
      <c r="C18" s="69">
        <f>IF(OR(28649.36096="",32398.70914=""),"-",32398.70914/28649.36096*100)</f>
        <v>113.08702202898976</v>
      </c>
      <c r="D18" s="69">
        <f>IF(28649.36096="","-",28649.36096/4359960.60099*100)</f>
        <v>0.6571013727393475</v>
      </c>
      <c r="E18" s="69">
        <f>IF(32398.70914="","-",32398.70914/5244769.76452*100)</f>
        <v>0.6177336774470428</v>
      </c>
      <c r="F18" s="69">
        <f>IF(OR(3628984.82886="",24648.28882="",28649.36096=""),"-",(28649.36096-24648.28882)/3628984.82886*100)</f>
        <v>0.11025320657669674</v>
      </c>
      <c r="G18" s="69">
        <f>IF(OR(4359960.60099="",32398.70914="",28649.36096=""),"-",(32398.70914-28649.36096)/4359960.60099*100)</f>
        <v>0.08599500140319265</v>
      </c>
    </row>
    <row r="19" spans="1:7" s="11" customFormat="1" ht="15.75" customHeight="1">
      <c r="A19" s="22" t="s">
        <v>264</v>
      </c>
      <c r="B19" s="69">
        <f>IF(64983.20816="","-",64983.20816)</f>
        <v>64983.20816</v>
      </c>
      <c r="C19" s="69">
        <f>IF(OR(64339.76281="",64983.20816=""),"-",64983.20816/64339.76281*100)</f>
        <v>101.00007417170644</v>
      </c>
      <c r="D19" s="69">
        <f>IF(64339.76281="","-",64339.76281/4359960.60099*100)</f>
        <v>1.4756959683394986</v>
      </c>
      <c r="E19" s="69">
        <f>IF(64983.20816="","-",64983.20816/5244769.76452*100)</f>
        <v>1.2390097387992256</v>
      </c>
      <c r="F19" s="69">
        <f>IF(OR(3628984.82886="",61671.13421="",64339.76281=""),"-",(64339.76281-61671.13421)/3628984.82886*100)</f>
        <v>0.07353650472102745</v>
      </c>
      <c r="G19" s="69">
        <f>IF(OR(4359960.60099="",64983.20816="",64339.76281=""),"-",(64983.20816-64339.76281)/4359960.60099*100)</f>
        <v>0.01475805423227671</v>
      </c>
    </row>
    <row r="20" spans="1:7" s="11" customFormat="1" ht="15.75">
      <c r="A20" s="44" t="s">
        <v>265</v>
      </c>
      <c r="B20" s="68">
        <f>IF(109172.53885="","-",109172.53885)</f>
        <v>109172.53885</v>
      </c>
      <c r="C20" s="68">
        <f>IF(106000.7433="","-",109172.53885/106000.7433*100)</f>
        <v>102.99223897046012</v>
      </c>
      <c r="D20" s="68">
        <f>IF(106000.7433="","-",106000.7433/4359960.60099*100)</f>
        <v>2.431231678468168</v>
      </c>
      <c r="E20" s="68">
        <f>IF(109172.53885="","-",109172.53885/5244769.76452*100)</f>
        <v>2.081550644768702</v>
      </c>
      <c r="F20" s="68">
        <f>IF(3628984.82886="","-",(106000.7433-97408.00348)/3628984.82886*100)</f>
        <v>0.23678081406306967</v>
      </c>
      <c r="G20" s="68">
        <f>IF(4359960.60099="","-",(109172.53885-106000.7433)/4359960.60099*100)</f>
        <v>0.07274826174529621</v>
      </c>
    </row>
    <row r="21" spans="1:7" s="11" customFormat="1" ht="15.75">
      <c r="A21" s="22" t="s">
        <v>237</v>
      </c>
      <c r="B21" s="69">
        <f>IF(54833.29358="","-",54833.29358)</f>
        <v>54833.29358</v>
      </c>
      <c r="C21" s="69">
        <f>IF(OR(49455.86361="",54833.29358=""),"-",54833.29358/49455.86361*100)</f>
        <v>110.8731899060654</v>
      </c>
      <c r="D21" s="69">
        <f>IF(49455.86361="","-",49455.86361/4359960.60099*100)</f>
        <v>1.134319048634757</v>
      </c>
      <c r="E21" s="69">
        <f>IF(54833.29358="","-",54833.29358/5244769.76452*100)</f>
        <v>1.0454852365672591</v>
      </c>
      <c r="F21" s="69">
        <f>IF(OR(3628984.82886="",45463.81946="",49455.86361=""),"-",(49455.86361-45463.81946)/3628984.82886*100)</f>
        <v>0.1100044320453677</v>
      </c>
      <c r="G21" s="69">
        <f>IF(OR(4359960.60099="",54833.29358="",49455.86361=""),"-",(54833.29358-49455.86361)/4359960.60099*100)</f>
        <v>0.12333666429873161</v>
      </c>
    </row>
    <row r="22" spans="1:7" s="11" customFormat="1" ht="15.75">
      <c r="A22" s="22" t="s">
        <v>266</v>
      </c>
      <c r="B22" s="69">
        <f>IF(54339.24527="","-",54339.24527)</f>
        <v>54339.24527</v>
      </c>
      <c r="C22" s="69">
        <f>IF(OR(56544.87969="",54339.24527=""),"-",54339.24527/56544.87969*100)</f>
        <v>96.09932069518565</v>
      </c>
      <c r="D22" s="69">
        <f>IF(56544.87969="","-",56544.87969/4359960.60099*100)</f>
        <v>1.296912629833411</v>
      </c>
      <c r="E22" s="69">
        <f>IF(54339.24527="","-",54339.24527/5244769.76452*100)</f>
        <v>1.036065408201443</v>
      </c>
      <c r="F22" s="69">
        <f>IF(OR(3628984.82886="",51944.18402="",56544.87969=""),"-",(56544.87969-51944.18402)/3628984.82886*100)</f>
        <v>0.12677638201770194</v>
      </c>
      <c r="G22" s="69">
        <f>IF(OR(4359960.60099="",54339.24527="",56544.87969=""),"-",(54339.24527-56544.87969)/4359960.60099*100)</f>
        <v>-0.050588402553435385</v>
      </c>
    </row>
    <row r="23" spans="1:7" s="11" customFormat="1" ht="25.5">
      <c r="A23" s="44" t="s">
        <v>36</v>
      </c>
      <c r="B23" s="68">
        <f>IF(125935.48647="","-",125935.48647)</f>
        <v>125935.48647</v>
      </c>
      <c r="C23" s="68">
        <f>IF(101450.51297="","-",125935.48647/101450.51297*100)</f>
        <v>124.13489373606271</v>
      </c>
      <c r="D23" s="68">
        <f>IF(101450.51297="","-",101450.51297/4359960.60099*100)</f>
        <v>2.326867654422473</v>
      </c>
      <c r="E23" s="68">
        <f>IF(125935.48647="","-",125935.48647/5244769.76452*100)</f>
        <v>2.4011632945631427</v>
      </c>
      <c r="F23" s="68">
        <f>IF(3628984.82886="","-",(101450.51297-88873.43848)/3628984.82886*100)</f>
        <v>0.3465728043275102</v>
      </c>
      <c r="G23" s="68">
        <f>IF(4359960.60099="","-",(125935.48647-101450.51297)/4359960.60099*100)</f>
        <v>0.5615870357736786</v>
      </c>
    </row>
    <row r="24" spans="1:7" s="11" customFormat="1" ht="12.75" customHeight="1">
      <c r="A24" s="22" t="s">
        <v>267</v>
      </c>
      <c r="B24" s="69">
        <f>IF(39.57298="","-",39.57298)</f>
        <v>39.57298</v>
      </c>
      <c r="C24" s="69">
        <f>IF(OR(60.70645="",39.57298=""),"-",39.57298/60.70645*100)</f>
        <v>65.18743889652583</v>
      </c>
      <c r="D24" s="69">
        <f>IF(60.70645="","-",60.70645/4359960.60099*100)</f>
        <v>0.0013923623526830864</v>
      </c>
      <c r="E24" s="69">
        <f>IF(39.57298="","-",39.57298/5244769.76452*100)</f>
        <v>0.0007545227298194225</v>
      </c>
      <c r="F24" s="69">
        <f>IF(OR(3628984.82886="",134.62365="",60.70645=""),"-",(60.70645-134.62365)/3628984.82886*100)</f>
        <v>-0.00203685613155953</v>
      </c>
      <c r="G24" s="69">
        <f>IF(OR(4359960.60099="",39.57298="",60.70645=""),"-",(39.57298-60.70645)/4359960.60099*100)</f>
        <v>-0.00048471699480957</v>
      </c>
    </row>
    <row r="25" spans="1:7" s="11" customFormat="1" ht="14.25" customHeight="1">
      <c r="A25" s="22" t="s">
        <v>268</v>
      </c>
      <c r="B25" s="69">
        <f>IF(34597.40588="","-",34597.40588)</f>
        <v>34597.40588</v>
      </c>
      <c r="C25" s="69">
        <f>IF(OR(26181.9193="",34597.40588=""),"-",34597.40588/26181.9193*100)</f>
        <v>132.14235932657542</v>
      </c>
      <c r="D25" s="69">
        <f>IF(26181.9193="","-",26181.9193/4359960.60099*100)</f>
        <v>0.6005081627126394</v>
      </c>
      <c r="E25" s="69">
        <f>IF(34597.40588="","-",34597.40588/5244769.76452*100)</f>
        <v>0.6596553792321969</v>
      </c>
      <c r="F25" s="69">
        <f>IF(OR(3628984.82886="",24209.69936="",26181.9193=""),"-",(26181.9193-24209.69936)/3628984.82886*100)</f>
        <v>0.054346326397279286</v>
      </c>
      <c r="G25" s="69">
        <f>IF(OR(4359960.60099="",34597.40588="",26181.9193=""),"-",(34597.40588-26181.9193)/4359960.60099*100)</f>
        <v>0.1930174914445127</v>
      </c>
    </row>
    <row r="26" spans="1:7" s="11" customFormat="1" ht="27" customHeight="1">
      <c r="A26" s="22" t="s">
        <v>269</v>
      </c>
      <c r="B26" s="69">
        <f>IF(856.78098="","-",856.78098)</f>
        <v>856.78098</v>
      </c>
      <c r="C26" s="69">
        <f>IF(OR(690.21058="",856.78098=""),"-",856.78098/690.21058*100)</f>
        <v>124.13327248620267</v>
      </c>
      <c r="D26" s="69">
        <f>IF(690.21058="","-",690.21058/4359960.60099*100)</f>
        <v>0.015830660943203855</v>
      </c>
      <c r="E26" s="69">
        <f>IF(856.78098="","-",856.78098/5244769.76452*100)</f>
        <v>0.016335912127086714</v>
      </c>
      <c r="F26" s="69">
        <f>IF(OR(3628984.82886="",668.92523="",690.21058=""),"-",(690.21058-668.92523)/3628984.82886*100)</f>
        <v>0.0005865373101239037</v>
      </c>
      <c r="G26" s="69">
        <f>IF(OR(4359960.60099="",856.78098="",690.21058=""),"-",(856.78098-690.21058)/4359960.60099*100)</f>
        <v>0.0038204565417902497</v>
      </c>
    </row>
    <row r="27" spans="1:7" s="11" customFormat="1" ht="15.75">
      <c r="A27" s="22" t="s">
        <v>270</v>
      </c>
      <c r="B27" s="69">
        <f>IF(32834.8945999999="","-",32834.8945999999)</f>
        <v>32834.8945999999</v>
      </c>
      <c r="C27" s="69">
        <f>IF(OR(30670.43819="",32834.8945999999=""),"-",32834.8945999999/30670.43819*100)</f>
        <v>107.05714211382089</v>
      </c>
      <c r="D27" s="69">
        <f>IF(30670.43819="","-",30670.43819/4359960.60099*100)</f>
        <v>0.7034567739679981</v>
      </c>
      <c r="E27" s="69">
        <f>IF(32834.8945999999="","-",32834.8945999999/5244769.76452*100)</f>
        <v>0.6260502571937958</v>
      </c>
      <c r="F27" s="69">
        <f>IF(OR(3628984.82886="",24831.3979="",30670.43819=""),"-",(30670.43819-24831.3979)/3628984.82886*100)</f>
        <v>0.1609001019669256</v>
      </c>
      <c r="G27" s="69">
        <f>IF(OR(4359960.60099="",32834.8945999999="",30670.43819=""),"-",(32834.8945999999-30670.43819)/4359960.60099*100)</f>
        <v>0.04964394424822146</v>
      </c>
    </row>
    <row r="28" spans="1:7" s="11" customFormat="1" ht="15.75">
      <c r="A28" s="22" t="s">
        <v>271</v>
      </c>
      <c r="B28" s="69">
        <f>IF(496.9629="","-",496.9629)</f>
        <v>496.9629</v>
      </c>
      <c r="C28" s="69">
        <f>IF(OR(518.29186="",496.9629=""),"-",496.9629/518.29186*100)</f>
        <v>95.88475883067119</v>
      </c>
      <c r="D28" s="69">
        <f>IF(518.29186="","-",518.29186/4359960.60099*100)</f>
        <v>0.011887535403010602</v>
      </c>
      <c r="E28" s="69">
        <f>IF(496.9629="","-",496.9629/5244769.76452*100)</f>
        <v>0.009475399727970365</v>
      </c>
      <c r="F28" s="69">
        <f>IF(OR(3628984.82886="",578.42181="",518.29186=""),"-",(518.29186-578.42181)/3628984.82886*100)</f>
        <v>-0.0016569358329031395</v>
      </c>
      <c r="G28" s="69">
        <f>IF(OR(4359960.60099="",496.9629="",518.29186=""),"-",(496.9629-518.29186)/4359960.60099*100)</f>
        <v>-0.0004892007509232299</v>
      </c>
    </row>
    <row r="29" spans="1:7" s="11" customFormat="1" ht="38.25">
      <c r="A29" s="22" t="s">
        <v>272</v>
      </c>
      <c r="B29" s="69">
        <f>IF(7978.62249="","-",7978.62249)</f>
        <v>7978.62249</v>
      </c>
      <c r="C29" s="69">
        <f>IF(OR(8204.97293="",7978.62249=""),"-",7978.62249/8204.97293*100)</f>
        <v>97.24130180646434</v>
      </c>
      <c r="D29" s="69">
        <f>IF(8204.97293="","-",8204.97293/4359960.60099*100)</f>
        <v>0.1881891530886065</v>
      </c>
      <c r="E29" s="69">
        <f>IF(7978.62249="","-",7978.62249/5244769.76452*100)</f>
        <v>0.15212531432693313</v>
      </c>
      <c r="F29" s="69">
        <f>IF(OR(3628984.82886="",7138.18245="",8204.97293=""),"-",(8204.97293-7138.18245)/3628984.82886*100)</f>
        <v>0.02939638853037362</v>
      </c>
      <c r="G29" s="69">
        <f>IF(OR(4359960.60099="",7978.62249="",8204.97293=""),"-",(7978.62249-8204.97293)/4359960.60099*100)</f>
        <v>-0.005191570766685451</v>
      </c>
    </row>
    <row r="30" spans="1:7" s="11" customFormat="1" ht="38.25">
      <c r="A30" s="22" t="s">
        <v>273</v>
      </c>
      <c r="B30" s="69">
        <f>IF(14446.21605="","-",14446.21605)</f>
        <v>14446.21605</v>
      </c>
      <c r="C30" s="69">
        <f>IF(OR(9746.84899="",14446.21605=""),"-",14446.21605/9746.84899*100)</f>
        <v>148.21421840865105</v>
      </c>
      <c r="D30" s="69">
        <f>IF(9746.84899="","-",9746.84899/4359960.60099*100)</f>
        <v>0.2235536024749127</v>
      </c>
      <c r="E30" s="69">
        <f>IF(14446.21605="","-",14446.21605/5244769.76452*100)</f>
        <v>0.27544042348105086</v>
      </c>
      <c r="F30" s="69">
        <f>IF(OR(3628984.82886="",10628.88911="",9746.84899=""),"-",(9746.84899-10628.88911)/3628984.82886*100)</f>
        <v>-0.02430542318572</v>
      </c>
      <c r="G30" s="69">
        <f>IF(OR(4359960.60099="",14446.21605="",9746.84899=""),"-",(14446.21605-9746.84899)/4359960.60099*100)</f>
        <v>0.10778462215766198</v>
      </c>
    </row>
    <row r="31" spans="1:7" s="11" customFormat="1" ht="14.25" customHeight="1">
      <c r="A31" s="22" t="s">
        <v>274</v>
      </c>
      <c r="B31" s="69">
        <f>IF(3659.46623="","-",3659.46623)</f>
        <v>3659.46623</v>
      </c>
      <c r="C31" s="69" t="s">
        <v>319</v>
      </c>
      <c r="D31" s="69">
        <f>IF(1082.75834="","-",1082.75834/4359960.60099*100)</f>
        <v>0.024834131293620915</v>
      </c>
      <c r="E31" s="69">
        <f>IF(3659.46623="","-",3659.46623/5244769.76452*100)</f>
        <v>0.06977362962156479</v>
      </c>
      <c r="F31" s="69">
        <f>IF(OR(3628984.82886="",687.59631="",1082.75834=""),"-",(1082.75834-687.59631)/3628984.82886*100)</f>
        <v>0.01088905158427282</v>
      </c>
      <c r="G31" s="69">
        <f>IF(OR(4359960.60099="",3659.46623="",1082.75834=""),"-",(3659.46623-1082.75834)/4359960.60099*100)</f>
        <v>0.059099338865927276</v>
      </c>
    </row>
    <row r="32" spans="1:7" s="11" customFormat="1" ht="26.25" customHeight="1">
      <c r="A32" s="22" t="s">
        <v>42</v>
      </c>
      <c r="B32" s="69">
        <f>IF(31025.56436="","-",31025.56436)</f>
        <v>31025.56436</v>
      </c>
      <c r="C32" s="69">
        <f>IF(OR(24294.36633="",31025.56436=""),"-",31025.56436/24294.36633*100)</f>
        <v>127.7068269185023</v>
      </c>
      <c r="D32" s="69">
        <f>IF(24294.36633="","-",24294.36633/4359960.60099*100)</f>
        <v>0.5572152721857984</v>
      </c>
      <c r="E32" s="69">
        <f>IF(31025.56436="","-",31025.56436/5244769.76452*100)</f>
        <v>0.5915524561227227</v>
      </c>
      <c r="F32" s="69">
        <f>IF(OR(3628984.82886="",19995.70266="",24294.36633=""),"-",(24294.36633-19995.70266)/3628984.82886*100)</f>
        <v>0.11845361368871782</v>
      </c>
      <c r="G32" s="69">
        <f>IF(OR(4359960.60099="",31025.56436="",24294.36633=""),"-",(31025.56436-24294.36633)/4359960.60099*100)</f>
        <v>0.15438667102798065</v>
      </c>
    </row>
    <row r="33" spans="1:7" s="11" customFormat="1" ht="25.5">
      <c r="A33" s="44" t="s">
        <v>275</v>
      </c>
      <c r="B33" s="68">
        <f>IF(889536.16217="","-",889536.16217)</f>
        <v>889536.16217</v>
      </c>
      <c r="C33" s="68">
        <f>IF(682996.46261="","-",889536.16217/682996.46261*100)</f>
        <v>130.2402297620591</v>
      </c>
      <c r="D33" s="68">
        <f>IF(682996.46261="","-",682996.46261/4359960.60099*100)</f>
        <v>15.665198039975742</v>
      </c>
      <c r="E33" s="68">
        <f>IF(889536.16217="","-",889536.16217/5244769.76452*100)</f>
        <v>16.96044253815611</v>
      </c>
      <c r="F33" s="68">
        <f>IF(3628984.82886="","-",(682996.46261-542533.39134)/3628984.82886*100)</f>
        <v>3.870588550080128</v>
      </c>
      <c r="G33" s="68">
        <f>IF(4359960.60099="","-",(889536.16217-682996.46261)/4359960.60099*100)</f>
        <v>4.73719187997024</v>
      </c>
    </row>
    <row r="34" spans="1:7" s="11" customFormat="1" ht="15.75">
      <c r="A34" s="22" t="s">
        <v>276</v>
      </c>
      <c r="B34" s="69">
        <f>IF(16237.6439="","-",16237.6439)</f>
        <v>16237.6439</v>
      </c>
      <c r="C34" s="69">
        <f>IF(OR(22460.60911="",16237.6439=""),"-",16237.6439/22460.60911*100)</f>
        <v>72.29387155297854</v>
      </c>
      <c r="D34" s="69">
        <f>IF(22460.60911="","-",22460.60911/4359960.60099*100)</f>
        <v>0.5151562402857482</v>
      </c>
      <c r="E34" s="69">
        <f>IF(16237.6439="","-",16237.6439/5244769.76452*100)</f>
        <v>0.3095968865944312</v>
      </c>
      <c r="F34" s="69">
        <f>IF(OR(3628984.82886="",8557.68134="",22460.60911=""),"-",(22460.60911-8557.68134)/3628984.82886*100)</f>
        <v>0.38310790553421614</v>
      </c>
      <c r="G34" s="69">
        <f>IF(OR(4359960.60099="",16237.6439="",22460.60911=""),"-",(16237.6439-22460.60911)/4359960.60099*100)</f>
        <v>-0.1427298496364159</v>
      </c>
    </row>
    <row r="35" spans="1:7" s="11" customFormat="1" ht="25.5">
      <c r="A35" s="22" t="s">
        <v>277</v>
      </c>
      <c r="B35" s="69">
        <f>IF(589067.50365="","-",589067.50365)</f>
        <v>589067.50365</v>
      </c>
      <c r="C35" s="69">
        <f>IF(OR(434056.49186="",589067.50365=""),"-",589067.50365/434056.49186*100)</f>
        <v>135.7121744973226</v>
      </c>
      <c r="D35" s="69">
        <f>IF(434056.49186="","-",434056.49186/4359960.60099*100)</f>
        <v>9.955514087935574</v>
      </c>
      <c r="E35" s="69">
        <f>IF(589067.50365="","-",589067.50365/5244769.76452*100)</f>
        <v>11.231522642517966</v>
      </c>
      <c r="F35" s="69">
        <f>IF(OR(3628984.82886="",337126.58961="",434056.49186=""),"-",(434056.49186-337126.58961)/3628984.82886*100)</f>
        <v>2.670992214658811</v>
      </c>
      <c r="G35" s="69">
        <f>IF(OR(4359960.60099="",589067.50365="",434056.49186=""),"-",(589067.50365-434056.49186)/4359960.60099*100)</f>
        <v>3.5553305631890844</v>
      </c>
    </row>
    <row r="36" spans="1:7" s="11" customFormat="1" ht="25.5">
      <c r="A36" s="22" t="s">
        <v>278</v>
      </c>
      <c r="B36" s="69">
        <f>IF(233896.57703="","-",233896.57703)</f>
        <v>233896.57703</v>
      </c>
      <c r="C36" s="69">
        <f>IF(OR(172309.18926="",233896.57703=""),"-",233896.57703/172309.18926*100)</f>
        <v>135.74236988433032</v>
      </c>
      <c r="D36" s="69">
        <f>IF(172309.18926="","-",172309.18926/4359960.60099*100)</f>
        <v>3.9520813380945325</v>
      </c>
      <c r="E36" s="69">
        <f>IF(233896.57703="","-",233896.57703/5244769.76452*100)</f>
        <v>4.459615722548426</v>
      </c>
      <c r="F36" s="69">
        <f>IF(OR(3628984.82886="",196595.71808="",172309.18926=""),"-",(172309.18926-196595.71808)/3628984.82886*100)</f>
        <v>-0.6692375406713752</v>
      </c>
      <c r="G36" s="69">
        <f>IF(OR(4359960.60099="",233896.57703="",172309.18926=""),"-",(233896.57703-172309.18926)/4359960.60099*100)</f>
        <v>1.4125675299913387</v>
      </c>
    </row>
    <row r="37" spans="1:7" s="11" customFormat="1" ht="15.75">
      <c r="A37" s="22" t="s">
        <v>46</v>
      </c>
      <c r="B37" s="69">
        <f>IF(50334.43759="","-",50334.43759)</f>
        <v>50334.43759</v>
      </c>
      <c r="C37" s="69">
        <f>IF(OR(54170.17238="",50334.43759=""),"-",50334.43759/54170.17238*100)</f>
        <v>92.91910174645082</v>
      </c>
      <c r="D37" s="69">
        <f>IF(54170.17238="","-",54170.17238/4359960.60099*100)</f>
        <v>1.2424463736598854</v>
      </c>
      <c r="E37" s="69">
        <f>IF(50334.43759="","-",50334.43759/5244769.76452*100)</f>
        <v>0.9597072864952844</v>
      </c>
      <c r="F37" s="69">
        <f>IF(OR(3628984.82886="",253.40231="",54170.17238=""),"-",(54170.17238-253.40231)/3628984.82886*100)</f>
        <v>1.485725970558474</v>
      </c>
      <c r="G37" s="69">
        <f>IF(OR(4359960.60099="",50334.43759="",54170.17238=""),"-",(50334.43759-54170.17238)/4359960.60099*100)</f>
        <v>-0.08797636357376798</v>
      </c>
    </row>
    <row r="38" spans="1:7" s="11" customFormat="1" ht="29.25" customHeight="1">
      <c r="A38" s="44" t="s">
        <v>279</v>
      </c>
      <c r="B38" s="68">
        <f>IF(10481.50843="","-",10481.50843)</f>
        <v>10481.50843</v>
      </c>
      <c r="C38" s="68">
        <f>IF(14465.88428="","-",10481.50843/14465.88428*100)</f>
        <v>72.45674185636442</v>
      </c>
      <c r="D38" s="68">
        <f>IF(14465.88428="","-",14465.88428/4359960.60099*100)</f>
        <v>0.3317893349016797</v>
      </c>
      <c r="E38" s="68">
        <f>IF(10481.50843="","-",10481.50843/5244769.76452*100)</f>
        <v>0.19984687413555635</v>
      </c>
      <c r="F38" s="68">
        <f>IF(3628984.82886="","-",(14465.88428-9181.44975)/3628984.82886*100)</f>
        <v>0.1456174324007863</v>
      </c>
      <c r="G38" s="68">
        <f>IF(4359960.60099="","-",(10481.50843-14465.88428)/4359960.60099*100)</f>
        <v>-0.09138559300502126</v>
      </c>
    </row>
    <row r="39" spans="1:7" s="11" customFormat="1" ht="15.75">
      <c r="A39" s="22" t="s">
        <v>280</v>
      </c>
      <c r="B39" s="69">
        <f>IF(1430.10911="","-",1430.10911)</f>
        <v>1430.10911</v>
      </c>
      <c r="C39" s="69">
        <f>IF(OR(1204.32457="",1430.10911=""),"-",1430.10911/1204.32457*100)</f>
        <v>118.74781480211769</v>
      </c>
      <c r="D39" s="69">
        <f>IF(1204.32457="","-",1204.32457/4359960.60099*100)</f>
        <v>0.02762237277388558</v>
      </c>
      <c r="E39" s="69">
        <f>IF(1430.10911="","-",1430.10911/5244769.76452*100)</f>
        <v>0.02726733820947588</v>
      </c>
      <c r="F39" s="69">
        <f>IF(OR(3628984.82886="",898.6028="",1204.32457=""),"-",(1204.32457-898.6028)/3628984.82886*100)</f>
        <v>0.008424443320035556</v>
      </c>
      <c r="G39" s="69">
        <f>IF(OR(4359960.60099="",1430.10911="",1204.32457=""),"-",(1430.10911-1204.32457)/4359960.60099*100)</f>
        <v>0.005178591291598645</v>
      </c>
    </row>
    <row r="40" spans="1:7" s="11" customFormat="1" ht="25.5">
      <c r="A40" s="22" t="s">
        <v>281</v>
      </c>
      <c r="B40" s="69">
        <f>IF(6507.51734="","-",6507.51734)</f>
        <v>6507.51734</v>
      </c>
      <c r="C40" s="69">
        <f>IF(OR(10812.23949="",6507.51734=""),"-",6507.51734/10812.23949*100)</f>
        <v>60.186581568218664</v>
      </c>
      <c r="D40" s="69">
        <f>IF(10812.23949="","-",10812.23949/4359960.60099*100)</f>
        <v>0.24798938521474034</v>
      </c>
      <c r="E40" s="69">
        <f>IF(6507.51734="","-",6507.51734/5244769.76452*100)</f>
        <v>0.12407632045208694</v>
      </c>
      <c r="F40" s="69">
        <f>IF(OR(3628984.82886="",6528.72163="",10812.23949=""),"-",(10812.23949-6528.72163)/3628984.82886*100)</f>
        <v>0.11803625702523572</v>
      </c>
      <c r="G40" s="69">
        <f>IF(OR(4359960.60099="",6507.51734="",10812.23949=""),"-",(6507.51734-10812.23949)/4359960.60099*100)</f>
        <v>-0.09873305160194663</v>
      </c>
    </row>
    <row r="41" spans="1:7" s="11" customFormat="1" ht="65.25" customHeight="1">
      <c r="A41" s="22" t="s">
        <v>282</v>
      </c>
      <c r="B41" s="69">
        <f>IF(2543.88198="","-",2543.88198)</f>
        <v>2543.88198</v>
      </c>
      <c r="C41" s="69">
        <f>IF(OR(2449.32022="",2543.88198=""),"-",2543.88198/2449.32022*100)</f>
        <v>103.86073487769598</v>
      </c>
      <c r="D41" s="69">
        <f>IF(2449.32022="","-",2449.32022/4359960.60099*100)</f>
        <v>0.056177576913053806</v>
      </c>
      <c r="E41" s="69">
        <f>IF(2543.88198="","-",2543.88198/5244769.76452*100)</f>
        <v>0.04850321547399356</v>
      </c>
      <c r="F41" s="69">
        <f>IF(OR(3628984.82886="",1754.12532="",2449.32022=""),"-",(2449.32022-1754.12532)/3628984.82886*100)</f>
        <v>0.01915673205551501</v>
      </c>
      <c r="G41" s="69">
        <f>IF(OR(4359960.60099="",2543.88198="",2449.32022=""),"-",(2543.88198-2449.32022)/4359960.60099*100)</f>
        <v>0.0021688673053267557</v>
      </c>
    </row>
    <row r="42" spans="1:7" s="11" customFormat="1" ht="25.5">
      <c r="A42" s="44" t="s">
        <v>283</v>
      </c>
      <c r="B42" s="68">
        <f>IF(746399.92527="","-",746399.92527)</f>
        <v>746399.92527</v>
      </c>
      <c r="C42" s="68">
        <f>IF(657740.34163="","-",746399.92527/657740.34163*100)</f>
        <v>113.47942007332033</v>
      </c>
      <c r="D42" s="68">
        <f>IF(657740.34163="","-",657740.34163/4359960.60099*100)</f>
        <v>15.085923975566415</v>
      </c>
      <c r="E42" s="68">
        <f>IF(746399.92527="","-",746399.92527/5244769.76452*100)</f>
        <v>14.23131917666381</v>
      </c>
      <c r="F42" s="68">
        <f>IF(3628984.82886="","-",(657740.34163-570209.10013)/3628984.82886*100)</f>
        <v>2.4120035113923817</v>
      </c>
      <c r="G42" s="68">
        <f>IF(4359960.60099="","-",(746399.92527-657740.34163)/4359960.60099*100)</f>
        <v>2.0334950646083443</v>
      </c>
    </row>
    <row r="43" spans="1:7" s="11" customFormat="1" ht="15.75">
      <c r="A43" s="22" t="s">
        <v>51</v>
      </c>
      <c r="B43" s="69">
        <f>IF(20307.07831="","-",20307.07831)</f>
        <v>20307.07831</v>
      </c>
      <c r="C43" s="69">
        <f>IF(OR(19200.07538="",20307.07831=""),"-",20307.07831/19200.07538*100)</f>
        <v>105.76561762436165</v>
      </c>
      <c r="D43" s="69">
        <f>IF(19200.07538="","-",19200.07538/4359960.60099*100)</f>
        <v>0.4403726807907463</v>
      </c>
      <c r="E43" s="69">
        <f>IF(20307.07831="","-",20307.07831/5244769.76452*100)</f>
        <v>0.3871872212079552</v>
      </c>
      <c r="F43" s="69">
        <f>IF(OR(3628984.82886="",15616.59359="",19200.07538=""),"-",(19200.07538-15616.59359)/3628984.82886*100)</f>
        <v>0.09874612209733882</v>
      </c>
      <c r="G43" s="69">
        <f>IF(OR(4359960.60099="",20307.07831="",19200.07538=""),"-",(20307.07831-19200.07538)/4359960.60099*100)</f>
        <v>0.02539020489654515</v>
      </c>
    </row>
    <row r="44" spans="1:7" s="11" customFormat="1" ht="15.75">
      <c r="A44" s="22" t="s">
        <v>52</v>
      </c>
      <c r="B44" s="69">
        <f>IF(14948.30401="","-",14948.30401)</f>
        <v>14948.30401</v>
      </c>
      <c r="C44" s="69">
        <f>IF(OR(12612.53237="",14948.30401=""),"-",14948.30401/12612.53237*100)</f>
        <v>118.51945011103268</v>
      </c>
      <c r="D44" s="69">
        <f>IF(12612.53237="","-",12612.53237/4359960.60099*100)</f>
        <v>0.28928087944501424</v>
      </c>
      <c r="E44" s="69">
        <f>IF(14948.30401="","-",14948.30401/5244769.76452*100)</f>
        <v>0.2850135407491632</v>
      </c>
      <c r="F44" s="69">
        <f>IF(OR(3628984.82886="",11750.83653="",12612.53237=""),"-",(12612.53237-11750.83653)/3628984.82886*100)</f>
        <v>0.02374481792117856</v>
      </c>
      <c r="G44" s="69">
        <f>IF(OR(4359960.60099="",14948.30401="",12612.53237=""),"-",(14948.30401-12612.53237)/4359960.60099*100)</f>
        <v>0.05357322814957603</v>
      </c>
    </row>
    <row r="45" spans="1:7" s="11" customFormat="1" ht="15.75">
      <c r="A45" s="22" t="s">
        <v>284</v>
      </c>
      <c r="B45" s="69">
        <f>IF(34626.9025499999="","-",34626.9025499999)</f>
        <v>34626.9025499999</v>
      </c>
      <c r="C45" s="69">
        <f>IF(OR(30595.46406="",34626.9025499999=""),"-",34626.9025499999/30595.46406*100)</f>
        <v>113.17658879791443</v>
      </c>
      <c r="D45" s="69">
        <f>IF(30595.46406="","-",30595.46406/4359960.60099*100)</f>
        <v>0.701737168291218</v>
      </c>
      <c r="E45" s="69">
        <f>IF(34626.9025499999="","-",34626.9025499999/5244769.76452*100)</f>
        <v>0.6602177808498891</v>
      </c>
      <c r="F45" s="69">
        <f>IF(OR(3628984.82886="",27348.0224="",30595.46406=""),"-",(30595.46406-27348.0224)/3628984.82886*100)</f>
        <v>0.08948622860515347</v>
      </c>
      <c r="G45" s="69">
        <f>IF(OR(4359960.60099="",34626.9025499999="",30595.46406=""),"-",(34626.9025499999-30595.46406)/4359960.60099*100)</f>
        <v>0.09246502110786264</v>
      </c>
    </row>
    <row r="46" spans="1:7" s="11" customFormat="1" ht="15.75">
      <c r="A46" s="22" t="s">
        <v>285</v>
      </c>
      <c r="B46" s="69">
        <f>IF(214043.91696="","-",214043.91696)</f>
        <v>214043.91696</v>
      </c>
      <c r="C46" s="69">
        <f>IF(OR(197894.06188="",214043.91696=""),"-",214043.91696/197894.06188*100)</f>
        <v>108.1608588588136</v>
      </c>
      <c r="D46" s="69">
        <f>IF(197894.06188="","-",197894.06188/4359960.60099*100)</f>
        <v>4.538895645870398</v>
      </c>
      <c r="E46" s="69">
        <f>IF(214043.91696="","-",214043.91696/5244769.76452*100)</f>
        <v>4.0810927184634815</v>
      </c>
      <c r="F46" s="69">
        <f>IF(OR(3628984.82886="",158955.00676="",197894.06188=""),"-",(197894.06188-158955.00676)/3628984.82886*100)</f>
        <v>1.0730013201028514</v>
      </c>
      <c r="G46" s="69">
        <f>IF(OR(4359960.60099="",214043.91696="",197894.06188=""),"-",(214043.91696-197894.06188)/4359960.60099*100)</f>
        <v>0.37041286740831836</v>
      </c>
    </row>
    <row r="47" spans="1:7" s="11" customFormat="1" ht="38.25">
      <c r="A47" s="22" t="s">
        <v>286</v>
      </c>
      <c r="B47" s="69">
        <f>IF(103288.99272="","-",103288.99272)</f>
        <v>103288.99272</v>
      </c>
      <c r="C47" s="69">
        <f>IF(OR(100943.53799="",103288.99272=""),"-",103288.99272/100943.53799*100)</f>
        <v>102.32353132919944</v>
      </c>
      <c r="D47" s="69">
        <f>IF(100943.53799="","-",100943.53799/4359960.60099*100)</f>
        <v>2.3152396828328934</v>
      </c>
      <c r="E47" s="69">
        <f>IF(103288.99272="","-",103288.99272/5244769.76452*100)</f>
        <v>1.9693713424511587</v>
      </c>
      <c r="F47" s="69">
        <f>IF(OR(3628984.82886="",101548.79811="",100943.53799=""),"-",(100943.53799-101548.79811)/3628984.82886*100)</f>
        <v>-0.016678496839848768</v>
      </c>
      <c r="G47" s="69">
        <f>IF(OR(4359960.60099="",103288.99272="",100943.53799=""),"-",(103288.99272-100943.53799)/4359960.60099*100)</f>
        <v>0.05379531937668024</v>
      </c>
    </row>
    <row r="48" spans="1:7" s="11" customFormat="1" ht="15.75">
      <c r="A48" s="22" t="s">
        <v>309</v>
      </c>
      <c r="B48" s="69">
        <f>IF(82118.29105="","-",82118.29105)</f>
        <v>82118.29105</v>
      </c>
      <c r="C48" s="69">
        <f>IF(OR(59102.42155="",82118.29105=""),"-",82118.29105/59102.42155*100)</f>
        <v>138.94234600950966</v>
      </c>
      <c r="D48" s="69">
        <f>IF(59102.42155="","-",59102.42155/4359960.60099*100)</f>
        <v>1.355572376882943</v>
      </c>
      <c r="E48" s="69">
        <f>IF(82118.29105="","-",82118.29105/5244769.76452*100)</f>
        <v>1.565717748098623</v>
      </c>
      <c r="F48" s="69">
        <f>IF(OR(3628984.82886="",48122.44828="",59102.42155=""),"-",(59102.42155-48122.44828)/3628984.82886*100)</f>
        <v>0.302563217753909</v>
      </c>
      <c r="G48" s="69">
        <f>IF(OR(4359960.60099="",82118.29105="",59102.42155=""),"-",(82118.29105-59102.42155)/4359960.60099*100)</f>
        <v>0.52789168541509</v>
      </c>
    </row>
    <row r="49" spans="1:7" s="11" customFormat="1" ht="15.75">
      <c r="A49" s="22" t="s">
        <v>56</v>
      </c>
      <c r="B49" s="69">
        <f>IF(54898.74064="","-",54898.74064)</f>
        <v>54898.74064</v>
      </c>
      <c r="C49" s="69">
        <f>IF(OR(47864.17261="",54898.74064=""),"-",54898.74064/47864.17261*100)</f>
        <v>114.69693853755305</v>
      </c>
      <c r="D49" s="69">
        <f>IF(47864.17261="","-",47864.17261/4359960.60099*100)</f>
        <v>1.0978120444283752</v>
      </c>
      <c r="E49" s="69">
        <f>IF(54898.74064="","-",54898.74064/5244769.76452*100)</f>
        <v>1.04673309038999</v>
      </c>
      <c r="F49" s="69">
        <f>IF(OR(3628984.82886="",41290.77764="",47864.17261=""),"-",(47864.17261-41290.77764)/3628984.82886*100)</f>
        <v>0.1811359176187284</v>
      </c>
      <c r="G49" s="69">
        <f>IF(OR(4359960.60099="",54898.74064="",47864.17261=""),"-",(54898.74064-47864.17261)/4359960.60099*100)</f>
        <v>0.1613447614274929</v>
      </c>
    </row>
    <row r="50" spans="1:7" s="11" customFormat="1" ht="15.75">
      <c r="A50" s="22" t="s">
        <v>57</v>
      </c>
      <c r="B50" s="69">
        <f>IF(103479.65534="","-",103479.65534)</f>
        <v>103479.65534</v>
      </c>
      <c r="C50" s="69">
        <f>IF(OR(90364.00955="",103479.65534=""),"-",103479.65534/90364.00955*100)</f>
        <v>114.51423620456202</v>
      </c>
      <c r="D50" s="69">
        <f>IF(90364.00955="","-",90364.00955/4359960.60099*100)</f>
        <v>2.0725877552535996</v>
      </c>
      <c r="E50" s="69">
        <f>IF(103479.65534="","-",103479.65534/5244769.76452*100)</f>
        <v>1.973006633008426</v>
      </c>
      <c r="F50" s="69">
        <f>IF(OR(3628984.82886="",78728.39856="",90364.00955=""),"-",(90364.00955-78728.39856)/3628984.82886*100)</f>
        <v>0.3206299154922393</v>
      </c>
      <c r="G50" s="69">
        <f>IF(OR(4359960.60099="",103479.65534="",90364.00955=""),"-",(103479.65534-90364.00955)/4359960.60099*100)</f>
        <v>0.30082028234433755</v>
      </c>
    </row>
    <row r="51" spans="1:7" s="11" customFormat="1" ht="15.75">
      <c r="A51" s="22" t="s">
        <v>288</v>
      </c>
      <c r="B51" s="69">
        <f>IF(118688.04369="","-",118688.04369)</f>
        <v>118688.04369</v>
      </c>
      <c r="C51" s="69">
        <f>IF(OR(99164.06624="",118688.04369=""),"-",118688.04369/99164.06624*100)</f>
        <v>119.68856077638794</v>
      </c>
      <c r="D51" s="69">
        <f>IF(99164.06624="","-",99164.06624/4359960.60099*100)</f>
        <v>2.2744257417712257</v>
      </c>
      <c r="E51" s="69">
        <f>IF(118688.04369="","-",118688.04369/5244769.76452*100)</f>
        <v>2.2629791014451195</v>
      </c>
      <c r="F51" s="69">
        <f>IF(OR(3628984.82886="",86848.21826="",99164.06624=""),"-",(99164.06624-86848.21826)/3628984.82886*100)</f>
        <v>0.3393744686408313</v>
      </c>
      <c r="G51" s="69">
        <f>IF(OR(4359960.60099="",118688.04369="",99164.06624=""),"-",(118688.04369-99164.06624)/4359960.60099*100)</f>
        <v>0.4478016944824402</v>
      </c>
    </row>
    <row r="52" spans="1:7" s="11" customFormat="1" ht="25.5">
      <c r="A52" s="44" t="s">
        <v>310</v>
      </c>
      <c r="B52" s="68">
        <f>IF(1058782.3586="","-",1058782.3586)</f>
        <v>1058782.3586</v>
      </c>
      <c r="C52" s="68">
        <f>IF(906660.41189="","-",1058782.3586/906660.41189*100)</f>
        <v>116.77827163456828</v>
      </c>
      <c r="D52" s="68">
        <f>IF(906660.41189="","-",906660.41189/4359960.60099*100)</f>
        <v>20.795151490225116</v>
      </c>
      <c r="E52" s="68">
        <f>IF(1058782.3586="","-",1058782.3586/5244769.76452*100)</f>
        <v>20.187394416481112</v>
      </c>
      <c r="F52" s="68">
        <f>IF(3628984.82886="","-",(906660.41189-788188.20256)/3628984.82886*100)</f>
        <v>3.2646102124162515</v>
      </c>
      <c r="G52" s="68">
        <f>IF(4359960.60099="","-",(1058782.3586-906660.41189)/4359960.60099*100)</f>
        <v>3.4890670038499465</v>
      </c>
    </row>
    <row r="53" spans="1:7" s="11" customFormat="1" ht="15.75">
      <c r="A53" s="22" t="s">
        <v>289</v>
      </c>
      <c r="B53" s="69">
        <f>IF(51676.99307="","-",51676.99307)</f>
        <v>51676.99307</v>
      </c>
      <c r="C53" s="69">
        <f>IF(OR(41337.22026="",51676.99307=""),"-",51676.99307/41337.22026*100)</f>
        <v>125.01322717145857</v>
      </c>
      <c r="D53" s="69">
        <f>IF(41337.22026="","-",41337.22026/4359960.60099*100)</f>
        <v>0.9481099496773827</v>
      </c>
      <c r="E53" s="69">
        <f>IF(51676.99307="","-",51676.99307/5244769.76452*100)</f>
        <v>0.985305273447584</v>
      </c>
      <c r="F53" s="69">
        <f>IF(OR(3628984.82886="",36566.80759="",41337.22026=""),"-",(41337.22026-36566.80759)/3628984.82886*100)</f>
        <v>0.13145308936159347</v>
      </c>
      <c r="G53" s="69">
        <f>IF(OR(4359960.60099="",51676.99307="",41337.22026=""),"-",(51676.99307-41337.22026)/4359960.60099*100)</f>
        <v>0.23715289554800523</v>
      </c>
    </row>
    <row r="54" spans="1:7" s="11" customFormat="1" ht="15.75">
      <c r="A54" s="22" t="s">
        <v>60</v>
      </c>
      <c r="B54" s="69">
        <f>IF(63259.75538="","-",63259.75538)</f>
        <v>63259.75538</v>
      </c>
      <c r="C54" s="69">
        <f>IF(OR(53496.88307="",63259.75538=""),"-",63259.75538/53496.88307*100)</f>
        <v>118.24942267613126</v>
      </c>
      <c r="D54" s="69">
        <f>IF(53496.88307="","-",53496.88307/4359960.60099*100)</f>
        <v>1.2270038187467258</v>
      </c>
      <c r="E54" s="69">
        <f>IF(63259.75538="","-",63259.75538/5244769.76452*100)</f>
        <v>1.2061493300991357</v>
      </c>
      <c r="F54" s="69">
        <f>IF(OR(3628984.82886="",55671.44628="",53496.88307=""),"-",(53496.88307-55671.44628)/3628984.82886*100)</f>
        <v>-0.059922080486710244</v>
      </c>
      <c r="G54" s="69">
        <f>IF(OR(4359960.60099="",63259.75538="",53496.88307=""),"-",(63259.75538-53496.88307)/4359960.60099*100)</f>
        <v>0.22392111313536134</v>
      </c>
    </row>
    <row r="55" spans="1:7" s="11" customFormat="1" ht="15.75">
      <c r="A55" s="22" t="s">
        <v>61</v>
      </c>
      <c r="B55" s="69">
        <f>IF(81098.39144="","-",81098.39144)</f>
        <v>81098.39144</v>
      </c>
      <c r="C55" s="69">
        <f>IF(OR(65365.42343="",81098.39144=""),"-",81098.39144/65365.42343*100)</f>
        <v>124.06925127142867</v>
      </c>
      <c r="D55" s="69">
        <f>IF(65365.42343="","-",65365.42343/4359960.60099*100)</f>
        <v>1.4992205070650804</v>
      </c>
      <c r="E55" s="69">
        <f>IF(81098.39144="","-",81098.39144/5244769.76452*100)</f>
        <v>1.5462717160363686</v>
      </c>
      <c r="F55" s="69">
        <f>IF(OR(3628984.82886="",53041.41874="",65365.42343=""),"-",(65365.42343-53041.41874)/3628984.82886*100)</f>
        <v>0.3395992342539342</v>
      </c>
      <c r="G55" s="69">
        <f>IF(OR(4359960.60099="",81098.39144="",65365.42343=""),"-",(81098.39144-65365.42343)/4359960.60099*100)</f>
        <v>0.3608511509582811</v>
      </c>
    </row>
    <row r="56" spans="1:7" s="11" customFormat="1" ht="25.5">
      <c r="A56" s="22" t="s">
        <v>290</v>
      </c>
      <c r="B56" s="69">
        <f>IF(91178.83673="","-",91178.83673)</f>
        <v>91178.83673</v>
      </c>
      <c r="C56" s="69">
        <f>IF(OR(79823.27925="",91178.83673=""),"-",91178.83673/79823.27925*100)</f>
        <v>114.22587193447077</v>
      </c>
      <c r="D56" s="69">
        <f>IF(79823.27925="","-",79823.27925/4359960.60099*100)</f>
        <v>1.8308257013119529</v>
      </c>
      <c r="E56" s="69">
        <f>IF(91178.83673="","-",91178.83673/5244769.76452*100)</f>
        <v>1.738471674139249</v>
      </c>
      <c r="F56" s="69">
        <f>IF(OR(3628984.82886="",73330.97509="",79823.27925=""),"-",(79823.27925-73330.97509)/3628984.82886*100)</f>
        <v>0.17890138609478495</v>
      </c>
      <c r="G56" s="69">
        <f>IF(OR(4359960.60099="",91178.83673="",79823.27925=""),"-",(91178.83673-79823.27925)/4359960.60099*100)</f>
        <v>0.26045091961201494</v>
      </c>
    </row>
    <row r="57" spans="1:7" s="11" customFormat="1" ht="25.5">
      <c r="A57" s="22" t="s">
        <v>291</v>
      </c>
      <c r="B57" s="69">
        <f>IF(272835.43213="","-",272835.43213)</f>
        <v>272835.43213</v>
      </c>
      <c r="C57" s="69">
        <f>IF(OR(252951.60983="",272835.43213=""),"-",272835.43213/252951.60983*100)</f>
        <v>107.86072178523125</v>
      </c>
      <c r="D57" s="69">
        <f>IF(252951.60983="","-",252951.60983/4359960.60099*100)</f>
        <v>5.801694854136141</v>
      </c>
      <c r="E57" s="69">
        <f>IF(272835.43213="","-",272835.43213/5244769.76452*100)</f>
        <v>5.202047837746598</v>
      </c>
      <c r="F57" s="69">
        <f>IF(OR(3628984.82886="",229320.10625="",252951.60983=""),"-",(252951.60983-229320.10625)/3628984.82886*100)</f>
        <v>0.6511877203802896</v>
      </c>
      <c r="G57" s="69">
        <f>IF(OR(4359960.60099="",272835.43213="",252951.60983=""),"-",(272835.43213-252951.60983)/4359960.60099*100)</f>
        <v>0.45605509131172023</v>
      </c>
    </row>
    <row r="58" spans="1:7" s="11" customFormat="1" ht="15.75">
      <c r="A58" s="22" t="s">
        <v>62</v>
      </c>
      <c r="B58" s="69">
        <f>IF(119199.09646="","-",119199.09646)</f>
        <v>119199.09646</v>
      </c>
      <c r="C58" s="69">
        <f>IF(OR(107002.97816="",119199.09646=""),"-",119199.09646/107002.97816*100)</f>
        <v>111.39792416035685</v>
      </c>
      <c r="D58" s="69">
        <f>IF(107002.97816="","-",107002.97816/4359960.60099*100)</f>
        <v>2.4542189242651236</v>
      </c>
      <c r="E58" s="69">
        <f>IF(119199.09646="","-",119199.09646/5244769.76452*100)</f>
        <v>2.2727231472840272</v>
      </c>
      <c r="F58" s="69">
        <f>IF(OR(3628984.82886="",92914.10791="",107002.97816=""),"-",(107002.97816-92914.10791)/3628984.82886*100)</f>
        <v>0.38823172083708696</v>
      </c>
      <c r="G58" s="69">
        <f>IF(OR(4359960.60099="",119199.09646="",107002.97816=""),"-",(119199.09646-107002.97816)/4359960.60099*100)</f>
        <v>0.27973001171686446</v>
      </c>
    </row>
    <row r="59" spans="1:7" s="11" customFormat="1" ht="15.75">
      <c r="A59" s="22" t="s">
        <v>292</v>
      </c>
      <c r="B59" s="69">
        <f>IF(127213.71297="","-",127213.71297)</f>
        <v>127213.71297</v>
      </c>
      <c r="C59" s="69">
        <f>IF(OR(101806.49932="",127213.71297=""),"-",127213.71297/101806.49932*100)</f>
        <v>124.95637687151935</v>
      </c>
      <c r="D59" s="69">
        <f>IF(101806.49932="","-",101806.49932/4359960.60099*100)</f>
        <v>2.3350325527456186</v>
      </c>
      <c r="E59" s="69">
        <f>IF(127213.71297="","-",127213.71297/5244769.76452*100)</f>
        <v>2.4255347456923606</v>
      </c>
      <c r="F59" s="69">
        <f>IF(OR(3628984.82886="",85575.39527="",101806.49932=""),"-",(101806.49932-85575.39527)/3628984.82886*100)</f>
        <v>0.44726293482739105</v>
      </c>
      <c r="G59" s="69">
        <f>IF(OR(4359960.60099="",127213.71297="",101806.49932=""),"-",(127213.71297-101806.49932)/4359960.60099*100)</f>
        <v>0.5827395239358555</v>
      </c>
    </row>
    <row r="60" spans="1:7" s="11" customFormat="1" ht="15.75">
      <c r="A60" s="22" t="s">
        <v>63</v>
      </c>
      <c r="B60" s="69">
        <f>IF(99701.98322="","-",99701.98322)</f>
        <v>99701.98322</v>
      </c>
      <c r="C60" s="69">
        <f>IF(OR(77987.64983="",99701.98322=""),"-",99701.98322/77987.64983*100)</f>
        <v>127.84329754433377</v>
      </c>
      <c r="D60" s="69">
        <f>IF(77987.64983="","-",77987.64983/4359960.60099*100)</f>
        <v>1.788723728656897</v>
      </c>
      <c r="E60" s="69">
        <f>IF(99701.98322="","-",99701.98322/5244769.76452*100)</f>
        <v>1.900979217323655</v>
      </c>
      <c r="F60" s="69">
        <f>IF(OR(3628984.82886="",49843.38123="",77987.64983=""),"-",(77987.64983-49843.38123)/3628984.82886*100)</f>
        <v>0.7755410928196458</v>
      </c>
      <c r="G60" s="69">
        <f>IF(OR(4359960.60099="",99701.98322="",77987.64983=""),"-",(99701.98322-77987.64983)/4359960.60099*100)</f>
        <v>0.4980396700160411</v>
      </c>
    </row>
    <row r="61" spans="1:7" s="11" customFormat="1" ht="15.75">
      <c r="A61" s="22" t="s">
        <v>64</v>
      </c>
      <c r="B61" s="69">
        <f>IF(152618.1572="","-",152618.1572)</f>
        <v>152618.1572</v>
      </c>
      <c r="C61" s="69">
        <f>IF(OR(126888.86874="",152618.1572=""),"-",152618.1572/126888.86874*100)</f>
        <v>120.277025648893</v>
      </c>
      <c r="D61" s="69">
        <f>IF(126888.86874="","-",126888.86874/4359960.60099*100)</f>
        <v>2.9103214536201962</v>
      </c>
      <c r="E61" s="69">
        <f>IF(152618.1572="","-",152618.1572/5244769.76452*100)</f>
        <v>2.909911474712133</v>
      </c>
      <c r="F61" s="69">
        <f>IF(OR(3628984.82886="",111924.5642="",126888.86874=""),"-",(126888.86874-111924.5642)/3628984.82886*100)</f>
        <v>0.41235511432823657</v>
      </c>
      <c r="G61" s="69">
        <f>IF(OR(4359960.60099="",152618.1572="",126888.86874=""),"-",(152618.1572-126888.86874)/4359960.60099*100)</f>
        <v>0.5901266276158029</v>
      </c>
    </row>
    <row r="62" spans="1:7" s="11" customFormat="1" ht="15.75" customHeight="1">
      <c r="A62" s="44" t="s">
        <v>293</v>
      </c>
      <c r="B62" s="68">
        <f>IF(1262920.64046="","-",1262920.64046)</f>
        <v>1262920.64046</v>
      </c>
      <c r="C62" s="68">
        <f>IF(970573.73305="","-",1262920.64046/970573.73305*100)</f>
        <v>130.12104052015792</v>
      </c>
      <c r="D62" s="68">
        <f>IF(970573.73305="","-",970573.73305/4359960.60099*100)</f>
        <v>22.261066598391174</v>
      </c>
      <c r="E62" s="68">
        <f>IF(1262920.64046="","-",1262920.64046/5244769.76452*100)</f>
        <v>24.079620215237078</v>
      </c>
      <c r="F62" s="68">
        <f>IF(3628984.82886="","-",(970573.73305-778863.20949)/3628984.82886*100)</f>
        <v>5.282759024931594</v>
      </c>
      <c r="G62" s="68">
        <f>IF(4359960.60099="","-",(1262920.64046-970573.73305)/4359960.60099*100)</f>
        <v>6.705264890320746</v>
      </c>
    </row>
    <row r="63" spans="1:7" s="11" customFormat="1" ht="25.5">
      <c r="A63" s="22" t="s">
        <v>294</v>
      </c>
      <c r="B63" s="69">
        <f>IF(21976.70302="","-",21976.70302)</f>
        <v>21976.70302</v>
      </c>
      <c r="C63" s="69">
        <f>IF(OR(16078.43238="",21976.70302=""),"-",21976.70302/16078.43238*100)</f>
        <v>136.6843638770212</v>
      </c>
      <c r="D63" s="69">
        <f>IF(16078.43238="","-",16078.43238/4359960.60099*100)</f>
        <v>0.3687747172841225</v>
      </c>
      <c r="E63" s="69">
        <f>IF(21976.70302="","-",21976.70302/5244769.76452*100)</f>
        <v>0.4190213108813424</v>
      </c>
      <c r="F63" s="69">
        <f>IF(OR(3628984.82886="",10946.98442="",16078.43238=""),"-",(16078.43238-10946.98442)/3628984.82886*100)</f>
        <v>0.14140174737550446</v>
      </c>
      <c r="G63" s="69">
        <f>IF(OR(4359960.60099="",21976.70302="",16078.43238=""),"-",(21976.70302-16078.43238)/4359960.60099*100)</f>
        <v>0.13528265917496368</v>
      </c>
    </row>
    <row r="64" spans="1:7" s="11" customFormat="1" ht="25.5">
      <c r="A64" s="22" t="s">
        <v>295</v>
      </c>
      <c r="B64" s="69">
        <f>IF(194806.72588="","-",194806.72588)</f>
        <v>194806.72588</v>
      </c>
      <c r="C64" s="69">
        <f>IF(OR(143339.48031="",194806.72588=""),"-",194806.72588/143339.48031*100)</f>
        <v>135.9058407765201</v>
      </c>
      <c r="D64" s="69">
        <f>IF(143339.48031="","-",143339.48031/4359960.60099*100)</f>
        <v>3.287632467996441</v>
      </c>
      <c r="E64" s="69">
        <f>IF(194806.72588="","-",194806.72588/5244769.76452*100)</f>
        <v>3.7143046239672004</v>
      </c>
      <c r="F64" s="69">
        <f>IF(OR(3628984.82886="",116690.46282="",143339.48031=""),"-",(143339.48031-116690.46282)/3628984.82886*100)</f>
        <v>0.7343380792906613</v>
      </c>
      <c r="G64" s="69">
        <f>IF(OR(4359960.60099="",194806.72588="",143339.48031=""),"-",(194806.72588-143339.48031)/4359960.60099*100)</f>
        <v>1.1804520792759807</v>
      </c>
    </row>
    <row r="65" spans="1:7" s="11" customFormat="1" ht="25.5">
      <c r="A65" s="22" t="s">
        <v>296</v>
      </c>
      <c r="B65" s="69">
        <f>IF(13107.59757="","-",13107.59757)</f>
        <v>13107.59757</v>
      </c>
      <c r="C65" s="69">
        <f>IF(OR(9286.81004="",13107.59757=""),"-",13107.59757/9286.81004*100)</f>
        <v>141.14208768719467</v>
      </c>
      <c r="D65" s="69">
        <f>IF(9286.81004="","-",9286.81004/4359960.60099*100)</f>
        <v>0.2130021550628526</v>
      </c>
      <c r="E65" s="69">
        <f>IF(13107.59757="","-",13107.59757/5244769.76452*100)</f>
        <v>0.24991750178760427</v>
      </c>
      <c r="F65" s="69">
        <f>IF(OR(3628984.82886="",6054.24868="",9286.81004=""),"-",(9286.81004-6054.24868)/3628984.82886*100)</f>
        <v>0.08907618831284753</v>
      </c>
      <c r="G65" s="69">
        <f>IF(OR(4359960.60099="",13107.59757="",9286.81004=""),"-",(13107.59757-9286.81004)/4359960.60099*100)</f>
        <v>0.0876335334115732</v>
      </c>
    </row>
    <row r="66" spans="1:7" s="11" customFormat="1" ht="38.25">
      <c r="A66" s="22" t="s">
        <v>297</v>
      </c>
      <c r="B66" s="69">
        <f>IF(160034.50924="","-",160034.50924)</f>
        <v>160034.50924</v>
      </c>
      <c r="C66" s="69">
        <f>IF(OR(135173.01023="",160034.50924=""),"-",160034.50924/135173.01023*100)</f>
        <v>118.39235433737664</v>
      </c>
      <c r="D66" s="69">
        <f>IF(135173.01023="","-",135173.01023/4359960.60099*100)</f>
        <v>3.100326415777858</v>
      </c>
      <c r="E66" s="69">
        <f>IF(160034.50924="","-",160034.50924/5244769.76452*100)</f>
        <v>3.051316195471668</v>
      </c>
      <c r="F66" s="69">
        <f>IF(OR(3628984.82886="",105508.0246="",135173.01023=""),"-",(135173.01023-105508.0246)/3628984.82886*100)</f>
        <v>0.8174458430932292</v>
      </c>
      <c r="G66" s="69">
        <f>IF(OR(4359960.60099="",160034.50924="",135173.01023=""),"-",(160034.50924-135173.01023)/4359960.60099*100)</f>
        <v>0.570223020005153</v>
      </c>
    </row>
    <row r="67" spans="1:7" s="11" customFormat="1" ht="25.5">
      <c r="A67" s="22" t="s">
        <v>298</v>
      </c>
      <c r="B67" s="69">
        <f>IF(50453.21161="","-",50453.21161)</f>
        <v>50453.21161</v>
      </c>
      <c r="C67" s="69">
        <f>IF(OR(40399.76903="",50453.21161=""),"-",50453.21161/40399.76903*100)</f>
        <v>124.88490113033697</v>
      </c>
      <c r="D67" s="69">
        <f>IF(40399.76903="","-",40399.76903/4359960.60099*100)</f>
        <v>0.9266085803809002</v>
      </c>
      <c r="E67" s="69">
        <f>IF(50453.21161="","-",50453.21161/5244769.76452*100)</f>
        <v>0.9619719048738351</v>
      </c>
      <c r="F67" s="69">
        <f>IF(OR(3628984.82886="",30709.32064="",40399.76903=""),"-",(40399.76903-30709.32064)/3628984.82886*100)</f>
        <v>0.2670291788749124</v>
      </c>
      <c r="G67" s="69">
        <f>IF(OR(4359960.60099="",50453.21161="",40399.76903=""),"-",(50453.21161-40399.76903)/4359960.60099*100)</f>
        <v>0.23058562909300598</v>
      </c>
    </row>
    <row r="68" spans="1:7" s="11" customFormat="1" ht="38.25">
      <c r="A68" s="22" t="s">
        <v>299</v>
      </c>
      <c r="B68" s="69">
        <f>IF(139934.96142="","-",139934.96142)</f>
        <v>139934.96142</v>
      </c>
      <c r="C68" s="69">
        <f>IF(OR(104994.19155="",139934.96142=""),"-",139934.96142/104994.19155*100)</f>
        <v>133.27876461943194</v>
      </c>
      <c r="D68" s="69">
        <f>IF(104994.19155="","-",104994.19155/4359960.60099*100)</f>
        <v>2.4081454205379598</v>
      </c>
      <c r="E68" s="69">
        <f>IF(139934.96142="","-",139934.96142/5244769.76452*100)</f>
        <v>2.6680858779852814</v>
      </c>
      <c r="F68" s="69">
        <f>IF(OR(3628984.82886="",74396.17419="",104994.19155=""),"-",(104994.19155-74396.17419)/3628984.82886*100)</f>
        <v>0.8431563867852262</v>
      </c>
      <c r="G68" s="69">
        <f>IF(OR(4359960.60099="",139934.96142="",104994.19155=""),"-",(139934.96142-104994.19155)/4359960.60099*100)</f>
        <v>0.8014010461944572</v>
      </c>
    </row>
    <row r="69" spans="1:7" s="11" customFormat="1" ht="39" customHeight="1">
      <c r="A69" s="22" t="s">
        <v>300</v>
      </c>
      <c r="B69" s="69">
        <f>IF(396269.06121="","-",396269.06121)</f>
        <v>396269.06121</v>
      </c>
      <c r="C69" s="69">
        <f>IF(OR(290957.06022="",396269.06121=""),"-",396269.06121/290957.06022*100)</f>
        <v>136.19503197838574</v>
      </c>
      <c r="D69" s="69">
        <f>IF(290957.06022="","-",290957.06022/4359960.60099*100)</f>
        <v>6.673387373132074</v>
      </c>
      <c r="E69" s="69">
        <f>IF(396269.06121="","-",396269.06121/5244769.76452*100)</f>
        <v>7.5555091834668255</v>
      </c>
      <c r="F69" s="69">
        <f>IF(OR(3628984.82886="",244071.36453="",290957.06022=""),"-",(290957.06022-244071.36453)/3628984.82886*100)</f>
        <v>1.2919782777027633</v>
      </c>
      <c r="G69" s="69">
        <f>IF(OR(4359960.60099="",396269.06121="",290957.06022=""),"-",(396269.06121-290957.06022)/4359960.60099*100)</f>
        <v>2.41543469374671</v>
      </c>
    </row>
    <row r="70" spans="1:7" s="11" customFormat="1" ht="25.5">
      <c r="A70" s="22" t="s">
        <v>72</v>
      </c>
      <c r="B70" s="69">
        <f>IF(282432.59818="","-",282432.59818)</f>
        <v>282432.59818</v>
      </c>
      <c r="C70" s="69">
        <f>IF(OR(228011.60704="",282432.59818=""),"-",282432.59818/228011.60704*100)</f>
        <v>123.86764070762982</v>
      </c>
      <c r="D70" s="69">
        <f>IF(228011.60704="","-",228011.60704/4359960.60099*100)</f>
        <v>5.229671272447422</v>
      </c>
      <c r="E70" s="69">
        <f>IF(282432.59818="","-",282432.59818/5244769.76452*100)</f>
        <v>5.38503329718322</v>
      </c>
      <c r="F70" s="69">
        <f>IF(OR(3628984.82886="",189449.05686="",228011.60704=""),"-",(228011.60704-189449.05686)/3628984.82886*100)</f>
        <v>1.0626263817177195</v>
      </c>
      <c r="G70" s="69">
        <f>IF(OR(4359960.60099="",282432.59818="",228011.60704=""),"-",(282432.59818-228011.60704)/4359960.60099*100)</f>
        <v>1.248199149497883</v>
      </c>
    </row>
    <row r="71" spans="1:7" s="11" customFormat="1" ht="15.75">
      <c r="A71" s="22" t="s">
        <v>73</v>
      </c>
      <c r="B71" s="69">
        <f>IF(3905.27233="","-",3905.27233)</f>
        <v>3905.27233</v>
      </c>
      <c r="C71" s="69" t="s">
        <v>317</v>
      </c>
      <c r="D71" s="69">
        <f>IF(2333.37225="","-",2333.37225/4359960.60099*100)</f>
        <v>0.05351819577154366</v>
      </c>
      <c r="E71" s="69">
        <f>IF(3905.27233="","-",3905.27233/5244769.76452*100)</f>
        <v>0.0744603196201008</v>
      </c>
      <c r="F71" s="69">
        <f>IF(OR(3628984.82886="",1037.57275="",2333.37225=""),"-",(2333.37225-1037.57275)/3628984.82886*100)</f>
        <v>0.03570694177873042</v>
      </c>
      <c r="G71" s="69">
        <f>IF(OR(4359960.60099="",3905.27233="",2333.37225=""),"-",(3905.27233-2333.37225)/4359960.60099*100)</f>
        <v>0.036053079921022094</v>
      </c>
    </row>
    <row r="72" spans="1:7" s="11" customFormat="1" ht="15.75">
      <c r="A72" s="44" t="s">
        <v>74</v>
      </c>
      <c r="B72" s="68">
        <f>IF(538185.99675="","-",538185.99675)</f>
        <v>538185.99675</v>
      </c>
      <c r="C72" s="68">
        <f>IF(466277.24889="","-",538185.99675/466277.24889*100)</f>
        <v>115.4218864487133</v>
      </c>
      <c r="D72" s="68">
        <f>IF(466277.24889="","-",466277.24889/4359960.60099*100)</f>
        <v>10.694528954782852</v>
      </c>
      <c r="E72" s="68">
        <f>IF(538185.99675="","-",538185.99675/5244769.76452*100)</f>
        <v>10.26138459672223</v>
      </c>
      <c r="F72" s="68">
        <f>IF(3628984.82886="","-",(466277.24889-358498.9952)/3628984.82886*100)</f>
        <v>2.969928472361709</v>
      </c>
      <c r="G72" s="68">
        <f>IF(4359960.60099="","-",(538185.99675-466277.24889)/4359960.60099*100)</f>
        <v>1.6492981116313759</v>
      </c>
    </row>
    <row r="73" spans="1:7" s="11" customFormat="1" ht="38.25">
      <c r="A73" s="22" t="s">
        <v>301</v>
      </c>
      <c r="B73" s="69">
        <f>IF(40973.25028="","-",40973.25028)</f>
        <v>40973.25028</v>
      </c>
      <c r="C73" s="69">
        <f>IF(OR(37105.32243="",40973.25028=""),"-",40973.25028/37105.32243*100)</f>
        <v>110.42418606467288</v>
      </c>
      <c r="D73" s="69">
        <f>IF(37105.32243="","-",37105.32243/4359960.60099*100)</f>
        <v>0.8510471957378384</v>
      </c>
      <c r="E73" s="69">
        <f>IF(40973.25028="","-",40973.25028/5244769.76452*100)</f>
        <v>0.7812211425785983</v>
      </c>
      <c r="F73" s="69">
        <f>IF(OR(3628984.82886="",30483.13151="",37105.32243=""),"-",(37105.32243-30483.13151)/3628984.82886*100)</f>
        <v>0.1824805347031522</v>
      </c>
      <c r="G73" s="69">
        <f>IF(OR(4359960.60099="",40973.25028="",37105.32243=""),"-",(40973.25028-37105.32243)/4359960.60099*100)</f>
        <v>0.08871474318189307</v>
      </c>
    </row>
    <row r="74" spans="1:7" s="11" customFormat="1" ht="15.75">
      <c r="A74" s="22" t="s">
        <v>302</v>
      </c>
      <c r="B74" s="69">
        <f>IF(48163.77042="","-",48163.77042)</f>
        <v>48163.77042</v>
      </c>
      <c r="C74" s="69">
        <f>IF(OR(41734.92566="",48163.77042=""),"-",48163.77042/41734.92566*100)</f>
        <v>115.40399235971708</v>
      </c>
      <c r="D74" s="69">
        <f>IF(41734.92566="","-",41734.92566/4359960.60099*100)</f>
        <v>0.957231715592187</v>
      </c>
      <c r="E74" s="69">
        <f>IF(48163.77042="","-",48163.77042/5244769.76452*100)</f>
        <v>0.9183200136985983</v>
      </c>
      <c r="F74" s="69">
        <f>IF(OR(3628984.82886="",37613.76067="",41734.92566=""),"-",(41734.92566-37613.76067)/3628984.82886*100)</f>
        <v>0.11356247502678622</v>
      </c>
      <c r="G74" s="69">
        <f>IF(OR(4359960.60099="",48163.77042="",41734.92566=""),"-",(48163.77042-41734.92566)/4359960.60099*100)</f>
        <v>0.14745190033460914</v>
      </c>
    </row>
    <row r="75" spans="1:7" s="11" customFormat="1" ht="15.75">
      <c r="A75" s="22" t="s">
        <v>303</v>
      </c>
      <c r="B75" s="69">
        <f>IF(7572.06001="","-",7572.06001)</f>
        <v>7572.06001</v>
      </c>
      <c r="C75" s="69">
        <f>IF(OR(12563.85033="",7572.06001=""),"-",7572.06001/12563.85033*100)</f>
        <v>60.26862634553527</v>
      </c>
      <c r="D75" s="69">
        <f>IF(12563.85033="","-",12563.85033/4359960.60099*100)</f>
        <v>0.2881643088046982</v>
      </c>
      <c r="E75" s="69">
        <f>IF(7572.06001="","-",7572.06001/5244769.76452*100)</f>
        <v>0.14437354450187184</v>
      </c>
      <c r="F75" s="69">
        <f>IF(OR(3628984.82886="",4222.24004="",12563.85033=""),"-",(12563.85033-4222.24004)/3628984.82886*100)</f>
        <v>0.22986070990603766</v>
      </c>
      <c r="G75" s="69">
        <f>IF(OR(4359960.60099="",7572.06001="",12563.85033=""),"-",(7572.06001-12563.85033)/4359960.60099*100)</f>
        <v>-0.11449163827000022</v>
      </c>
    </row>
    <row r="76" spans="1:7" s="11" customFormat="1" ht="15.75">
      <c r="A76" s="22" t="s">
        <v>304</v>
      </c>
      <c r="B76" s="69">
        <f>IF(132305.35751="","-",132305.35751)</f>
        <v>132305.35751</v>
      </c>
      <c r="C76" s="69">
        <f>IF(OR(119567.96172="",132305.35751=""),"-",132305.35751/119567.96172*100)</f>
        <v>110.65285015046756</v>
      </c>
      <c r="D76" s="69">
        <f>IF(119567.96172="","-",119567.96172/4359960.60099*100)</f>
        <v>2.742409224818457</v>
      </c>
      <c r="E76" s="69">
        <f>IF(132305.35751="","-",132305.35751/5244769.76452*100)</f>
        <v>2.522615166160846</v>
      </c>
      <c r="F76" s="69">
        <f>IF(OR(3628984.82886="",92075.52764="",119567.96172=""),"-",(119567.96172-92075.52764)/3628984.82886*100)</f>
        <v>0.7575791957398844</v>
      </c>
      <c r="G76" s="69">
        <f>IF(OR(4359960.60099="",132305.35751="",119567.96172=""),"-",(132305.35751-119567.96172)/4359960.60099*100)</f>
        <v>0.2921447452325088</v>
      </c>
    </row>
    <row r="77" spans="1:7" s="11" customFormat="1" ht="15.75">
      <c r="A77" s="22" t="s">
        <v>305</v>
      </c>
      <c r="B77" s="69">
        <f>IF(38629.85372="","-",38629.85372)</f>
        <v>38629.85372</v>
      </c>
      <c r="C77" s="69">
        <f>IF(OR(38470.38436="",38629.85372=""),"-",38629.85372/38470.38436*100)</f>
        <v>100.41452499800292</v>
      </c>
      <c r="D77" s="69">
        <f>IF(38470.38436="","-",38470.38436/4359960.60099*100)</f>
        <v>0.8823562385234552</v>
      </c>
      <c r="E77" s="69">
        <f>IF(38629.85372="","-",38629.85372/5244769.76452*100)</f>
        <v>0.7365405051967119</v>
      </c>
      <c r="F77" s="69">
        <f>IF(OR(3628984.82886="",23354.22877="",38470.38436=""),"-",(38470.38436-23354.22877)/3628984.82886*100)</f>
        <v>0.41653950906012877</v>
      </c>
      <c r="G77" s="69">
        <f>IF(OR(4359960.60099="",38629.85372="",38470.38436=""),"-",(38629.85372-38470.38436)/4359960.60099*100)</f>
        <v>0.003657587180117927</v>
      </c>
    </row>
    <row r="78" spans="1:7" ht="25.5">
      <c r="A78" s="22" t="s">
        <v>306</v>
      </c>
      <c r="B78" s="69">
        <f>IF(55045.7905="","-",55045.7905)</f>
        <v>55045.7905</v>
      </c>
      <c r="C78" s="69">
        <f>IF(OR(44661.64731="",55045.7905=""),"-",55045.7905/44661.64731*100)</f>
        <v>123.25069453422273</v>
      </c>
      <c r="D78" s="69">
        <f>IF(44661.64731="","-",44661.64731/4359960.60099*100)</f>
        <v>1.0243589655342034</v>
      </c>
      <c r="E78" s="69">
        <f>IF(55045.7905="","-",55045.7905/5244769.76452*100)</f>
        <v>1.0495368332920096</v>
      </c>
      <c r="F78" s="69">
        <f>IF(OR(3628984.82886="",34483.17691="",44661.64731=""),"-",(44661.64731-34483.17691)/3628984.82886*100)</f>
        <v>0.2804770722394405</v>
      </c>
      <c r="G78" s="69">
        <f>IF(OR(4359960.60099="",55045.7905="",44661.64731=""),"-",(55045.7905-44661.64731)/4359960.60099*100)</f>
        <v>0.2381705740102815</v>
      </c>
    </row>
    <row r="79" spans="1:7" ht="25.5">
      <c r="A79" s="22" t="s">
        <v>307</v>
      </c>
      <c r="B79" s="69">
        <f>IF(11535.48845="","-",11535.48845)</f>
        <v>11535.48845</v>
      </c>
      <c r="C79" s="69">
        <f>IF(OR(9315.83667="",11535.48845=""),"-",11535.48845/9315.83667*100)</f>
        <v>123.82664980750462</v>
      </c>
      <c r="D79" s="69">
        <f>IF(9315.83667="","-",9315.83667/4359960.60099*100)</f>
        <v>0.2136679094734179</v>
      </c>
      <c r="E79" s="69">
        <f>IF(11535.48845="","-",11535.48845/5244769.76452*100)</f>
        <v>0.21994270421622075</v>
      </c>
      <c r="F79" s="69">
        <f>IF(OR(3628984.82886="",6772.4345="",9315.83667=""),"-",(9315.83667-6772.4345)/3628984.82886*100)</f>
        <v>0.07008577577324782</v>
      </c>
      <c r="G79" s="69">
        <f>IF(OR(4359960.60099="",11535.48845="",9315.83667=""),"-",(11535.48845-9315.83667)/4359960.60099*100)</f>
        <v>0.050909904541247275</v>
      </c>
    </row>
    <row r="80" spans="1:7" s="1" customFormat="1" ht="15.75">
      <c r="A80" s="22" t="s">
        <v>80</v>
      </c>
      <c r="B80" s="69">
        <f>IF(203960.42586="","-",203960.42586)</f>
        <v>203960.42586</v>
      </c>
      <c r="C80" s="69">
        <f>IF(OR(162857.32041="",203960.42586=""),"-",203960.42586/162857.32041*100)</f>
        <v>125.23872144434236</v>
      </c>
      <c r="D80" s="69">
        <f>IF(162857.32041="","-",162857.32041/4359960.60099*100)</f>
        <v>3.7352933962985944</v>
      </c>
      <c r="E80" s="69">
        <f>IF(203960.42586="","-",203960.42586/5244769.76452*100)</f>
        <v>3.888834687077373</v>
      </c>
      <c r="F80" s="69">
        <f>IF(OR(3628984.82886="",129494.49516="",162857.32041=""),"-",(162857.32041-129494.49516)/3628984.82886*100)</f>
        <v>0.9193431999130317</v>
      </c>
      <c r="G80" s="69">
        <f>IF(OR(4359960.60099="",203960.42586="",162857.32041=""),"-",(203960.42586-162857.32041)/4359960.60099*100)</f>
        <v>0.9427402954207171</v>
      </c>
    </row>
    <row r="81" spans="1:7" s="1" customFormat="1" ht="25.5">
      <c r="A81" s="39" t="s">
        <v>308</v>
      </c>
      <c r="B81" s="76">
        <f>IF(500.4437="","-",500.4437)</f>
        <v>500.4437</v>
      </c>
      <c r="C81" s="76">
        <f>IF(722.07448="","-",500.4437/722.07448*100)</f>
        <v>69.30638235546006</v>
      </c>
      <c r="D81" s="76">
        <f>IF(722.07448="","-",722.07448/4359960.60099*100)</f>
        <v>0.01656149094182276</v>
      </c>
      <c r="E81" s="76">
        <f>IF(500.4437="","-",500.4437/5244769.76452*100)</f>
        <v>0.00954176679757077</v>
      </c>
      <c r="F81" s="76">
        <f>IF(3628984.82886="","-",(722.07448-3578.90614)/3628984.82886*100)</f>
        <v>-0.07872261237579871</v>
      </c>
      <c r="G81" s="76">
        <f>IF(4359960.60099="","-",(500.4437-722.07448)/4359960.60099*100)</f>
        <v>-0.005083320705918194</v>
      </c>
    </row>
    <row r="82" ht="15.75">
      <c r="A82" s="63" t="s">
        <v>19</v>
      </c>
    </row>
  </sheetData>
  <sheetProtection/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85"/>
  <sheetViews>
    <sheetView zoomScalePageLayoutView="0" workbookViewId="0" topLeftCell="A1">
      <selection activeCell="A20" sqref="A20"/>
    </sheetView>
  </sheetViews>
  <sheetFormatPr defaultColWidth="9.00390625" defaultRowHeight="15.75"/>
  <cols>
    <col min="1" max="1" width="42.125" style="0" customWidth="1"/>
    <col min="2" max="2" width="13.875" style="0" customWidth="1"/>
    <col min="3" max="3" width="13.50390625" style="0" customWidth="1"/>
    <col min="4" max="4" width="16.125" style="0" customWidth="1"/>
    <col min="5" max="5" width="10.375" style="0" customWidth="1"/>
    <col min="6" max="6" width="12.125" style="0" bestFit="1" customWidth="1"/>
  </cols>
  <sheetData>
    <row r="1" spans="1:4" ht="15.75">
      <c r="A1" s="109" t="s">
        <v>188</v>
      </c>
      <c r="B1" s="109"/>
      <c r="C1" s="109"/>
      <c r="D1" s="109"/>
    </row>
    <row r="2" spans="1:4" ht="15.75">
      <c r="A2" s="109" t="s">
        <v>22</v>
      </c>
      <c r="B2" s="109"/>
      <c r="C2" s="109"/>
      <c r="D2" s="109"/>
    </row>
    <row r="3" ht="15.75">
      <c r="A3" s="5"/>
    </row>
    <row r="4" spans="1:7" ht="26.25" customHeight="1">
      <c r="A4" s="110"/>
      <c r="B4" s="114" t="s">
        <v>247</v>
      </c>
      <c r="C4" s="115"/>
      <c r="D4" s="112" t="s">
        <v>248</v>
      </c>
      <c r="E4" s="1"/>
      <c r="F4" s="1"/>
      <c r="G4" s="1"/>
    </row>
    <row r="5" spans="1:7" ht="26.25" customHeight="1">
      <c r="A5" s="111"/>
      <c r="B5" s="26">
        <v>2017</v>
      </c>
      <c r="C5" s="25">
        <v>2018</v>
      </c>
      <c r="D5" s="113"/>
      <c r="E5" s="1"/>
      <c r="F5" s="1"/>
      <c r="G5" s="1"/>
    </row>
    <row r="6" spans="1:7" ht="16.5" customHeight="1">
      <c r="A6" s="42" t="s">
        <v>206</v>
      </c>
      <c r="B6" s="74">
        <f>IF(-2168073.2158="","-",-2168073.2158)</f>
        <v>-2168073.2158</v>
      </c>
      <c r="C6" s="74">
        <f>IF(-2756895.8907="","-",-2756895.8907)</f>
        <v>-2756895.8907</v>
      </c>
      <c r="D6" s="74">
        <f>IF(-2168073.2158="","-",-2756895.8907/-2168073.2158*100)</f>
        <v>127.15880029368518</v>
      </c>
      <c r="E6" s="34"/>
      <c r="F6" s="34"/>
      <c r="G6" s="34"/>
    </row>
    <row r="7" spans="1:4" ht="15.75">
      <c r="A7" s="7" t="s">
        <v>193</v>
      </c>
      <c r="B7" s="60"/>
      <c r="C7" s="60"/>
      <c r="D7" s="60"/>
    </row>
    <row r="8" spans="1:4" ht="15.75">
      <c r="A8" s="44" t="s">
        <v>23</v>
      </c>
      <c r="B8" s="68">
        <f>IF(92253.84332="","-",92253.84332)</f>
        <v>92253.84332</v>
      </c>
      <c r="C8" s="68">
        <f>IF(55748.19842="","-",55748.19842)</f>
        <v>55748.19842</v>
      </c>
      <c r="D8" s="68">
        <f>IF(92253.84332="","-",55748.19842/92253.84332*100)</f>
        <v>60.42913380489393</v>
      </c>
    </row>
    <row r="9" spans="1:4" ht="15.75">
      <c r="A9" s="22" t="s">
        <v>24</v>
      </c>
      <c r="B9" s="69">
        <f>IF(OR(1119.92213="",1119.92213=0),"-",1119.92213)</f>
        <v>1119.92213</v>
      </c>
      <c r="C9" s="69">
        <f>IF(OR(7211.69692="",7211.69692=0),"-",7211.69692)</f>
        <v>7211.69692</v>
      </c>
      <c r="D9" s="69" t="s">
        <v>320</v>
      </c>
    </row>
    <row r="10" spans="1:4" ht="15.75">
      <c r="A10" s="22" t="s">
        <v>25</v>
      </c>
      <c r="B10" s="69">
        <f>IF(OR(-23667.53507="",-23667.53507=0),"-",-23667.53507)</f>
        <v>-23667.53507</v>
      </c>
      <c r="C10" s="69">
        <f>IF(OR(-29123.82354="",-29123.82354=0),"-",-29123.82354)</f>
        <v>-29123.82354</v>
      </c>
      <c r="D10" s="69">
        <f>IF(OR(-23667.53507="",-29123.82354="",-23667.53507=0,-29123.82354=0),"-",-29123.82354/-23667.53507*100)</f>
        <v>123.05389409527554</v>
      </c>
    </row>
    <row r="11" spans="1:4" ht="15.75">
      <c r="A11" s="22" t="s">
        <v>26</v>
      </c>
      <c r="B11" s="69">
        <f>IF(OR(-26944.02527="",-26944.02527=0),"-",-26944.02527)</f>
        <v>-26944.02527</v>
      </c>
      <c r="C11" s="69">
        <f>IF(OR(-32786.91304="",-32786.91304=0),"-",-32786.91304)</f>
        <v>-32786.91304</v>
      </c>
      <c r="D11" s="69">
        <f>IF(OR(-26944.02527="",-32786.91304="",-26944.02527=0,-32786.91304=0),"-",-32786.91304/-26944.02527*100)</f>
        <v>121.68528165873414</v>
      </c>
    </row>
    <row r="12" spans="1:4" ht="15.75">
      <c r="A12" s="22" t="s">
        <v>27</v>
      </c>
      <c r="B12" s="69">
        <f>IF(OR(-41627.70598="",-41627.70598=0),"-",-41627.70598)</f>
        <v>-41627.70598</v>
      </c>
      <c r="C12" s="69">
        <f>IF(OR(-46115.12704="",-46115.12704=0),"-",-46115.12704)</f>
        <v>-46115.12704</v>
      </c>
      <c r="D12" s="69">
        <f>IF(OR(-41627.70598="",-46115.12704="",-41627.70598=0,-46115.12704=0),"-",-46115.12704/-41627.70598*100)</f>
        <v>110.77989035032576</v>
      </c>
    </row>
    <row r="13" spans="1:4" ht="15.75">
      <c r="A13" s="22" t="s">
        <v>28</v>
      </c>
      <c r="B13" s="69">
        <f>IF(OR(122266.34466="",122266.34466=0),"-",122266.34466)</f>
        <v>122266.34466</v>
      </c>
      <c r="C13" s="69">
        <f>IF(OR(146997.5033="",146997.5033=0),"-",146997.5033)</f>
        <v>146997.5033</v>
      </c>
      <c r="D13" s="69">
        <f>IF(OR(122266.34466="",146997.5033="",122266.34466=0,146997.5033=0),"-",146997.5033/122266.34466*100)</f>
        <v>120.22728225724974</v>
      </c>
    </row>
    <row r="14" spans="1:4" ht="15.75">
      <c r="A14" s="22" t="s">
        <v>29</v>
      </c>
      <c r="B14" s="69">
        <f>IF(OR(168632.8394="",168632.8394=0),"-",168632.8394)</f>
        <v>168632.8394</v>
      </c>
      <c r="C14" s="69">
        <f>IF(OR(111125.98426="",111125.98426=0),"-",111125.98426)</f>
        <v>111125.98426</v>
      </c>
      <c r="D14" s="69">
        <f>IF(OR(168632.8394="",111125.98426="",168632.8394=0,111125.98426=0),"-",111125.98426/168632.8394*100)</f>
        <v>65.8981872424073</v>
      </c>
    </row>
    <row r="15" spans="1:4" ht="15.75">
      <c r="A15" s="22" t="s">
        <v>30</v>
      </c>
      <c r="B15" s="69">
        <f>IF(OR(6444.93154="",6444.93154=0),"-",6444.93154)</f>
        <v>6444.93154</v>
      </c>
      <c r="C15" s="69">
        <f>IF(OR(14200.59902="",14200.59902=0),"-",14200.59902)</f>
        <v>14200.59902</v>
      </c>
      <c r="D15" s="69" t="s">
        <v>321</v>
      </c>
    </row>
    <row r="16" spans="1:4" ht="15.75">
      <c r="A16" s="22" t="s">
        <v>31</v>
      </c>
      <c r="B16" s="69">
        <f>IF(OR(-37368.11151="",-37368.11151=0),"-",-37368.11151)</f>
        <v>-37368.11151</v>
      </c>
      <c r="C16" s="69">
        <f>IF(OR(-39185.95797="",-39185.95797=0),"-",-39185.95797)</f>
        <v>-39185.95797</v>
      </c>
      <c r="D16" s="69">
        <f>IF(OR(-37368.11151="",-39185.95797="",-37368.11151=0,-39185.95797=0),"-",-39185.95797/-37368.11151*100)</f>
        <v>104.86469983775748</v>
      </c>
    </row>
    <row r="17" spans="1:4" ht="15.75">
      <c r="A17" s="22" t="s">
        <v>32</v>
      </c>
      <c r="B17" s="69">
        <f>IF(OR(-14919.39079="",-14919.39079=0),"-",-14919.39079)</f>
        <v>-14919.39079</v>
      </c>
      <c r="C17" s="69">
        <f>IF(OR(-14093.68357="",-14093.68357=0),"-",-14093.68357)</f>
        <v>-14093.68357</v>
      </c>
      <c r="D17" s="69">
        <f>IF(OR(-14919.39079="",-14093.68357="",-14919.39079=0,-14093.68357=0),"-",-14093.68357/-14919.39079*100)</f>
        <v>94.46554332128999</v>
      </c>
    </row>
    <row r="18" spans="1:4" ht="15.75">
      <c r="A18" s="22" t="s">
        <v>33</v>
      </c>
      <c r="B18" s="69">
        <f>IF(OR(-61683.42579="",-61683.42579=0),"-",-61683.42579)</f>
        <v>-61683.42579</v>
      </c>
      <c r="C18" s="69">
        <f>IF(OR(-62482.07992="",-62482.07992=0),"-",-62482.07992)</f>
        <v>-62482.07992</v>
      </c>
      <c r="D18" s="69">
        <f>IF(OR(-61683.42579="",-62482.07992="",-61683.42579=0,-62482.07992=0),"-",-62482.07992/-61683.42579*100)</f>
        <v>101.29476292824428</v>
      </c>
    </row>
    <row r="19" spans="1:4" ht="15.75">
      <c r="A19" s="44" t="s">
        <v>34</v>
      </c>
      <c r="B19" s="68">
        <f>IF(74384.98155="","-",74384.98155)</f>
        <v>74384.98155</v>
      </c>
      <c r="C19" s="68">
        <f>IF(92333.20449="","-",92333.20449)</f>
        <v>92333.20449</v>
      </c>
      <c r="D19" s="68">
        <f>IF(74384.98155="","-",92333.20449/74384.98155*100)</f>
        <v>124.1288262307837</v>
      </c>
    </row>
    <row r="20" spans="1:4" ht="15.75">
      <c r="A20" s="22" t="s">
        <v>237</v>
      </c>
      <c r="B20" s="69">
        <f>IF(OR(113917.19747="",113917.19747=0),"-",113917.19747)</f>
        <v>113917.19747</v>
      </c>
      <c r="C20" s="69">
        <f>IF(OR(125860.34075="",125860.34075=0),"-",125860.34075)</f>
        <v>125860.34075</v>
      </c>
      <c r="D20" s="69">
        <f>IF(OR(113917.19747="",125860.34075="",113917.19747=0,125860.34075=0),"-",125860.34075/113917.19747*100)</f>
        <v>110.48405644208832</v>
      </c>
    </row>
    <row r="21" spans="1:4" ht="15.75">
      <c r="A21" s="22" t="s">
        <v>35</v>
      </c>
      <c r="B21" s="69">
        <f>IF(OR(-39532.21592="",-39532.21592=0),"-",-39532.21592)</f>
        <v>-39532.21592</v>
      </c>
      <c r="C21" s="69">
        <f>IF(OR(-33527.13626="",-33527.13626=0),"-",-33527.13626)</f>
        <v>-33527.13626</v>
      </c>
      <c r="D21" s="69">
        <f>IF(OR(-39532.21592="",-33527.13626="",-39532.21592=0,-33527.13626=0),"-",-33527.13626/-39532.21592*100)</f>
        <v>84.80965582057864</v>
      </c>
    </row>
    <row r="22" spans="1:4" ht="15.75">
      <c r="A22" s="44" t="s">
        <v>36</v>
      </c>
      <c r="B22" s="68">
        <f>IF(140112.18863="","-",140112.18863)</f>
        <v>140112.18863</v>
      </c>
      <c r="C22" s="68">
        <f>IF(125400.61711="","-",125400.61711)</f>
        <v>125400.61711</v>
      </c>
      <c r="D22" s="68">
        <f>IF(140112.18863="","-",125400.61711/140112.18863*100)</f>
        <v>89.50014865669579</v>
      </c>
    </row>
    <row r="23" spans="1:4" ht="15.75">
      <c r="A23" s="22" t="s">
        <v>37</v>
      </c>
      <c r="B23" s="69">
        <f>IF(OR(3346.33674="",3346.33674=0),"-",3346.33674)</f>
        <v>3346.33674</v>
      </c>
      <c r="C23" s="69">
        <f>IF(OR(2718.3281="",2718.3281=0),"-",2718.3281)</f>
        <v>2718.3281</v>
      </c>
      <c r="D23" s="69">
        <f>IF(OR(3346.33674="",2718.3281="",3346.33674=0,2718.3281=0),"-",2718.3281/3346.33674*100)</f>
        <v>81.23295146919375</v>
      </c>
    </row>
    <row r="24" spans="1:4" ht="15.75">
      <c r="A24" s="22" t="s">
        <v>38</v>
      </c>
      <c r="B24" s="69">
        <f>IF(OR(181841.8226="",181841.8226=0),"-",181841.8226)</f>
        <v>181841.8226</v>
      </c>
      <c r="C24" s="69">
        <f>IF(OR(179852.89283="",179852.89283=0),"-",179852.89283)</f>
        <v>179852.89283</v>
      </c>
      <c r="D24" s="69">
        <f>IF(OR(181841.8226="",179852.89283="",181841.8226=0,179852.89283=0),"-",179852.89283/181841.8226*100)</f>
        <v>98.90623084306898</v>
      </c>
    </row>
    <row r="25" spans="1:4" ht="15.75">
      <c r="A25" s="22" t="s">
        <v>39</v>
      </c>
      <c r="B25" s="69">
        <f>IF(OR(-689.74633="",-689.74633=0),"-",-689.74633)</f>
        <v>-689.74633</v>
      </c>
      <c r="C25" s="69">
        <f>IF(OR(-855.72752="",-855.72752=0),"-",-855.72752)</f>
        <v>-855.72752</v>
      </c>
      <c r="D25" s="69">
        <f>IF(OR(-689.74633="",-855.72752="",-689.74633=0,-855.72752=0),"-",-855.72752/-689.74633*100)</f>
        <v>124.06409179444276</v>
      </c>
    </row>
    <row r="26" spans="1:4" ht="15.75">
      <c r="A26" s="22" t="s">
        <v>40</v>
      </c>
      <c r="B26" s="69">
        <f>IF(OR(-30117.29736="",-30117.29736=0),"-",-30117.29736)</f>
        <v>-30117.29736</v>
      </c>
      <c r="C26" s="69">
        <f>IF(OR(-32069.09575="",-32069.09575=0),"-",-32069.09575)</f>
        <v>-32069.09575</v>
      </c>
      <c r="D26" s="69">
        <f>IF(OR(-30117.29736="",-32069.09575="",-30117.29736=0,-32069.09575=0),"-",-32069.09575/-30117.29736*100)</f>
        <v>106.48065583929937</v>
      </c>
    </row>
    <row r="27" spans="1:4" ht="15.75">
      <c r="A27" s="22" t="s">
        <v>203</v>
      </c>
      <c r="B27" s="69">
        <f>IF(OR(2153.57946="",2153.57946=0),"-",2153.57946)</f>
        <v>2153.57946</v>
      </c>
      <c r="C27" s="69">
        <f>IF(OR(2540.52608="",2540.52608=0),"-",2540.52608)</f>
        <v>2540.52608</v>
      </c>
      <c r="D27" s="69">
        <f>IF(OR(2153.57946="",2540.52608="",2153.57946=0,2540.52608=0),"-",2540.52608/2153.57946*100)</f>
        <v>117.9676035728907</v>
      </c>
    </row>
    <row r="28" spans="1:4" ht="25.5">
      <c r="A28" s="22" t="s">
        <v>217</v>
      </c>
      <c r="B28" s="69">
        <f>IF(OR(-7826.33893="",-7826.33893=0),"-",-7826.33893)</f>
        <v>-7826.33893</v>
      </c>
      <c r="C28" s="69">
        <f>IF(OR(-7633.78934="",-7633.78934=0),"-",-7633.78934)</f>
        <v>-7633.78934</v>
      </c>
      <c r="D28" s="69">
        <f>IF(OR(-7826.33893="",-7633.78934="",-7826.33893=0,-7633.78934=0),"-",-7633.78934/-7826.33893*100)</f>
        <v>97.53972334034862</v>
      </c>
    </row>
    <row r="29" spans="1:4" ht="25.5">
      <c r="A29" s="22" t="s">
        <v>41</v>
      </c>
      <c r="B29" s="69">
        <f>IF(OR(-162.79741="",-162.79741=0),"-",-162.79741)</f>
        <v>-162.79741</v>
      </c>
      <c r="C29" s="69">
        <f>IF(OR(-4464.26652="",-4464.26652=0),"-",-4464.26652)</f>
        <v>-4464.26652</v>
      </c>
      <c r="D29" s="69" t="s">
        <v>311</v>
      </c>
    </row>
    <row r="30" spans="1:4" ht="15.75">
      <c r="A30" s="22" t="s">
        <v>218</v>
      </c>
      <c r="B30" s="69">
        <f>IF(OR(12950.89502="",12950.89502=0),"-",12950.89502)</f>
        <v>12950.89502</v>
      </c>
      <c r="C30" s="69">
        <f>IF(OR(12114.45776="",12114.45776=0),"-",12114.45776)</f>
        <v>12114.45776</v>
      </c>
      <c r="D30" s="69">
        <f>IF(OR(12950.89502="",12114.45776="",12950.89502=0,12114.45776=0),"-",12114.45776/12950.89502*100)</f>
        <v>93.54147139090931</v>
      </c>
    </row>
    <row r="31" spans="1:4" ht="15.75">
      <c r="A31" s="22" t="s">
        <v>42</v>
      </c>
      <c r="B31" s="69">
        <f>IF(OR(-21384.26516="",-21384.26516=0),"-",-21384.26516)</f>
        <v>-21384.26516</v>
      </c>
      <c r="C31" s="69">
        <f>IF(OR(-26802.70853="",-26802.70853=0),"-",-26802.70853)</f>
        <v>-26802.70853</v>
      </c>
      <c r="D31" s="69">
        <f>IF(OR(-21384.26516="",-26802.70853="",-21384.26516=0,-26802.70853=0),"-",-26802.70853/-21384.26516*100)</f>
        <v>125.33845951431329</v>
      </c>
    </row>
    <row r="32" spans="1:4" ht="15.75">
      <c r="A32" s="44" t="s">
        <v>43</v>
      </c>
      <c r="B32" s="68">
        <f>IF(-666332.91247="","-",-666332.91247)</f>
        <v>-666332.91247</v>
      </c>
      <c r="C32" s="68">
        <f>IF(-872929.34856="","-",-872929.34856)</f>
        <v>-872929.34856</v>
      </c>
      <c r="D32" s="68">
        <f>IF(-666332.91247="","-",-872929.34856/-666332.91247*100)</f>
        <v>131.00498748053383</v>
      </c>
    </row>
    <row r="33" spans="1:4" ht="15.75">
      <c r="A33" s="22" t="s">
        <v>227</v>
      </c>
      <c r="B33" s="69">
        <f>IF(OR(-22446.80691="",-22446.80691=0),"-",-22446.80691)</f>
        <v>-22446.80691</v>
      </c>
      <c r="C33" s="69">
        <f>IF(OR(-16219.38664="",-16219.38664=0),"-",-16219.38664)</f>
        <v>-16219.38664</v>
      </c>
      <c r="D33" s="69">
        <f>IF(OR(-22446.80691="",-16219.38664="",-22446.80691=0,-16219.38664=0),"-",-16219.38664/-22446.80691*100)</f>
        <v>72.25698828805047</v>
      </c>
    </row>
    <row r="34" spans="1:4" ht="15.75">
      <c r="A34" s="22" t="s">
        <v>44</v>
      </c>
      <c r="B34" s="69">
        <f>IF(OR(-417413.27415="",-417413.27415=0),"-",-417413.27415)</f>
        <v>-417413.27415</v>
      </c>
      <c r="C34" s="69">
        <f>IF(OR(-572495.77931="",-572495.77931=0),"-",-572495.77931)</f>
        <v>-572495.77931</v>
      </c>
      <c r="D34" s="69">
        <f>IF(OR(-417413.27415="",-572495.77931="",-417413.27415=0,-572495.77931=0),"-",-572495.77931/-417413.27415*100)</f>
        <v>137.1532279311918</v>
      </c>
    </row>
    <row r="35" spans="1:4" ht="15.75">
      <c r="A35" s="22" t="s">
        <v>45</v>
      </c>
      <c r="B35" s="69">
        <f>IF(OR(-172309.18926="",-172309.18926=0),"-",-172309.18926)</f>
        <v>-172309.18926</v>
      </c>
      <c r="C35" s="69">
        <f>IF(OR(-233887.19566="",-233887.19566=0),"-",-233887.19566)</f>
        <v>-233887.19566</v>
      </c>
      <c r="D35" s="69">
        <f>IF(OR(-172309.18926="",-233887.19566="",-172309.18926=0,-233887.19566=0),"-",-233887.19566/-172309.18926*100)</f>
        <v>135.73692538654103</v>
      </c>
    </row>
    <row r="36" spans="1:4" ht="15.75">
      <c r="A36" s="22" t="s">
        <v>46</v>
      </c>
      <c r="B36" s="69">
        <f>IF(OR(-54163.64215="",-54163.64215=0),"-",-54163.64215)</f>
        <v>-54163.64215</v>
      </c>
      <c r="C36" s="69">
        <f>IF(OR(-50326.98695="",-50326.98695=0),"-",-50326.98695)</f>
        <v>-50326.98695</v>
      </c>
      <c r="D36" s="69">
        <f>IF(OR(-54163.64215="",-50326.98695="",-54163.64215=0,-50326.98695=0),"-",-50326.98695/-54163.64215*100)</f>
        <v>92.91654872585042</v>
      </c>
    </row>
    <row r="37" spans="1:4" ht="15.75">
      <c r="A37" s="44" t="s">
        <v>47</v>
      </c>
      <c r="B37" s="68">
        <f>IF(29458.71892="","-",29458.71892)</f>
        <v>29458.71892</v>
      </c>
      <c r="C37" s="68">
        <f>IF(52702.86764="","-",52702.86764)</f>
        <v>52702.86764</v>
      </c>
      <c r="D37" s="68" t="s">
        <v>151</v>
      </c>
    </row>
    <row r="38" spans="1:4" ht="15.75">
      <c r="A38" s="22" t="s">
        <v>48</v>
      </c>
      <c r="B38" s="69">
        <f>IF(OR(-1204.32457="",-1204.32457=0),"-",-1204.32457)</f>
        <v>-1204.32457</v>
      </c>
      <c r="C38" s="69">
        <f>IF(OR(-1430.09156="",-1430.09156=0),"-",-1430.09156)</f>
        <v>-1430.09156</v>
      </c>
      <c r="D38" s="69">
        <f>IF(OR(-1204.32457="",-1430.09156="",-1204.32457=0,-1430.09156=0),"-",-1430.09156/-1204.32457*100)</f>
        <v>118.74635755376144</v>
      </c>
    </row>
    <row r="39" spans="1:4" ht="15" customHeight="1">
      <c r="A39" s="22" t="s">
        <v>49</v>
      </c>
      <c r="B39" s="69">
        <f>IF(OR(32990.53237="",32990.53237=0),"-",32990.53237)</f>
        <v>32990.53237</v>
      </c>
      <c r="C39" s="69">
        <f>IF(OR(56503.0958="",56503.0958=0),"-",56503.0958)</f>
        <v>56503.0958</v>
      </c>
      <c r="D39" s="69" t="s">
        <v>317</v>
      </c>
    </row>
    <row r="40" spans="1:4" ht="38.25">
      <c r="A40" s="22" t="s">
        <v>204</v>
      </c>
      <c r="B40" s="69">
        <f>IF(OR(-2327.48888="",-2327.48888=0),"-",-2327.48888)</f>
        <v>-2327.48888</v>
      </c>
      <c r="C40" s="69">
        <f>IF(OR(-2370.1366="",-2370.1366=0),"-",-2370.1366)</f>
        <v>-2370.1366</v>
      </c>
      <c r="D40" s="69">
        <f>IF(OR(-2327.48888="",-2370.1366="",-2327.48888=0,-2370.1366=0),"-",-2370.1366/-2327.48888*100)</f>
        <v>101.8323490336074</v>
      </c>
    </row>
    <row r="41" spans="1:4" ht="25.5">
      <c r="A41" s="44" t="s">
        <v>50</v>
      </c>
      <c r="B41" s="68">
        <f>IF(-538276.05034="","-",-538276.05034)</f>
        <v>-538276.05034</v>
      </c>
      <c r="C41" s="68">
        <f>IF(-627928.84384="","-",-627928.84384)</f>
        <v>-627928.84384</v>
      </c>
      <c r="D41" s="68">
        <f>IF(-538276.05034="","-",-627928.84384/-538276.05034*100)</f>
        <v>116.65554197393162</v>
      </c>
    </row>
    <row r="42" spans="1:4" ht="15.75">
      <c r="A42" s="22" t="s">
        <v>51</v>
      </c>
      <c r="B42" s="69">
        <f>IF(OR(1970.45689="",1970.45689=0),"-",1970.45689)</f>
        <v>1970.45689</v>
      </c>
      <c r="C42" s="69">
        <f>IF(OR(3514.64562="",3514.64562=0),"-",3514.64562)</f>
        <v>3514.64562</v>
      </c>
      <c r="D42" s="69" t="s">
        <v>151</v>
      </c>
    </row>
    <row r="43" spans="1:4" ht="15.75">
      <c r="A43" s="22" t="s">
        <v>52</v>
      </c>
      <c r="B43" s="69">
        <f>IF(OR(-11540.83844="",-11540.83844=0),"-",-11540.83844)</f>
        <v>-11540.83844</v>
      </c>
      <c r="C43" s="69">
        <f>IF(OR(-13934.69429="",-13934.69429=0),"-",-13934.69429)</f>
        <v>-13934.69429</v>
      </c>
      <c r="D43" s="69">
        <f>IF(OR(-11540.83844="",-13934.69429="",-11540.83844=0,-13934.69429=0),"-",-13934.69429/-11540.83844*100)</f>
        <v>120.7424777882949</v>
      </c>
    </row>
    <row r="44" spans="1:4" ht="15.75">
      <c r="A44" s="22" t="s">
        <v>53</v>
      </c>
      <c r="B44" s="69">
        <f>IF(OR(-29500.35535="",-29500.35535=0),"-",-29500.35535)</f>
        <v>-29500.35535</v>
      </c>
      <c r="C44" s="69">
        <f>IF(OR(-31926.03575="",-31926.03575=0),"-",-31926.03575)</f>
        <v>-31926.03575</v>
      </c>
      <c r="D44" s="69">
        <f>IF(OR(-29500.35535="",-31926.03575="",-29500.35535=0,-31926.03575=0),"-",-31926.03575/-29500.35535*100)</f>
        <v>108.22254637688627</v>
      </c>
    </row>
    <row r="45" spans="1:4" ht="15.75">
      <c r="A45" s="22" t="s">
        <v>54</v>
      </c>
      <c r="B45" s="69">
        <f>IF(OR(-139734.93759="",-139734.93759=0),"-",-139734.93759)</f>
        <v>-139734.93759</v>
      </c>
      <c r="C45" s="69">
        <f>IF(OR(-149619.26077="",-149619.26077=0),"-",-149619.26077)</f>
        <v>-149619.26077</v>
      </c>
      <c r="D45" s="69">
        <f>IF(OR(-139734.93759="",-149619.26077="",-139734.93759=0,-149619.26077=0),"-",-149619.26077/-139734.93759*100)</f>
        <v>107.07362335467016</v>
      </c>
    </row>
    <row r="46" spans="1:4" ht="25.5">
      <c r="A46" s="22" t="s">
        <v>228</v>
      </c>
      <c r="B46" s="69">
        <f>IF(OR(-74052.31955="",-74052.31955=0),"-",-74052.31955)</f>
        <v>-74052.31955</v>
      </c>
      <c r="C46" s="69">
        <f>IF(OR(-83117.27354="",-83117.27354=0),"-",-83117.27354)</f>
        <v>-83117.27354</v>
      </c>
      <c r="D46" s="69">
        <f>IF(OR(-74052.31955="",-83117.27354="",-74052.31955=0,-83117.27354=0),"-",-83117.27354/-74052.31955*100)</f>
        <v>112.24128298085161</v>
      </c>
    </row>
    <row r="47" spans="1:4" ht="15.75">
      <c r="A47" s="22" t="s">
        <v>55</v>
      </c>
      <c r="B47" s="69">
        <f>IF(OR(-59047.91152="",-59047.91152=0),"-",-59047.91152)</f>
        <v>-59047.91152</v>
      </c>
      <c r="C47" s="69">
        <f>IF(OR(-82081.76444="",-82081.76444=0),"-",-82081.76444)</f>
        <v>-82081.76444</v>
      </c>
      <c r="D47" s="69">
        <f>IF(OR(-59047.91152="",-82081.76444="",-59047.91152=0,-82081.76444=0),"-",-82081.76444/-59047.91152*100)</f>
        <v>139.00875124465367</v>
      </c>
    </row>
    <row r="48" spans="1:4" ht="15.75">
      <c r="A48" s="22" t="s">
        <v>56</v>
      </c>
      <c r="B48" s="69">
        <f>IF(OR(-44588.34846="",-44588.34846=0),"-",-44588.34846)</f>
        <v>-44588.34846</v>
      </c>
      <c r="C48" s="69">
        <f>IF(OR(-52812.07927="",-52812.07927=0),"-",-52812.07927)</f>
        <v>-52812.07927</v>
      </c>
      <c r="D48" s="69">
        <f>IF(OR(-44588.34846="",-52812.07927="",-44588.34846=0,-52812.07927=0),"-",-52812.07927/-44588.34846*100)</f>
        <v>118.44367664206597</v>
      </c>
    </row>
    <row r="49" spans="1:4" ht="15.75">
      <c r="A49" s="22" t="s">
        <v>57</v>
      </c>
      <c r="B49" s="69">
        <f>IF(OR(-87207.27213="",-87207.27213=0),"-",-87207.27213)</f>
        <v>-87207.27213</v>
      </c>
      <c r="C49" s="69">
        <f>IF(OR(-101681.56709="",-101681.56709=0),"-",-101681.56709)</f>
        <v>-101681.56709</v>
      </c>
      <c r="D49" s="69">
        <f>IF(OR(-87207.27213="",-101681.56709="",-87207.27213=0,-101681.56709=0),"-",-101681.56709/-87207.27213*100)</f>
        <v>116.59757793871037</v>
      </c>
    </row>
    <row r="50" spans="1:4" ht="15.75">
      <c r="A50" s="22" t="s">
        <v>58</v>
      </c>
      <c r="B50" s="69">
        <f>IF(OR(-94574.52419="",-94574.52419=0),"-",-94574.52419)</f>
        <v>-94574.52419</v>
      </c>
      <c r="C50" s="69">
        <f>IF(OR(-116270.81431="",-116270.81431=0),"-",-116270.81431)</f>
        <v>-116270.81431</v>
      </c>
      <c r="D50" s="69">
        <f>IF(OR(-94574.52419="",-116270.81431="",-94574.52419=0,-116270.81431=0),"-",-116270.81431/-94574.52419*100)</f>
        <v>122.94094557262822</v>
      </c>
    </row>
    <row r="51" spans="1:4" ht="27.75" customHeight="1">
      <c r="A51" s="44" t="s">
        <v>238</v>
      </c>
      <c r="B51" s="68">
        <f>IF(-749877.65515="","-",-749877.65515)</f>
        <v>-749877.65515</v>
      </c>
      <c r="C51" s="68">
        <f>IF(-890408.30818="","-",-890408.30818)</f>
        <v>-890408.30818</v>
      </c>
      <c r="D51" s="68">
        <f>IF(-749877.65515="","-",-890408.30818/-749877.65515*100)</f>
        <v>118.74047747187365</v>
      </c>
    </row>
    <row r="52" spans="1:4" ht="15.75">
      <c r="A52" s="22" t="s">
        <v>59</v>
      </c>
      <c r="B52" s="69">
        <f>IF(OR(-39134.73468="",-39134.73468=0),"-",-39134.73468)</f>
        <v>-39134.73468</v>
      </c>
      <c r="C52" s="69">
        <f>IF(OR(-50367.18673="",-50367.18673=0),"-",-50367.18673)</f>
        <v>-50367.18673</v>
      </c>
      <c r="D52" s="69">
        <f>IF(OR(-39134.73468="",-50367.18673="",-39134.73468=0,-50367.18673=0),"-",-50367.18673/-39134.73468*100)</f>
        <v>128.702001283122</v>
      </c>
    </row>
    <row r="53" spans="1:4" ht="15.75">
      <c r="A53" s="22" t="s">
        <v>60</v>
      </c>
      <c r="B53" s="69">
        <f>IF(OR(-51471.11756="",-51471.11756=0),"-",-51471.11756)</f>
        <v>-51471.11756</v>
      </c>
      <c r="C53" s="69">
        <f>IF(OR(-61991.05461="",-61991.05461=0),"-",-61991.05461)</f>
        <v>-61991.05461</v>
      </c>
      <c r="D53" s="69">
        <f>IF(OR(-51471.11756="",-61991.05461="",-51471.11756=0,-61991.05461=0),"-",-61991.05461/-51471.11756*100)</f>
        <v>120.43852464974533</v>
      </c>
    </row>
    <row r="54" spans="1:4" ht="15.75">
      <c r="A54" s="22" t="s">
        <v>61</v>
      </c>
      <c r="B54" s="69">
        <f>IF(OR(-56289.53289="",-56289.53289=0),"-",-56289.53289)</f>
        <v>-56289.53289</v>
      </c>
      <c r="C54" s="69">
        <f>IF(OR(-65401.40973="",-65401.40973=0),"-",-65401.40973)</f>
        <v>-65401.40973</v>
      </c>
      <c r="D54" s="69">
        <f>IF(OR(-56289.53289="",-65401.40973="",-56289.53289=0,-65401.40973=0),"-",-65401.40973/-56289.53289*100)</f>
        <v>116.18751546189993</v>
      </c>
    </row>
    <row r="55" spans="1:4" ht="25.5">
      <c r="A55" s="22" t="s">
        <v>219</v>
      </c>
      <c r="B55" s="69">
        <f>IF(OR(-73094.84982="",-73094.84982=0),"-",-73094.84982)</f>
        <v>-73094.84982</v>
      </c>
      <c r="C55" s="69">
        <f>IF(OR(-82316.14879="",-82316.14879=0),"-",-82316.14879)</f>
        <v>-82316.14879</v>
      </c>
      <c r="D55" s="69">
        <f>IF(OR(-73094.84982="",-82316.14879="",-73094.84982=0,-82316.14879=0),"-",-82316.14879/-73094.84982*100)</f>
        <v>112.6155248867847</v>
      </c>
    </row>
    <row r="56" spans="1:4" ht="25.5">
      <c r="A56" s="22" t="s">
        <v>220</v>
      </c>
      <c r="B56" s="69">
        <f>IF(OR(-178144.3422="",-178144.3422=0),"-",-178144.3422)</f>
        <v>-178144.3422</v>
      </c>
      <c r="C56" s="69">
        <f>IF(OR(-206285.81805="",-206285.81805=0),"-",-206285.81805)</f>
        <v>-206285.81805</v>
      </c>
      <c r="D56" s="69">
        <f>IF(OR(-178144.3422="",-206285.81805="",-178144.3422=0,-206285.81805=0),"-",-206285.81805/-178144.3422*100)</f>
        <v>115.79700792203997</v>
      </c>
    </row>
    <row r="57" spans="1:4" ht="15.75">
      <c r="A57" s="22" t="s">
        <v>62</v>
      </c>
      <c r="B57" s="69">
        <f>IF(OR(-76322.95161="",-76322.95161=0),"-",-76322.95161)</f>
        <v>-76322.95161</v>
      </c>
      <c r="C57" s="69">
        <f>IF(OR(-72421.71539="",-72421.71539=0),"-",-72421.71539)</f>
        <v>-72421.71539</v>
      </c>
      <c r="D57" s="69">
        <f>IF(OR(-76322.95161="",-72421.71539="",-76322.95161=0,-72421.71539=0),"-",-72421.71539/-76322.95161*100)</f>
        <v>94.88851500406483</v>
      </c>
    </row>
    <row r="58" spans="1:4" ht="15.75">
      <c r="A58" s="22" t="s">
        <v>221</v>
      </c>
      <c r="B58" s="69">
        <f>IF(OR(-98915.89022="",-98915.89022=0),"-",-98915.89022)</f>
        <v>-98915.89022</v>
      </c>
      <c r="C58" s="69">
        <f>IF(OR(-123598.02546="",-123598.02546=0),"-",-123598.02546)</f>
        <v>-123598.02546</v>
      </c>
      <c r="D58" s="69">
        <f>IF(OR(-98915.89022="",-123598.02546="",-98915.89022=0,-123598.02546=0),"-",-123598.02546/-98915.89022*100)</f>
        <v>124.95264935199408</v>
      </c>
    </row>
    <row r="59" spans="1:4" ht="15.75">
      <c r="A59" s="22" t="s">
        <v>63</v>
      </c>
      <c r="B59" s="69">
        <f>IF(OR(-74735.52793="",-74735.52793=0),"-",-74735.52793)</f>
        <v>-74735.52793</v>
      </c>
      <c r="C59" s="69">
        <f>IF(OR(-97651.94028="",-97651.94028=0),"-",-97651.94028)</f>
        <v>-97651.94028</v>
      </c>
      <c r="D59" s="69">
        <f>IF(OR(-74735.52793="",-97651.94028="",-74735.52793=0,-97651.94028=0),"-",-97651.94028/-74735.52793*100)</f>
        <v>130.66334444237063</v>
      </c>
    </row>
    <row r="60" spans="1:4" ht="15.75">
      <c r="A60" s="22" t="s">
        <v>64</v>
      </c>
      <c r="B60" s="69">
        <f>IF(OR(-101768.70824="",-101768.70824=0),"-",-101768.70824)</f>
        <v>-101768.70824</v>
      </c>
      <c r="C60" s="69">
        <f>IF(OR(-130375.00914="",-130375.00914=0),"-",-130375.00914)</f>
        <v>-130375.00914</v>
      </c>
      <c r="D60" s="69">
        <f>IF(OR(-101768.70824="",-130375.00914="",-101768.70824=0,-130375.00914=0),"-",-130375.00914/-101768.70824*100)</f>
        <v>128.1091323597604</v>
      </c>
    </row>
    <row r="61" spans="1:4" ht="15.75">
      <c r="A61" s="44" t="s">
        <v>65</v>
      </c>
      <c r="B61" s="68">
        <f>IF(-572680.16="","-",-572680.16)</f>
        <v>-572680.16</v>
      </c>
      <c r="C61" s="68">
        <f>IF(-723070.94623="","-",-723070.94623)</f>
        <v>-723070.94623</v>
      </c>
      <c r="D61" s="68">
        <f>IF(-572680.16="","-",-723070.94623/-572680.16*100)</f>
        <v>126.2608689342407</v>
      </c>
    </row>
    <row r="62" spans="1:4" ht="15.75">
      <c r="A62" s="22" t="s">
        <v>66</v>
      </c>
      <c r="B62" s="69">
        <f>IF(OR(-13113.25505="",-13113.25505=0),"-",-13113.25505)</f>
        <v>-13113.25505</v>
      </c>
      <c r="C62" s="69">
        <f>IF(OR(-19151.46216="",-19151.46216=0),"-",-19151.46216)</f>
        <v>-19151.46216</v>
      </c>
      <c r="D62" s="69">
        <f>IF(OR(-13113.25505="",-19151.46216="",-13113.25505=0,-19151.46216=0),"-",-19151.46216/-13113.25505*100)</f>
        <v>146.04659245150577</v>
      </c>
    </row>
    <row r="63" spans="1:4" ht="15.75">
      <c r="A63" s="22" t="s">
        <v>67</v>
      </c>
      <c r="B63" s="69">
        <f>IF(OR(-133800.27997="",-133800.27997=0),"-",-133800.27997)</f>
        <v>-133800.27997</v>
      </c>
      <c r="C63" s="69">
        <f>IF(OR(-182456.05427="",-182456.05427=0),"-",-182456.05427)</f>
        <v>-182456.05427</v>
      </c>
      <c r="D63" s="69">
        <f>IF(OR(-133800.27997="",-182456.05427="",-133800.27997=0,-182456.05427=0),"-",-182456.05427/-133800.27997*100)</f>
        <v>136.36447869235352</v>
      </c>
    </row>
    <row r="64" spans="1:4" ht="15.75">
      <c r="A64" s="22" t="s">
        <v>68</v>
      </c>
      <c r="B64" s="69">
        <f>IF(OR(-7818.57714="",-7818.57714=0),"-",-7818.57714)</f>
        <v>-7818.57714</v>
      </c>
      <c r="C64" s="69">
        <f>IF(OR(-10985.00851="",-10985.00851=0),"-",-10985.00851)</f>
        <v>-10985.00851</v>
      </c>
      <c r="D64" s="69">
        <f>IF(OR(-7818.57714="",-10985.00851="",-7818.57714=0,-10985.00851=0),"-",-10985.00851/-7818.57714*100)</f>
        <v>140.49881856125037</v>
      </c>
    </row>
    <row r="65" spans="1:4" ht="25.5">
      <c r="A65" s="22" t="s">
        <v>69</v>
      </c>
      <c r="B65" s="69">
        <f>IF(OR(-108250.31064="",-108250.31064=0),"-",-108250.31064)</f>
        <v>-108250.31064</v>
      </c>
      <c r="C65" s="69">
        <f>IF(OR(-141032.35549="",-141032.35549=0),"-",-141032.35549)</f>
        <v>-141032.35549</v>
      </c>
      <c r="D65" s="69">
        <f>IF(OR(-108250.31064="",-141032.35549="",-108250.31064=0,-141032.35549=0),"-",-141032.35549/-108250.31064*100)</f>
        <v>130.28355729991463</v>
      </c>
    </row>
    <row r="66" spans="1:4" ht="25.5">
      <c r="A66" s="22" t="s">
        <v>70</v>
      </c>
      <c r="B66" s="69">
        <f>IF(OR(-39507.40742="",-39507.40742=0),"-",-39507.40742)</f>
        <v>-39507.40742</v>
      </c>
      <c r="C66" s="69">
        <f>IF(OR(-49371.70428="",-49371.70428=0),"-",-49371.70428)</f>
        <v>-49371.70428</v>
      </c>
      <c r="D66" s="69">
        <f>IF(OR(-39507.40742="",-49371.70428="",-39507.40742=0,-49371.70428=0),"-",-49371.70428/-39507.40742*100)</f>
        <v>124.96822116200505</v>
      </c>
    </row>
    <row r="67" spans="1:4" ht="25.5">
      <c r="A67" s="22" t="s">
        <v>71</v>
      </c>
      <c r="B67" s="69">
        <f>IF(OR(-101457.22596="",-101457.22596=0),"-",-101457.22596)</f>
        <v>-101457.22596</v>
      </c>
      <c r="C67" s="69">
        <f>IF(OR(-136437.49837="",-136437.49837=0),"-",-136437.49837)</f>
        <v>-136437.49837</v>
      </c>
      <c r="D67" s="69">
        <f>IF(OR(-101457.22596="",-136437.49837="",-101457.22596=0,-136437.49837=0),"-",-136437.49837/-101457.22596*100)</f>
        <v>134.47785219733007</v>
      </c>
    </row>
    <row r="68" spans="1:4" ht="27.75" customHeight="1">
      <c r="A68" s="22" t="s">
        <v>239</v>
      </c>
      <c r="B68" s="69">
        <f>IF(OR(23389.45033="",23389.45033=0),"-",23389.45033)</f>
        <v>23389.45033</v>
      </c>
      <c r="C68" s="69">
        <f>IF(OR(83523.5336="",83523.5336=0),"-",83523.5336)</f>
        <v>83523.5336</v>
      </c>
      <c r="D68" s="69" t="s">
        <v>322</v>
      </c>
    </row>
    <row r="69" spans="1:4" ht="15.75">
      <c r="A69" s="22" t="s">
        <v>72</v>
      </c>
      <c r="B69" s="69">
        <f>IF(OR(-205333.576="",-205333.576=0),"-",-205333.576)</f>
        <v>-205333.576</v>
      </c>
      <c r="C69" s="69">
        <f>IF(OR(-263729.92028="",-263729.92028=0),"-",-263729.92028)</f>
        <v>-263729.92028</v>
      </c>
      <c r="D69" s="69">
        <f>IF(OR(-205333.576="",-263729.92028="",-205333.576=0,-263729.92028=0),"-",-263729.92028/-205333.576*100)</f>
        <v>128.4397444478345</v>
      </c>
    </row>
    <row r="70" spans="1:4" ht="15.75">
      <c r="A70" s="22" t="s">
        <v>73</v>
      </c>
      <c r="B70" s="69">
        <f>IF(OR(13211.02185="",13211.02185=0),"-",13211.02185)</f>
        <v>13211.02185</v>
      </c>
      <c r="C70" s="69">
        <f>IF(OR(-3430.47647="",-3430.47647=0),"-",-3430.47647)</f>
        <v>-3430.47647</v>
      </c>
      <c r="D70" s="69" t="s">
        <v>21</v>
      </c>
    </row>
    <row r="71" spans="1:4" ht="15.75">
      <c r="A71" s="44" t="s">
        <v>74</v>
      </c>
      <c r="B71" s="68">
        <f>IF(22977.97342="","-",22977.97342)</f>
        <v>22977.97342</v>
      </c>
      <c r="C71" s="68">
        <f>IF(30685.7656="","-",30685.7656)</f>
        <v>30685.7656</v>
      </c>
      <c r="D71" s="68">
        <f>IF(22977.97342="","-",30685.7656/22977.97342*100)</f>
        <v>133.54426449675995</v>
      </c>
    </row>
    <row r="72" spans="1:4" ht="25.5">
      <c r="A72" s="22" t="s">
        <v>205</v>
      </c>
      <c r="B72" s="69">
        <f>IF(OR(-28700.41632="",-28700.41632=0),"-",-28700.41632)</f>
        <v>-28700.41632</v>
      </c>
      <c r="C72" s="69">
        <f>IF(OR(-33408.29199="",-33408.29199=0),"-",-33408.29199)</f>
        <v>-33408.29199</v>
      </c>
      <c r="D72" s="69">
        <f>IF(OR(-28700.41632="",-33408.29199="",-28700.41632=0,-33408.29199=0),"-",-33408.29199/-28700.41632*100)</f>
        <v>116.40351003103497</v>
      </c>
    </row>
    <row r="73" spans="1:4" ht="15.75">
      <c r="A73" s="22" t="s">
        <v>75</v>
      </c>
      <c r="B73" s="69">
        <f>IF(OR(80672.09149="",80672.09149=0),"-",80672.09149)</f>
        <v>80672.09149</v>
      </c>
      <c r="C73" s="69">
        <f>IF(OR(99736.29443="",99736.29443=0),"-",99736.29443)</f>
        <v>99736.29443</v>
      </c>
      <c r="D73" s="69">
        <f>IF(OR(80672.09149="",99736.29443="",80672.09149=0,99736.29443=0),"-",99736.29443/80672.09149*100)</f>
        <v>123.63172019949819</v>
      </c>
    </row>
    <row r="74" spans="1:4" ht="15.75">
      <c r="A74" s="22" t="s">
        <v>76</v>
      </c>
      <c r="B74" s="69">
        <f>IF(OR(-1455.9061="",-1455.9061=0),"-",-1455.9061)</f>
        <v>-1455.9061</v>
      </c>
      <c r="C74" s="69">
        <f>IF(OR(7929.85077="",7929.85077=0),"-",7929.85077)</f>
        <v>7929.85077</v>
      </c>
      <c r="D74" s="69" t="s">
        <v>21</v>
      </c>
    </row>
    <row r="75" spans="1:4" ht="15.75">
      <c r="A75" s="22" t="s">
        <v>77</v>
      </c>
      <c r="B75" s="69">
        <f>IF(OR(134216.85181="",134216.85181=0),"-",134216.85181)</f>
        <v>134216.85181</v>
      </c>
      <c r="C75" s="69">
        <f>IF(OR(153945.11132="",153945.11132=0),"-",153945.11132)</f>
        <v>153945.11132</v>
      </c>
      <c r="D75" s="69">
        <f>IF(OR(134216.85181="",153945.11132="",134216.85181=0,153945.11132=0),"-",153945.11132/134216.85181*100)</f>
        <v>114.69879470718602</v>
      </c>
    </row>
    <row r="76" spans="1:4" ht="15.75">
      <c r="A76" s="22" t="s">
        <v>78</v>
      </c>
      <c r="B76" s="69">
        <f>IF(OR(-8108.56386="",-8108.56386=0),"-",-8108.56386)</f>
        <v>-8108.56386</v>
      </c>
      <c r="C76" s="69">
        <f>IF(OR(-4945.46378="",-4945.46378=0),"-",-4945.46378)</f>
        <v>-4945.46378</v>
      </c>
      <c r="D76" s="69">
        <f>IF(OR(-8108.56386="",-4945.46378="",-8108.56386=0,-4945.46378=0),"-",-4945.46378/-8108.56386*100)</f>
        <v>60.99062504022753</v>
      </c>
    </row>
    <row r="77" spans="1:4" ht="15.75">
      <c r="A77" s="22" t="s">
        <v>240</v>
      </c>
      <c r="B77" s="69">
        <f>IF(OR(-23089.71539="",-23089.71539=0),"-",-23089.71539)</f>
        <v>-23089.71539</v>
      </c>
      <c r="C77" s="69">
        <f>IF(OR(-33879.39487="",-33879.39487=0),"-",-33879.39487)</f>
        <v>-33879.39487</v>
      </c>
      <c r="D77" s="69">
        <f>IF(OR(-23089.71539="",-33879.39487="",-23089.71539=0,-33879.39487=0),"-",-33879.39487/-23089.71539*100)</f>
        <v>146.72937408606143</v>
      </c>
    </row>
    <row r="78" spans="1:4" ht="25.5">
      <c r="A78" s="22" t="s">
        <v>79</v>
      </c>
      <c r="B78" s="69">
        <f>IF(OR(-6586.19106="",-6586.19106=0),"-",-6586.19106)</f>
        <v>-6586.19106</v>
      </c>
      <c r="C78" s="69">
        <f>IF(OR(-8102.97416="",-8102.97416=0),"-",-8102.97416)</f>
        <v>-8102.97416</v>
      </c>
      <c r="D78" s="69">
        <f>IF(OR(-6586.19106="",-8102.97416="",-6586.19106=0,-8102.97416=0),"-",-8102.97416/-6586.19106*100)</f>
        <v>123.02974642220596</v>
      </c>
    </row>
    <row r="79" spans="1:4" s="1" customFormat="1" ht="15.75">
      <c r="A79" s="22" t="s">
        <v>80</v>
      </c>
      <c r="B79" s="69">
        <f>IF(OR(-123970.17715="",-123970.17715=0),"-",-123970.17715)</f>
        <v>-123970.17715</v>
      </c>
      <c r="C79" s="69">
        <f>IF(OR(-150589.36612="",-150589.36612=0),"-",-150589.36612)</f>
        <v>-150589.36612</v>
      </c>
      <c r="D79" s="69">
        <f>IF(OR(-123970.17715="",-150589.36612="",-123970.17715=0,-150589.36612=0),"-",-150589.36612/-123970.17715*100)</f>
        <v>121.47225210285183</v>
      </c>
    </row>
    <row r="80" spans="1:4" s="1" customFormat="1" ht="15.75">
      <c r="A80" s="39" t="s">
        <v>194</v>
      </c>
      <c r="B80" s="76">
        <f>IF(-94.14368="","-",-94.14368)</f>
        <v>-94.14368</v>
      </c>
      <c r="C80" s="76">
        <f>IF(570.90285="","-",570.90285)</f>
        <v>570.90285</v>
      </c>
      <c r="D80" s="76" t="s">
        <v>21</v>
      </c>
    </row>
    <row r="81" spans="1:4" s="1" customFormat="1" ht="15.75">
      <c r="A81" s="64" t="s">
        <v>19</v>
      </c>
      <c r="B81" s="37"/>
      <c r="C81" s="37"/>
      <c r="D81" s="37"/>
    </row>
    <row r="82" spans="2:4" ht="15.75">
      <c r="B82" s="13"/>
      <c r="C82" s="23"/>
      <c r="D82" s="14"/>
    </row>
    <row r="83" spans="2:4" ht="15.75">
      <c r="B83" s="13"/>
      <c r="C83" s="13"/>
      <c r="D83" s="14"/>
    </row>
    <row r="84" spans="2:4" ht="15.75">
      <c r="B84" s="13"/>
      <c r="C84" s="13"/>
      <c r="D84" s="14"/>
    </row>
    <row r="85" ht="15.75">
      <c r="C85" s="13"/>
    </row>
  </sheetData>
  <sheetProtection/>
  <mergeCells count="5">
    <mergeCell ref="A1:D1"/>
    <mergeCell ref="A2:D2"/>
    <mergeCell ref="A4:A5"/>
    <mergeCell ref="D4:D5"/>
    <mergeCell ref="B4:C4"/>
  </mergeCells>
  <printOptions/>
  <pageMargins left="0.5905511811023623" right="0.3937007874015748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TatianaGrosu</dc:creator>
  <cp:keywords/>
  <dc:description/>
  <cp:lastModifiedBy>Doina Vudvud</cp:lastModifiedBy>
  <cp:lastPrinted>2019-01-15T05:15:48Z</cp:lastPrinted>
  <dcterms:created xsi:type="dcterms:W3CDTF">2016-09-01T07:59:47Z</dcterms:created>
  <dcterms:modified xsi:type="dcterms:W3CDTF">2019-01-15T06:53:59Z</dcterms:modified>
  <cp:category/>
  <cp:version/>
  <cp:contentType/>
  <cp:contentStatus/>
</cp:coreProperties>
</file>