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75" activeTab="0"/>
  </bookViews>
  <sheets>
    <sheet name="Export_Tari" sheetId="1" r:id="rId1"/>
    <sheet name="Import_Tari" sheetId="2" r:id="rId2"/>
    <sheet name="Balanta Comerciala_Tari" sheetId="3" r:id="rId3"/>
    <sheet name="Export_Moduri_Transport" sheetId="4" r:id="rId4"/>
    <sheet name="Import_Moduri_Transport" sheetId="5" r:id="rId5"/>
    <sheet name="Export_Grupe_Marfuri_CSCI" sheetId="6" r:id="rId6"/>
    <sheet name="Import_Grupe_Marfuri_CSCI" sheetId="7" r:id="rId7"/>
    <sheet name="Balanta_Comerciala_Gr_Marf_CSCI" sheetId="8" r:id="rId8"/>
    <sheet name="Лист1" sheetId="9" r:id="rId9"/>
  </sheets>
  <definedNames>
    <definedName name="_xlnm.Print_Titles" localSheetId="2">'Balanta Comerciala_Tari'!$3:$4</definedName>
    <definedName name="_xlnm.Print_Titles" localSheetId="7">'Balanta_Comerciala_Gr_Marf_CSCI'!$4:$5</definedName>
    <definedName name="_xlnm.Print_Titles" localSheetId="5">'Export_Grupe_Marfuri_CSCI'!$4:$6</definedName>
    <definedName name="_xlnm.Print_Titles" localSheetId="0">'Export_Tari'!$3:$5</definedName>
    <definedName name="_xlnm.Print_Titles" localSheetId="6">'Import_Grupe_Marfuri_CSCI'!$4:$6</definedName>
    <definedName name="_xlnm.Print_Titles" localSheetId="1">'Import_Tari'!$3:$5</definedName>
  </definedNames>
  <calcPr fullCalcOnLoad="1"/>
</workbook>
</file>

<file path=xl/sharedStrings.xml><?xml version="1.0" encoding="utf-8"?>
<sst xmlns="http://schemas.openxmlformats.org/spreadsheetml/2006/main" count="799" uniqueCount="298">
  <si>
    <t>Structura, %</t>
  </si>
  <si>
    <t>Gradul de influenţă a ţărilor, grupelor de ţări  la creşterea (+),  scăderea (-) exporturilor, %</t>
  </si>
  <si>
    <t>România</t>
  </si>
  <si>
    <t>Italia</t>
  </si>
  <si>
    <t>Germania</t>
  </si>
  <si>
    <t>Polonia</t>
  </si>
  <si>
    <t>Bulgaria</t>
  </si>
  <si>
    <t>Republica Cehă</t>
  </si>
  <si>
    <t>Austria</t>
  </si>
  <si>
    <t>Grecia</t>
  </si>
  <si>
    <t>Olanda</t>
  </si>
  <si>
    <t>Belarus</t>
  </si>
  <si>
    <t>Ucraina</t>
  </si>
  <si>
    <t>Kazahstan</t>
  </si>
  <si>
    <t>Azerbaidjan</t>
  </si>
  <si>
    <t>Uzbekistan</t>
  </si>
  <si>
    <t>Turkmenistan</t>
  </si>
  <si>
    <t>Armenia</t>
  </si>
  <si>
    <t>Tadjikistan</t>
  </si>
  <si>
    <t>Statele Unite ale Americii</t>
  </si>
  <si>
    <t>de 2,0 ori</t>
  </si>
  <si>
    <t>¹ În preţuri curente</t>
  </si>
  <si>
    <t>x</t>
  </si>
  <si>
    <t>conform Clasificării Standard de Comerţ Internaţional</t>
  </si>
  <si>
    <t>Animale vii</t>
  </si>
  <si>
    <t>Zahăr, preparate pe bază de zahăr; miere</t>
  </si>
  <si>
    <t>Hrană destinată animalelor (exclusiv cereale nemăcinate)</t>
  </si>
  <si>
    <t>Materiale brute necomestibile, exclusiv combustibili</t>
  </si>
  <si>
    <t>Alte materii brute de origine animală sau vegetală</t>
  </si>
  <si>
    <t>Energie electrică</t>
  </si>
  <si>
    <t>Produse chimice organice</t>
  </si>
  <si>
    <t>Produse chimice anorganice</t>
  </si>
  <si>
    <t>Materiale plastice sub forme primare</t>
  </si>
  <si>
    <t>Materiale plastice prelucrate</t>
  </si>
  <si>
    <t>Mărfuri manufacturate, clasificate mai ales după materia primă</t>
  </si>
  <si>
    <t>Cauciuc prelucrat</t>
  </si>
  <si>
    <t>Articole din lemn (exclusiv mobilă)</t>
  </si>
  <si>
    <t>Articole din minerale nemetalice</t>
  </si>
  <si>
    <t>Metale neferoase</t>
  </si>
  <si>
    <t>Articole prelucrate din metal</t>
  </si>
  <si>
    <t>Vehicule rutiere (inclusiv vehicule cu pernă de aer)</t>
  </si>
  <si>
    <t>Alte echipamente de transport</t>
  </si>
  <si>
    <t>Articole manufacturate diverse</t>
  </si>
  <si>
    <t>Alte articole diverse</t>
  </si>
  <si>
    <t>Coreea de Sud</t>
  </si>
  <si>
    <t>Arabia Saudită</t>
  </si>
  <si>
    <t>Hong Kong, RAS a Chinei</t>
  </si>
  <si>
    <t>Africa de Sud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</si>
  <si>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</si>
  <si>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</si>
  <si>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</si>
  <si>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</si>
  <si>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</si>
  <si>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</si>
  <si>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</si>
  <si>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</si>
  <si>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</si>
  <si>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</si>
  <si>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</si>
  <si>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</si>
  <si>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</si>
  <si>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</si>
  <si>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</si>
  <si>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</si>
  <si>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</si>
  <si>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</si>
  <si>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</si>
  <si>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</si>
  <si>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</si>
  <si>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Malaysia</t>
  </si>
  <si>
    <t>Israel</t>
  </si>
  <si>
    <t>Egipt</t>
  </si>
  <si>
    <t>Myanmar</t>
  </si>
  <si>
    <t>Indonezia</t>
  </si>
  <si>
    <t>Serbia</t>
  </si>
  <si>
    <t>Iordania</t>
  </si>
  <si>
    <t>Canada</t>
  </si>
  <si>
    <t>India</t>
  </si>
  <si>
    <t>Taiwan,  provincie a Chinei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</si>
  <si>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</si>
  <si>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</si>
  <si>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</si>
  <si>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</si>
  <si>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</si>
  <si>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</si>
  <si>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</si>
  <si>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</si>
  <si>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Cambodjia</t>
  </si>
  <si>
    <t>Ecuador</t>
  </si>
  <si>
    <t>Islanda</t>
  </si>
  <si>
    <t>Argentina</t>
  </si>
  <si>
    <t>Thailanda</t>
  </si>
  <si>
    <t>Brazilia</t>
  </si>
  <si>
    <t>Mexic</t>
  </si>
  <si>
    <t>Maroc</t>
  </si>
  <si>
    <t>Singapore</t>
  </si>
  <si>
    <t>Filipine</t>
  </si>
  <si>
    <t>Chile</t>
  </si>
  <si>
    <t>Costa Rica</t>
  </si>
  <si>
    <t>Uruguay</t>
  </si>
  <si>
    <t>Tunisia</t>
  </si>
  <si>
    <t>Columbia</t>
  </si>
  <si>
    <t>Australia</t>
  </si>
  <si>
    <t>Noua Zeelandă</t>
  </si>
  <si>
    <t>Mongolia</t>
  </si>
  <si>
    <t>Peru</t>
  </si>
  <si>
    <t>Kenya</t>
  </si>
  <si>
    <t>mii dolari        SUA</t>
  </si>
  <si>
    <t>EXPORT - total</t>
  </si>
  <si>
    <t>Oman</t>
  </si>
  <si>
    <t>Ghana</t>
  </si>
  <si>
    <t>Albania</t>
  </si>
  <si>
    <t>de 1,8 ori</t>
  </si>
  <si>
    <t>de 1,7 ori</t>
  </si>
  <si>
    <t>de 1,6 ori</t>
  </si>
  <si>
    <t>Gradul de influenţă a grupelor de mărfuri  la creşterea (+),  scăderea (-) exporturilor, %</t>
  </si>
  <si>
    <t>Qatar</t>
  </si>
  <si>
    <t>Ponderea, %</t>
  </si>
  <si>
    <t>Swaziland</t>
  </si>
  <si>
    <t>2018¹</t>
  </si>
  <si>
    <t>mii dolari         SUA</t>
  </si>
  <si>
    <t>Belize</t>
  </si>
  <si>
    <t>-</t>
  </si>
  <si>
    <t>Transport maritim</t>
  </si>
  <si>
    <t>Transport feroviar</t>
  </si>
  <si>
    <t>Transport rutier</t>
  </si>
  <si>
    <t>Transport aerian</t>
  </si>
  <si>
    <t>Expedieri poștale</t>
  </si>
  <si>
    <t>Instalații fixe de transport</t>
  </si>
  <si>
    <t>Autopropulsie</t>
  </si>
  <si>
    <r>
      <rPr>
        <b/>
        <sz val="12"/>
        <rFont val="Times New Roman"/>
        <family val="1"/>
      </rPr>
      <t xml:space="preserve">Anexa 1. </t>
    </r>
    <r>
      <rPr>
        <b/>
        <i/>
        <sz val="12"/>
        <rFont val="Times New Roman"/>
        <family val="1"/>
      </rPr>
      <t>Exporturile structurate pe principalele ţări de destinaţie a mărfurilor şi grupe de ţări</t>
    </r>
  </si>
  <si>
    <r>
      <rPr>
        <b/>
        <sz val="12"/>
        <color indexed="8"/>
        <rFont val="Times New Roman"/>
        <family val="1"/>
      </rPr>
      <t xml:space="preserve">Anexa 2. </t>
    </r>
    <r>
      <rPr>
        <b/>
        <i/>
        <sz val="12"/>
        <color indexed="8"/>
        <rFont val="Times New Roman"/>
        <family val="1"/>
      </rPr>
      <t>Importurile structurate pe principalele ţări de origine a mărfurilor şi grupe de ţări</t>
    </r>
  </si>
  <si>
    <r>
      <rPr>
        <b/>
        <sz val="12"/>
        <color indexed="8"/>
        <rFont val="Times New Roman"/>
        <family val="1"/>
      </rPr>
      <t xml:space="preserve">Anexa 3. </t>
    </r>
    <r>
      <rPr>
        <b/>
        <i/>
        <sz val="12"/>
        <color indexed="8"/>
        <rFont val="Times New Roman"/>
        <family val="1"/>
      </rPr>
      <t>Balanţa comercială structurată pe principalele ţări şi grupe de ţări</t>
    </r>
  </si>
  <si>
    <r>
      <rPr>
        <b/>
        <sz val="12"/>
        <rFont val="Times New Roman"/>
        <family val="1"/>
      </rPr>
      <t xml:space="preserve">Anexa 4. </t>
    </r>
    <r>
      <rPr>
        <b/>
        <i/>
        <sz val="12"/>
        <rFont val="Times New Roman"/>
        <family val="1"/>
      </rPr>
      <t xml:space="preserve">Exporturile structurate pe grupe de ţări și moduri de transport a mărfurilor </t>
    </r>
  </si>
  <si>
    <r>
      <rPr>
        <b/>
        <sz val="12"/>
        <rFont val="Times New Roman"/>
        <family val="1"/>
      </rPr>
      <t>Anexa 5.</t>
    </r>
    <r>
      <rPr>
        <b/>
        <i/>
        <sz val="12"/>
        <rFont val="Times New Roman"/>
        <family val="1"/>
      </rPr>
      <t xml:space="preserve"> Importurile structurate pe grupe de ţări și moduri de transport a mărfurilor</t>
    </r>
  </si>
  <si>
    <r>
      <rPr>
        <b/>
        <sz val="12"/>
        <color indexed="8"/>
        <rFont val="Times New Roman"/>
        <family val="1"/>
      </rPr>
      <t>Anexa 6.</t>
    </r>
    <r>
      <rPr>
        <b/>
        <i/>
        <sz val="12"/>
        <color indexed="8"/>
        <rFont val="Times New Roman"/>
        <family val="1"/>
      </rPr>
      <t xml:space="preserve"> Exporturile structurate pe grupe de mărfuri, </t>
    </r>
  </si>
  <si>
    <r>
      <rPr>
        <b/>
        <sz val="12"/>
        <color indexed="8"/>
        <rFont val="Times New Roman"/>
        <family val="1"/>
      </rPr>
      <t>Anexa 7.</t>
    </r>
    <r>
      <rPr>
        <b/>
        <i/>
        <sz val="12"/>
        <color indexed="8"/>
        <rFont val="Times New Roman"/>
        <family val="1"/>
      </rPr>
      <t xml:space="preserve"> Importurile structurate pe grupe de mărfuri, </t>
    </r>
  </si>
  <si>
    <r>
      <rPr>
        <b/>
        <sz val="12"/>
        <color indexed="8"/>
        <rFont val="Times New Roman"/>
        <family val="1"/>
      </rPr>
      <t xml:space="preserve">Anexa 8. </t>
    </r>
    <r>
      <rPr>
        <b/>
        <i/>
        <sz val="12"/>
        <color indexed="8"/>
        <rFont val="Times New Roman"/>
        <family val="1"/>
      </rPr>
      <t xml:space="preserve">Balanţa comercială structurată pe grupe de mărfuri, </t>
    </r>
  </si>
  <si>
    <t>Gradul de influenţă a grupelor de mărfuri  la creşterea (+),  scăderea (-) importurilor, %</t>
  </si>
  <si>
    <t>Gradul de influenţă a ţărilor, grupelor de ţări  la creşterea (+),  scăderea (-) importurilor, %</t>
  </si>
  <si>
    <t>2019¹</t>
  </si>
  <si>
    <t>mii dolari             SUA</t>
  </si>
  <si>
    <t>de 1,5 ori</t>
  </si>
  <si>
    <t>Kârgâzstan</t>
  </si>
  <si>
    <t>Siria</t>
  </si>
  <si>
    <t>Afganistan</t>
  </si>
  <si>
    <t>Kuwait</t>
  </si>
  <si>
    <t>Statul Palestina</t>
  </si>
  <si>
    <t>Montenegro</t>
  </si>
  <si>
    <t>Libia</t>
  </si>
  <si>
    <t>IMPORT - total</t>
  </si>
  <si>
    <t>Insulele Faroe</t>
  </si>
  <si>
    <t>San Marino</t>
  </si>
  <si>
    <t>Tanzania</t>
  </si>
  <si>
    <t>Etiopia</t>
  </si>
  <si>
    <t>Bahrain</t>
  </si>
  <si>
    <t>Senegal</t>
  </si>
  <si>
    <t xml:space="preserve">   din care:</t>
  </si>
  <si>
    <t xml:space="preserve">IMPORT - total      </t>
  </si>
  <si>
    <t>BALANŢA COMERCIALĂ - total, mii dolari SUA</t>
  </si>
  <si>
    <t>Cote D'Ivoire</t>
  </si>
  <si>
    <t>Madagascar</t>
  </si>
  <si>
    <t xml:space="preserve">     din care:</t>
  </si>
  <si>
    <t>Franţa</t>
  </si>
  <si>
    <t>Regatul Unit al Marii Britanii şi Irlandei de Nord</t>
  </si>
  <si>
    <t>Croaţia</t>
  </si>
  <si>
    <t>Federaţia Rusă</t>
  </si>
  <si>
    <t>Şri Lanka</t>
  </si>
  <si>
    <t>Elveţia</t>
  </si>
  <si>
    <t>Gibraltar</t>
  </si>
  <si>
    <t>Bosnia şi Herţegovina</t>
  </si>
  <si>
    <t>Mali</t>
  </si>
  <si>
    <t>Somalia</t>
  </si>
  <si>
    <t>Macedonia de Nord</t>
  </si>
  <si>
    <t>de 2,3 ori</t>
  </si>
  <si>
    <t>Produse alimentare şi 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</si>
  <si>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</si>
  <si>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</si>
  <si>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</si>
  <si>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</si>
  <si>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</si>
  <si>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Cafea, ceai, cacao, condimente şi înlocuitori ai acestora</t>
  </si>
  <si>
    <t>Produse şi preparate alimentare diverse</t>
  </si>
  <si>
    <t>Băuturi şi tutun</t>
  </si>
  <si>
    <t>Tutun brut şi prelucrat</t>
  </si>
  <si>
    <t>Piei crude, piei tăbăcite şi blănuri brute</t>
  </si>
  <si>
    <t>Lemn şi plută</t>
  </si>
  <si>
    <t>Îngrăşăminte naturale şi minerale naturale (exclusiv cărbune, petrol şi pietre preţioase)</t>
  </si>
  <si>
    <t>Minereuri metalifere şi deşeuri de metale</t>
  </si>
  <si>
    <t>Combustibili minerali, lubrifianţi şi materiale derivate</t>
  </si>
  <si>
    <t>Petrol, produse petroliere şi produse înrudite</t>
  </si>
  <si>
    <t>Uleiuri, grăsimi şi ceruri de origine animală sau vegetală</t>
  </si>
  <si>
    <t>Grăsimi şi uleiuri vegetale fixate, brute, rafinate sau fracţionate</t>
  </si>
  <si>
    <t>Produse chimice şi produse derivate nespecificate în altă parte</t>
  </si>
  <si>
    <t>Produse tanante şi colorante</t>
  </si>
  <si>
    <t>Produse medicinale şi farmaceutice</t>
  </si>
  <si>
    <t>Uleiuri esenţiale, rezinoide şi substanţe parfumate, preparate pentru toaletă, produse pentru înfrumuseţare</t>
  </si>
  <si>
    <t>Îngrăşăminte minerale sau chimice</t>
  </si>
  <si>
    <t>Alte materiale şi produse chimice</t>
  </si>
  <si>
    <t>Piele, altă piele şi blană prelucrate</t>
  </si>
  <si>
    <t>Hârtie, carton şi articole din pastă de celuloză, din hârtie sau din carton</t>
  </si>
  <si>
    <t>Fire, ţesături, articole textile necuprinse în altă parte şi produse conexe</t>
  </si>
  <si>
    <t>Fier şi oţel</t>
  </si>
  <si>
    <t>Maşini şi echipamente pentru transport</t>
  </si>
  <si>
    <t>Maşini  generatoare de putere şi echipamentele lor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</si>
  <si>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</si>
  <si>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</si>
  <si>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</si>
  <si>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</si>
  <si>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Construcţii prefabricate; alte instalaţii şi accesorii pentru instalaţii sanitare, de încălzit şi de iluminat</t>
  </si>
  <si>
    <t>Mobilă şi părţile ei</t>
  </si>
  <si>
    <t>Articole de voiaj; sacoşe şi similare</t>
  </si>
  <si>
    <t>Îmbrăcăminte şi accesorii</t>
  </si>
  <si>
    <t>Încălţăminte</t>
  </si>
  <si>
    <t>Instrumente şi aparate, profesionale, ştiinţifice şi de control</t>
  </si>
  <si>
    <t>Aparate fotografice, echipamente şi furnituri de optică; ceasuri şi orologii</t>
  </si>
  <si>
    <t>Bunuri neclasificate în altă secţiune din CSCI</t>
  </si>
  <si>
    <t>Seminţe şi fructe oleaginoase</t>
  </si>
  <si>
    <t>Cauciuc brut (inclusiv cauciuc sintetic şi regenerat)</t>
  </si>
  <si>
    <t>Fibre textile (cu excepţia lânii în fuior şi a lânii pieptănate) şi deşeurile lor (neprelucrate în fire sau ţesături)</t>
  </si>
  <si>
    <t>Gaz şi produse industriale obţinute din gaz</t>
  </si>
  <si>
    <t>Uleiuri şi grăsimi de origine animală</t>
  </si>
  <si>
    <t>Alte uleiuri şi grăsimi animale sau vegetale prelucrate; ceară de origine animală sau vegetală, amestecuri sau preparate necomestibile din uleiuri animale sau vegetale</t>
  </si>
  <si>
    <t>Maşini şi aparate specializate pentru industriile specifice</t>
  </si>
  <si>
    <t>Maşini şi aparate electrice şi părţi ale acestora (inclusiv echivalente neelectrice ale maşinilor şi aparatelor de uz casnic)</t>
  </si>
  <si>
    <t>de 4,5 ori</t>
  </si>
  <si>
    <t>Niger</t>
  </si>
  <si>
    <t>de 2,2 ori</t>
  </si>
  <si>
    <t>Băuturi (alcoolice şi nealcoolice)</t>
  </si>
  <si>
    <t>Pastă de hârtie şi deşeuri de hârtie</t>
  </si>
  <si>
    <t>de 2,4 ori</t>
  </si>
  <si>
    <t>Celelalte ţări ale lumii - total</t>
  </si>
  <si>
    <t>Insulele Folkland</t>
  </si>
  <si>
    <t>de 14,4 ori</t>
  </si>
  <si>
    <t>de 6,1 ori</t>
  </si>
  <si>
    <t>Ţările Uniunii Europene (UE-28) - total</t>
  </si>
  <si>
    <t>Țările Uniunii Europene (UE-28) - total</t>
  </si>
  <si>
    <t xml:space="preserve">Țările CSI - total </t>
  </si>
  <si>
    <t xml:space="preserve">Celelalte țări ale lumii - total </t>
  </si>
  <si>
    <t>Liberia</t>
  </si>
  <si>
    <t>Ţările CSI - total</t>
  </si>
  <si>
    <t>de 1,9 ori</t>
  </si>
  <si>
    <t>de 38,5 ori</t>
  </si>
  <si>
    <t>de 14,3 ori</t>
  </si>
  <si>
    <t>de 4,1 ori</t>
  </si>
  <si>
    <t>de 3,5 ori</t>
  </si>
  <si>
    <t xml:space="preserve">Ţările CSI - total </t>
  </si>
  <si>
    <t>de 9,7 ori</t>
  </si>
  <si>
    <t>Cărbune, cocs şi brichete</t>
  </si>
  <si>
    <t>Lemn si plută</t>
  </si>
  <si>
    <t>de 23,0 ori</t>
  </si>
  <si>
    <t>de 19,3 ori</t>
  </si>
  <si>
    <t>de 3,9 ori</t>
  </si>
  <si>
    <t>Ianuarie - august 2019</t>
  </si>
  <si>
    <t>în % faţă de ianuarie - august 2018¹</t>
  </si>
  <si>
    <t>ianuarie - august</t>
  </si>
  <si>
    <t>Ianuarie - august</t>
  </si>
  <si>
    <t>Ianuarie - august 2019          în % faţă de                          ianuarie - august 2018¹</t>
  </si>
  <si>
    <t xml:space="preserve">Celelalte ţări ale lumii - total </t>
  </si>
  <si>
    <t>Guinea</t>
  </si>
  <si>
    <t>Burkina Faso</t>
  </si>
  <si>
    <t>de 15,0 ori</t>
  </si>
  <si>
    <t>de 3,0 ori</t>
  </si>
  <si>
    <t>de 58,6 ori</t>
  </si>
  <si>
    <t>de 3528,5 ori</t>
  </si>
  <si>
    <t>de 13,2 ori</t>
  </si>
  <si>
    <t>de 39,3 ori</t>
  </si>
  <si>
    <t>de 2,6 ori</t>
  </si>
  <si>
    <t>de 2358,1 ori</t>
  </si>
  <si>
    <t>Bosnia şi Hertegovina</t>
  </si>
  <si>
    <t>Zimbabwe</t>
  </si>
  <si>
    <t>Guatemala</t>
  </si>
  <si>
    <t>Mauritius</t>
  </si>
  <si>
    <t>Liechtenştein</t>
  </si>
  <si>
    <t>Jamaica</t>
  </si>
  <si>
    <t>Cuba</t>
  </si>
  <si>
    <t>de 3,1 ori</t>
  </si>
  <si>
    <t>de 3,4 ori</t>
  </si>
  <si>
    <t>de 8,2 ori</t>
  </si>
  <si>
    <t>de 4,9 ori</t>
  </si>
  <si>
    <t>Incălţăminte</t>
  </si>
  <si>
    <t>Masini şi aparate specializate pentru industriile specifice</t>
  </si>
  <si>
    <t>Mobilă si părţile ei</t>
  </si>
  <si>
    <t>Alte materiale si produse chimice</t>
  </si>
  <si>
    <t>Maţini şi echipamente pentru transport</t>
  </si>
  <si>
    <t>de 7,7 ori</t>
  </si>
  <si>
    <t>de 27,0 ori</t>
  </si>
  <si>
    <t>de 2,1 ori</t>
  </si>
  <si>
    <t>Ianuarie - august 2019  în % faţă de                          ianuarie - august 2018¹</t>
  </si>
  <si>
    <t>Celelalte țări ale lumii - total</t>
  </si>
  <si>
    <t xml:space="preserve">EXPORT - total      </t>
  </si>
  <si>
    <t>Ţările Uniunii Europene (UE - 28) - total</t>
  </si>
  <si>
    <t>Andorra</t>
  </si>
  <si>
    <t>Uganda</t>
  </si>
  <si>
    <t>Republica Yemen</t>
  </si>
  <si>
    <t>de 6,5 ori</t>
  </si>
  <si>
    <t>de 6,7 ori</t>
  </si>
  <si>
    <t>de 475,9 ori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</si>
</sst>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66"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2"/>
    </font>
    <font>
      <sz val="10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b/>
      <i/>
      <sz val="12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2"/>
      <color rgb="FFC0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164" fontId="12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0" fontId="13" fillId="0" borderId="0" xfId="0" applyFont="1" applyAlignment="1">
      <alignment/>
    </xf>
    <xf numFmtId="0" fontId="8" fillId="0" borderId="0" xfId="0" applyFont="1" applyBorder="1" applyAlignment="1">
      <alignment vertical="top" wrapText="1"/>
    </xf>
    <xf numFmtId="0" fontId="14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2" fontId="13" fillId="0" borderId="0" xfId="0" applyNumberFormat="1" applyFont="1" applyFill="1" applyAlignment="1" applyProtection="1">
      <alignment horizontal="right"/>
      <protection/>
    </xf>
    <xf numFmtId="4" fontId="0" fillId="0" borderId="0" xfId="0" applyNumberForma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2" fillId="0" borderId="0" xfId="0" applyNumberFormat="1" applyFont="1" applyFill="1" applyAlignment="1" applyProtection="1">
      <alignment horizontal="left" vertical="top" wrapText="1"/>
      <protection/>
    </xf>
    <xf numFmtId="0" fontId="21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4" fontId="58" fillId="0" borderId="0" xfId="0" applyNumberFormat="1" applyFont="1" applyAlignment="1">
      <alignment horizontal="right" vertical="top" wrapText="1"/>
    </xf>
    <xf numFmtId="4" fontId="62" fillId="0" borderId="0" xfId="0" applyNumberFormat="1" applyFont="1" applyFill="1" applyAlignment="1" applyProtection="1">
      <alignment horizontal="right" vertical="top" wrapText="1"/>
      <protection/>
    </xf>
    <xf numFmtId="38" fontId="10" fillId="0" borderId="0" xfId="0" applyNumberFormat="1" applyFont="1" applyFill="1" applyAlignment="1" applyProtection="1">
      <alignment horizontal="left" vertical="top" wrapText="1"/>
      <protection/>
    </xf>
    <xf numFmtId="38" fontId="10" fillId="0" borderId="13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Alignment="1">
      <alignment horizontal="right" vertical="top"/>
    </xf>
    <xf numFmtId="4" fontId="21" fillId="0" borderId="14" xfId="0" applyNumberFormat="1" applyFont="1" applyFill="1" applyBorder="1" applyAlignment="1" applyProtection="1">
      <alignment horizontal="right" vertical="top" wrapText="1"/>
      <protection/>
    </xf>
    <xf numFmtId="4" fontId="12" fillId="0" borderId="0" xfId="0" applyNumberFormat="1" applyFont="1" applyFill="1" applyAlignment="1" applyProtection="1">
      <alignment horizontal="right" vertical="top" wrapText="1"/>
      <protection/>
    </xf>
    <xf numFmtId="4" fontId="10" fillId="0" borderId="0" xfId="0" applyNumberFormat="1" applyFont="1" applyFill="1" applyAlignment="1" applyProtection="1">
      <alignment horizontal="right" vertical="top" wrapText="1"/>
      <protection/>
    </xf>
    <xf numFmtId="4" fontId="10" fillId="0" borderId="13" xfId="0" applyNumberFormat="1" applyFont="1" applyFill="1" applyBorder="1" applyAlignment="1" applyProtection="1">
      <alignment horizontal="right" vertical="top" wrapText="1"/>
      <protection/>
    </xf>
    <xf numFmtId="4" fontId="63" fillId="0" borderId="0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Alignment="1">
      <alignment/>
    </xf>
    <xf numFmtId="0" fontId="26" fillId="0" borderId="0" xfId="0" applyNumberFormat="1" applyFont="1" applyFill="1" applyBorder="1" applyAlignment="1" applyProtection="1">
      <alignment horizontal="left" vertical="top" wrapText="1"/>
      <protection/>
    </xf>
    <xf numFmtId="4" fontId="21" fillId="0" borderId="14" xfId="0" applyNumberFormat="1" applyFont="1" applyFill="1" applyBorder="1" applyAlignment="1" applyProtection="1">
      <alignment horizontal="right" vertical="top" wrapText="1" indent="1"/>
      <protection/>
    </xf>
    <xf numFmtId="4" fontId="12" fillId="0" borderId="0" xfId="0" applyNumberFormat="1" applyFont="1" applyFill="1" applyAlignment="1" applyProtection="1">
      <alignment horizontal="right" vertical="top" wrapText="1" indent="1"/>
      <protection/>
    </xf>
    <xf numFmtId="4" fontId="10" fillId="0" borderId="0" xfId="0" applyNumberFormat="1" applyFont="1" applyFill="1" applyAlignment="1" applyProtection="1">
      <alignment horizontal="right" vertical="top" wrapText="1" indent="1"/>
      <protection/>
    </xf>
    <xf numFmtId="4" fontId="63" fillId="0" borderId="0" xfId="0" applyNumberFormat="1" applyFont="1" applyFill="1" applyBorder="1" applyAlignment="1" applyProtection="1">
      <alignment horizontal="right" vertical="top" wrapText="1" indent="1"/>
      <protection/>
    </xf>
    <xf numFmtId="38" fontId="10" fillId="0" borderId="0" xfId="0" applyNumberFormat="1" applyFont="1" applyFill="1" applyBorder="1" applyAlignment="1" applyProtection="1">
      <alignment horizontal="left" vertical="top" wrapText="1"/>
      <protection/>
    </xf>
    <xf numFmtId="4" fontId="10" fillId="0" borderId="0" xfId="0" applyNumberFormat="1" applyFont="1" applyFill="1" applyBorder="1" applyAlignment="1" applyProtection="1">
      <alignment horizontal="right" vertical="top" wrapText="1"/>
      <protection/>
    </xf>
    <xf numFmtId="0" fontId="12" fillId="0" borderId="0" xfId="0" applyFont="1" applyAlignment="1">
      <alignment/>
    </xf>
    <xf numFmtId="0" fontId="21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2" fontId="10" fillId="0" borderId="0" xfId="0" applyNumberFormat="1" applyFont="1" applyFill="1" applyAlignment="1" applyProtection="1">
      <alignment horizontal="right" vertical="top" wrapText="1"/>
      <protection/>
    </xf>
    <xf numFmtId="2" fontId="10" fillId="0" borderId="13" xfId="0" applyNumberFormat="1" applyFont="1" applyFill="1" applyBorder="1" applyAlignment="1" applyProtection="1">
      <alignment horizontal="right" vertical="top" wrapText="1"/>
      <protection/>
    </xf>
    <xf numFmtId="38" fontId="12" fillId="0" borderId="0" xfId="0" applyNumberFormat="1" applyFont="1" applyFill="1" applyBorder="1" applyAlignment="1" applyProtection="1">
      <alignment horizontal="left" vertical="top" wrapText="1"/>
      <protection/>
    </xf>
    <xf numFmtId="38" fontId="12" fillId="0" borderId="0" xfId="0" applyNumberFormat="1" applyFont="1" applyFill="1" applyAlignment="1" applyProtection="1">
      <alignment horizontal="left" vertical="top" wrapText="1"/>
      <protection/>
    </xf>
    <xf numFmtId="0" fontId="4" fillId="0" borderId="0" xfId="0" applyFont="1" applyAlignment="1">
      <alignment/>
    </xf>
    <xf numFmtId="38" fontId="12" fillId="0" borderId="13" xfId="0" applyNumberFormat="1" applyFont="1" applyFill="1" applyBorder="1" applyAlignment="1" applyProtection="1">
      <alignment horizontal="left" vertical="top" wrapText="1"/>
      <protection/>
    </xf>
    <xf numFmtId="4" fontId="12" fillId="0" borderId="13" xfId="0" applyNumberFormat="1" applyFont="1" applyFill="1" applyBorder="1" applyAlignment="1" applyProtection="1">
      <alignment horizontal="right" vertical="top" wrapText="1"/>
      <protection/>
    </xf>
    <xf numFmtId="4" fontId="12" fillId="0" borderId="13" xfId="0" applyNumberFormat="1" applyFont="1" applyFill="1" applyBorder="1" applyAlignment="1" applyProtection="1">
      <alignment horizontal="right" vertical="top" wrapText="1" indent="1"/>
      <protection/>
    </xf>
    <xf numFmtId="4" fontId="21" fillId="0" borderId="0" xfId="0" applyNumberFormat="1" applyFont="1" applyFill="1" applyAlignment="1" applyProtection="1">
      <alignment horizontal="right" vertical="top" wrapText="1"/>
      <protection/>
    </xf>
    <xf numFmtId="4" fontId="64" fillId="0" borderId="0" xfId="0" applyNumberFormat="1" applyFont="1" applyAlignment="1">
      <alignment horizontal="right" vertical="top" wrapText="1"/>
    </xf>
    <xf numFmtId="0" fontId="10" fillId="0" borderId="0" xfId="0" applyNumberFormat="1" applyFont="1" applyFill="1" applyAlignment="1" applyProtection="1">
      <alignment horizontal="left" vertical="top" wrapText="1"/>
      <protection/>
    </xf>
    <xf numFmtId="4" fontId="10" fillId="0" borderId="0" xfId="0" applyNumberFormat="1" applyFont="1" applyAlignment="1">
      <alignment horizontal="right" vertical="top" wrapText="1"/>
    </xf>
    <xf numFmtId="4" fontId="10" fillId="0" borderId="0" xfId="0" applyNumberFormat="1" applyFont="1" applyBorder="1" applyAlignment="1">
      <alignment horizontal="right" vertical="top" wrapText="1"/>
    </xf>
    <xf numFmtId="0" fontId="10" fillId="0" borderId="13" xfId="0" applyNumberFormat="1" applyFont="1" applyFill="1" applyBorder="1" applyAlignment="1" applyProtection="1">
      <alignment horizontal="left" vertical="top" wrapText="1"/>
      <protection/>
    </xf>
    <xf numFmtId="4" fontId="10" fillId="0" borderId="13" xfId="0" applyNumberFormat="1" applyFont="1" applyBorder="1" applyAlignment="1">
      <alignment horizontal="right" vertical="top" wrapText="1"/>
    </xf>
    <xf numFmtId="4" fontId="58" fillId="0" borderId="0" xfId="0" applyNumberFormat="1" applyFont="1" applyAlignment="1">
      <alignment horizontal="right" vertical="top" wrapText="1" indent="1"/>
    </xf>
    <xf numFmtId="4" fontId="65" fillId="0" borderId="0" xfId="0" applyNumberFormat="1" applyFont="1" applyAlignment="1">
      <alignment horizontal="right" vertical="top" wrapText="1" indent="1"/>
    </xf>
    <xf numFmtId="4" fontId="10" fillId="0" borderId="0" xfId="0" applyNumberFormat="1" applyFont="1" applyFill="1" applyBorder="1" applyAlignment="1" applyProtection="1">
      <alignment horizontal="right" vertical="top" wrapText="1" indent="1"/>
      <protection/>
    </xf>
    <xf numFmtId="4" fontId="10" fillId="0" borderId="13" xfId="0" applyNumberFormat="1" applyFont="1" applyFill="1" applyBorder="1" applyAlignment="1" applyProtection="1">
      <alignment horizontal="right" vertical="top" wrapText="1" indent="1"/>
      <protection/>
    </xf>
    <xf numFmtId="0" fontId="17" fillId="0" borderId="0" xfId="0" applyFont="1" applyAlignment="1">
      <alignment horizontal="center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3" xfId="64"/>
    <cellStyle name="Обычный 3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1"/>
  <sheetViews>
    <sheetView tabSelected="1" zoomScalePageLayoutView="0" workbookViewId="0" topLeftCell="A1">
      <selection activeCell="J24" sqref="J24"/>
    </sheetView>
  </sheetViews>
  <sheetFormatPr defaultColWidth="9.00390625" defaultRowHeight="15.75"/>
  <cols>
    <col min="1" max="1" width="33.00390625" style="9" customWidth="1"/>
    <col min="2" max="2" width="11.125" style="9" customWidth="1"/>
    <col min="3" max="3" width="10.00390625" style="9" customWidth="1"/>
    <col min="4" max="4" width="7.875" style="9" customWidth="1"/>
    <col min="5" max="5" width="7.625" style="9" customWidth="1"/>
    <col min="6" max="7" width="9.75390625" style="9" customWidth="1"/>
  </cols>
  <sheetData>
    <row r="1" spans="1:7" ht="15.75">
      <c r="A1" s="67" t="s">
        <v>130</v>
      </c>
      <c r="B1" s="67"/>
      <c r="C1" s="67"/>
      <c r="D1" s="67"/>
      <c r="E1" s="67"/>
      <c r="F1" s="67"/>
      <c r="G1" s="67"/>
    </row>
    <row r="2" ht="9" customHeight="1"/>
    <row r="3" spans="1:7" ht="54" customHeight="1">
      <c r="A3" s="68"/>
      <c r="B3" s="71" t="s">
        <v>253</v>
      </c>
      <c r="C3" s="72"/>
      <c r="D3" s="71" t="s">
        <v>117</v>
      </c>
      <c r="E3" s="72"/>
      <c r="F3" s="73" t="s">
        <v>1</v>
      </c>
      <c r="G3" s="74"/>
    </row>
    <row r="4" spans="1:7" ht="24" customHeight="1">
      <c r="A4" s="69"/>
      <c r="B4" s="75" t="s">
        <v>107</v>
      </c>
      <c r="C4" s="77" t="s">
        <v>254</v>
      </c>
      <c r="D4" s="79" t="s">
        <v>255</v>
      </c>
      <c r="E4" s="79"/>
      <c r="F4" s="79" t="s">
        <v>255</v>
      </c>
      <c r="G4" s="71"/>
    </row>
    <row r="5" spans="1:7" ht="22.5" customHeight="1">
      <c r="A5" s="70"/>
      <c r="B5" s="76"/>
      <c r="C5" s="78"/>
      <c r="D5" s="21">
        <v>2018</v>
      </c>
      <c r="E5" s="21">
        <v>2019</v>
      </c>
      <c r="F5" s="21" t="s">
        <v>119</v>
      </c>
      <c r="G5" s="17" t="s">
        <v>140</v>
      </c>
    </row>
    <row r="6" spans="1:7" ht="15.75" customHeight="1">
      <c r="A6" s="46" t="s">
        <v>108</v>
      </c>
      <c r="B6" s="32">
        <f>IF(1787603.34854="","-",1787603.34854)</f>
        <v>1787603.34854</v>
      </c>
      <c r="C6" s="32">
        <f>IF(1752232.13505="","-",1787603.34854/1752232.13505*100)</f>
        <v>102.01863741581197</v>
      </c>
      <c r="D6" s="32">
        <v>100</v>
      </c>
      <c r="E6" s="32">
        <v>100</v>
      </c>
      <c r="F6" s="32">
        <f>IF(1427663.68281="","-",(1752232.13505-1427663.68281)/1427663.68281*100)</f>
        <v>22.734237492206006</v>
      </c>
      <c r="G6" s="32">
        <f>IF(1752232.13505="","-",(1787603.34854-1752232.13505)/1752232.13505*100)</f>
        <v>2.0186374158119564</v>
      </c>
    </row>
    <row r="7" spans="1:7" ht="15.75" customHeight="1">
      <c r="A7" s="47" t="s">
        <v>157</v>
      </c>
      <c r="B7" s="36"/>
      <c r="C7" s="36"/>
      <c r="D7" s="36"/>
      <c r="E7" s="36"/>
      <c r="F7" s="36"/>
      <c r="G7" s="36"/>
    </row>
    <row r="8" spans="1:7" ht="15.75" customHeight="1">
      <c r="A8" s="24" t="s">
        <v>235</v>
      </c>
      <c r="B8" s="33">
        <f>IF(1173991.97745="","-",1173991.97745)</f>
        <v>1173991.97745</v>
      </c>
      <c r="C8" s="33">
        <f>IF(1213538.32398="","-",1173991.97745/1213538.32398*100)</f>
        <v>96.74123628825323</v>
      </c>
      <c r="D8" s="33">
        <f>IF(1213538.32398="","-",1213538.32398/1752232.13505*100)</f>
        <v>69.2567097535494</v>
      </c>
      <c r="E8" s="33">
        <f>IF(1173991.97745="","-",1173991.97745/1787603.34854*100)</f>
        <v>65.67407576232398</v>
      </c>
      <c r="F8" s="33">
        <f>IF(1427663.68281="","-",(1213538.32398-915525.88776)/1427663.68281*100)</f>
        <v>20.874134420330492</v>
      </c>
      <c r="G8" s="33">
        <f>IF(1752232.13505="","-",(1173991.97745-1213538.32398)/1752232.13505*100)</f>
        <v>-2.2569125253984548</v>
      </c>
    </row>
    <row r="9" spans="1:7" ht="15.75" customHeight="1">
      <c r="A9" s="29" t="s">
        <v>2</v>
      </c>
      <c r="B9" s="34">
        <f>IF(507895.07753="","-",507895.07753)</f>
        <v>507895.07753</v>
      </c>
      <c r="C9" s="34">
        <f>IF(OR(488303.58459="",507895.07753=""),"-",507895.07753/488303.58459*100)</f>
        <v>104.01215423320103</v>
      </c>
      <c r="D9" s="34">
        <f>IF(488303.58459="","-",488303.58459/1752232.13505*100)</f>
        <v>27.86751679885532</v>
      </c>
      <c r="E9" s="34">
        <f>IF(507895.07753="","-",507895.07753/1787603.34854*100)</f>
        <v>28.412067920146615</v>
      </c>
      <c r="F9" s="34">
        <f>IF(OR(1427663.68281="",349000.74254="",488303.58459=""),"-",(488303.58459-349000.74254)/1427663.68281*100)</f>
        <v>9.757399009815607</v>
      </c>
      <c r="G9" s="34">
        <f>IF(OR(1752232.13505="",507895.07753="",488303.58459=""),"-",(507895.07753-488303.58459)/1752232.13505*100)</f>
        <v>1.1180877549332802</v>
      </c>
    </row>
    <row r="10" spans="1:7" ht="15.75" customHeight="1">
      <c r="A10" s="29" t="s">
        <v>3</v>
      </c>
      <c r="B10" s="34">
        <f>IF(185231.75525="","-",185231.75525)</f>
        <v>185231.75525</v>
      </c>
      <c r="C10" s="34">
        <f>IF(OR(206057.59192="",185231.75525=""),"-",185231.75525/206057.59192*100)</f>
        <v>89.89319613223206</v>
      </c>
      <c r="D10" s="34">
        <f>IF(206057.59192="","-",206057.59192/1752232.13505*100)</f>
        <v>11.759719947957702</v>
      </c>
      <c r="E10" s="34">
        <f>IF(185231.75525="","-",185231.75525/1787603.34854*100)</f>
        <v>10.362016573826931</v>
      </c>
      <c r="F10" s="34">
        <f>IF(OR(1427663.68281="",132189.34841="",206057.59192=""),"-",(206057.59192-132189.34841)/1427663.68281*100)</f>
        <v>5.1740647604489585</v>
      </c>
      <c r="G10" s="34">
        <f>IF(OR(1752232.13505="",185231.75525="",206057.59192=""),"-",(185231.75525-206057.59192)/1752232.13505*100)</f>
        <v>-1.188531830538866</v>
      </c>
    </row>
    <row r="11" spans="1:7" ht="15.75" customHeight="1">
      <c r="A11" s="29" t="s">
        <v>4</v>
      </c>
      <c r="B11" s="34">
        <f>IF(160896.15664="","-",160896.15664)</f>
        <v>160896.15664</v>
      </c>
      <c r="C11" s="34">
        <f>IF(OR(147326.28363="",160896.15664=""),"-",160896.15664/147326.28363*100)</f>
        <v>109.21076177016711</v>
      </c>
      <c r="D11" s="34">
        <f>IF(147326.28363="","-",147326.28363/1752232.13505*100)</f>
        <v>8.407920428065658</v>
      </c>
      <c r="E11" s="34">
        <f>IF(160896.15664="","-",160896.15664/1787603.34854*100)</f>
        <v>9.000663193622326</v>
      </c>
      <c r="F11" s="34">
        <f>IF(OR(1427663.68281="",95606.99673="",147326.28363=""),"-",(147326.28363-95606.99673)/1427663.68281*100)</f>
        <v>3.622651995896083</v>
      </c>
      <c r="G11" s="34">
        <f>IF(OR(1752232.13505="",160896.15664="",147326.28363=""),"-",(160896.15664-147326.28363)/1752232.13505*100)</f>
        <v>0.7744335204543429</v>
      </c>
    </row>
    <row r="12" spans="1:7" ht="13.5" customHeight="1">
      <c r="A12" s="29" t="s">
        <v>5</v>
      </c>
      <c r="B12" s="34">
        <f>IF(69163.57169="","-",69163.57169)</f>
        <v>69163.57169</v>
      </c>
      <c r="C12" s="34">
        <f>IF(OR(60837.52435="",69163.57169=""),"-",69163.57169/60837.52435*100)</f>
        <v>113.68571030619196</v>
      </c>
      <c r="D12" s="34">
        <f>IF(60837.52435="","-",60837.52435/1752232.13505*100)</f>
        <v>3.472001405125697</v>
      </c>
      <c r="E12" s="34">
        <f>IF(69163.57169="","-",69163.57169/1787603.34854*100)</f>
        <v>3.8690670246555743</v>
      </c>
      <c r="F12" s="34">
        <f>IF(OR(1427663.68281="",46804.91862="",60837.52435=""),"-",(60837.52435-46804.91862)/1427663.68281*100)</f>
        <v>0.9829069618399424</v>
      </c>
      <c r="G12" s="34">
        <f>IF(OR(1752232.13505="",69163.57169="",60837.52435=""),"-",(69163.57169-60837.52435)/1752232.13505*100)</f>
        <v>0.4751680541324174</v>
      </c>
    </row>
    <row r="13" spans="1:7" ht="15.75" customHeight="1">
      <c r="A13" s="29" t="s">
        <v>164</v>
      </c>
      <c r="B13" s="34">
        <f>IF(35613.19338="","-",35613.19338)</f>
        <v>35613.19338</v>
      </c>
      <c r="C13" s="34">
        <f>IF(OR(58030.20152="",35613.19338=""),"-",35613.19338/58030.20152*100)</f>
        <v>61.370101166589905</v>
      </c>
      <c r="D13" s="34">
        <f>IF(58030.20152="","-",58030.20152/1752232.13505*100)</f>
        <v>3.311787311693385</v>
      </c>
      <c r="E13" s="34">
        <f>IF(35613.19338="","-",35613.19338/1787603.34854*100)</f>
        <v>1.9922312972330565</v>
      </c>
      <c r="F13" s="34">
        <f>IF(OR(1427663.68281="",86661.29131="",58030.20152=""),"-",(58030.20152-86661.29131)/1427663.68281*100)</f>
        <v>-2.0054505927927533</v>
      </c>
      <c r="G13" s="34">
        <f>IF(OR(1752232.13505="",35613.19338="",58030.20152=""),"-",(35613.19338-58030.20152)/1752232.13505*100)</f>
        <v>-1.2793400880848664</v>
      </c>
    </row>
    <row r="14" spans="1:7" s="12" customFormat="1" ht="15.75">
      <c r="A14" s="29" t="s">
        <v>7</v>
      </c>
      <c r="B14" s="34">
        <f>IF(35348.15984="","-",35348.15984)</f>
        <v>35348.15984</v>
      </c>
      <c r="C14" s="34">
        <f>IF(OR(26519.42261="",35348.15984=""),"-",35348.15984/26519.42261*100)</f>
        <v>133.29158918667724</v>
      </c>
      <c r="D14" s="34">
        <f>IF(26519.42261="","-",26519.42261/1752232.13505*100)</f>
        <v>1.5134651442312048</v>
      </c>
      <c r="E14" s="34">
        <f>IF(35348.15984="","-",35348.15984/1787603.34854*100)</f>
        <v>1.977405103255715</v>
      </c>
      <c r="F14" s="34">
        <f>IF(OR(1427663.68281="",19460.93556="",26519.42261=""),"-",(26519.42261-19460.93556)/1427663.68281*100)</f>
        <v>0.49440825139623423</v>
      </c>
      <c r="G14" s="34">
        <f>IF(OR(1752232.13505="",35348.15984="",26519.42261=""),"-",(35348.15984-26519.42261)/1752232.13505*100)</f>
        <v>0.5038565983010048</v>
      </c>
    </row>
    <row r="15" spans="1:7" s="12" customFormat="1" ht="15.75">
      <c r="A15" s="29" t="s">
        <v>6</v>
      </c>
      <c r="B15" s="34">
        <f>IF(26848.95786="","-",26848.95786)</f>
        <v>26848.95786</v>
      </c>
      <c r="C15" s="34">
        <f>IF(OR(34274.24713="",26848.95786=""),"-",26848.95786/34274.24713*100)</f>
        <v>78.33566046881683</v>
      </c>
      <c r="D15" s="34">
        <f>IF(34274.24713="","-",34274.24713/1752232.13505*100)</f>
        <v>1.956033475497354</v>
      </c>
      <c r="E15" s="34">
        <f>IF(26848.95786="","-",26848.95786/1787603.34854*100)</f>
        <v>1.5019527616083574</v>
      </c>
      <c r="F15" s="34">
        <f>IF(OR(1427663.68281="",52506.9555099999="",34274.24713=""),"-",(34274.24713-52506.9555099999)/1427663.68281*100)</f>
        <v>-1.2771010847676223</v>
      </c>
      <c r="G15" s="34">
        <f>IF(OR(1752232.13505="",26848.95786="",34274.24713=""),"-",(26848.95786-34274.24713)/1752232.13505*100)</f>
        <v>-0.4237617334753494</v>
      </c>
    </row>
    <row r="16" spans="1:7" s="12" customFormat="1" ht="15.75">
      <c r="A16" s="29" t="s">
        <v>10</v>
      </c>
      <c r="B16" s="34">
        <f>IF(23821.53294="","-",23821.53294)</f>
        <v>23821.53294</v>
      </c>
      <c r="C16" s="34">
        <f>IF(OR(25070.94463="",23821.53294=""),"-",23821.53294/25070.94463*100)</f>
        <v>95.01649535572365</v>
      </c>
      <c r="D16" s="34">
        <f>IF(25070.94463="","-",25070.94463/1752232.13505*100)</f>
        <v>1.4308004132845447</v>
      </c>
      <c r="E16" s="34">
        <f>IF(23821.53294="","-",23821.53294/1787603.34854*100)</f>
        <v>1.3325961242719704</v>
      </c>
      <c r="F16" s="34">
        <f>IF(OR(1427663.68281="",14651.06905="",25070.94463=""),"-",(25070.94463-14651.06905)/1427663.68281*100)</f>
        <v>0.72985505658385</v>
      </c>
      <c r="G16" s="34">
        <f>IF(OR(1752232.13505="",23821.53294="",25070.94463=""),"-",(23821.53294-25070.94463)/1752232.13505*100)</f>
        <v>-0.07130400504636042</v>
      </c>
    </row>
    <row r="17" spans="1:7" s="12" customFormat="1" ht="15.75">
      <c r="A17" s="29" t="s">
        <v>163</v>
      </c>
      <c r="B17" s="34">
        <f>IF(23005.98346="","-",23005.98346)</f>
        <v>23005.98346</v>
      </c>
      <c r="C17" s="34">
        <f>IF(OR(36747.47085="",23005.98346=""),"-",23005.98346/36747.47085*100)</f>
        <v>62.605624082017606</v>
      </c>
      <c r="D17" s="34">
        <f>IF(36747.47085="","-",36747.47085/1752232.13505*100)</f>
        <v>2.097180511356813</v>
      </c>
      <c r="E17" s="34">
        <f>IF(23005.98346="","-",23005.98346/1787603.34854*100)</f>
        <v>1.2869736163109011</v>
      </c>
      <c r="F17" s="34">
        <f>IF(OR(1427663.68281="",24002.11956="",36747.47085=""),"-",(36747.47085-24002.11956)/1427663.68281*100)</f>
        <v>0.8927418581464475</v>
      </c>
      <c r="G17" s="34">
        <f>IF(OR(1752232.13505="",23005.98346="",36747.47085=""),"-",(23005.98346-36747.47085)/1752232.13505*100)</f>
        <v>-0.7842275640954322</v>
      </c>
    </row>
    <row r="18" spans="1:7" s="12" customFormat="1" ht="15.75">
      <c r="A18" s="29" t="s">
        <v>48</v>
      </c>
      <c r="B18" s="34">
        <f>IF(21365.10907="","-",21365.10907)</f>
        <v>21365.10907</v>
      </c>
      <c r="C18" s="34">
        <f>IF(OR(19081.05023="",21365.10907=""),"-",21365.10907/19081.05023*100)</f>
        <v>111.97029939373519</v>
      </c>
      <c r="D18" s="34">
        <f>IF(19081.05023="","-",19081.05023/1752232.13505*100)</f>
        <v>1.08895675683151</v>
      </c>
      <c r="E18" s="34">
        <f>IF(21365.10907="","-",21365.10907/1787603.34854*100)</f>
        <v>1.1951817548031365</v>
      </c>
      <c r="F18" s="34">
        <f>IF(OR(1427663.68281="",14431.01796="",19081.05023=""),"-",(19081.05023-14431.01796)/1427663.68281*100)</f>
        <v>0.32570922171582967</v>
      </c>
      <c r="G18" s="34">
        <f>IF(OR(1752232.13505="",21365.10907="",19081.05023=""),"-",(21365.10907-19081.05023)/1752232.13505*100)</f>
        <v>0.13035138406104063</v>
      </c>
    </row>
    <row r="19" spans="1:7" s="12" customFormat="1" ht="15.75">
      <c r="A19" s="29" t="s">
        <v>8</v>
      </c>
      <c r="B19" s="34">
        <f>IF(18535.68875="","-",18535.68875)</f>
        <v>18535.68875</v>
      </c>
      <c r="C19" s="34">
        <f>IF(OR(27309.01585="",18535.68875=""),"-",18535.68875/27309.01585*100)</f>
        <v>67.87388037639592</v>
      </c>
      <c r="D19" s="34">
        <f>IF(27309.01585="","-",27309.01585/1752232.13505*100)</f>
        <v>1.558527280931344</v>
      </c>
      <c r="E19" s="34">
        <f>IF(18535.68875="","-",18535.68875/1787603.34854*100)</f>
        <v>1.0369016574699732</v>
      </c>
      <c r="F19" s="34">
        <f>IF(OR(1427663.68281="",19995.0708="",27309.01585=""),"-",(27309.01585-19995.0708)/1427663.68281*100)</f>
        <v>0.5123016812758255</v>
      </c>
      <c r="G19" s="34">
        <f>IF(OR(1752232.13505="",18535.68875="",27309.01585=""),"-",(18535.68875-27309.01585)/1752232.13505*100)</f>
        <v>-0.5006943386385077</v>
      </c>
    </row>
    <row r="20" spans="1:7" s="14" customFormat="1" ht="15.75">
      <c r="A20" s="29" t="s">
        <v>9</v>
      </c>
      <c r="B20" s="34">
        <f>IF(18451.73903="","-",18451.73903)</f>
        <v>18451.73903</v>
      </c>
      <c r="C20" s="34">
        <f>IF(OR(24204.58155="",18451.73903=""),"-",18451.73903/24204.58155*100)</f>
        <v>76.23242315461555</v>
      </c>
      <c r="D20" s="34">
        <f>IF(24204.58155="","-",24204.58155/1752232.13505*100)</f>
        <v>1.3813570169062859</v>
      </c>
      <c r="E20" s="34">
        <f>IF(18451.73903="","-",18451.73903/1787603.34854*100)</f>
        <v>1.032205441160658</v>
      </c>
      <c r="F20" s="34">
        <f>IF(OR(1427663.68281="",20170.43962="",24204.58155=""),"-",(24204.58155-20170.43962)/1427663.68281*100)</f>
        <v>0.2825694859772433</v>
      </c>
      <c r="G20" s="34">
        <f>IF(OR(1752232.13505="",18451.73903="",24204.58155=""),"-",(18451.73903-24204.58155)/1752232.13505*100)</f>
        <v>-0.32831509050231183</v>
      </c>
    </row>
    <row r="21" spans="1:7" s="12" customFormat="1" ht="15.75">
      <c r="A21" s="29" t="s">
        <v>49</v>
      </c>
      <c r="B21" s="34">
        <f>IF(9833.03455="","-",9833.03455)</f>
        <v>9833.03455</v>
      </c>
      <c r="C21" s="34">
        <f>IF(OR(10174.91529="",9833.03455=""),"-",9833.03455/10174.91529*100)</f>
        <v>96.63996475394735</v>
      </c>
      <c r="D21" s="34">
        <f>IF(10174.91529="","-",10174.91529/1752232.13505*100)</f>
        <v>0.5806830662713339</v>
      </c>
      <c r="E21" s="34">
        <f>IF(9833.03455="","-",9833.03455/1787603.34854*100)</f>
        <v>0.5500680314808648</v>
      </c>
      <c r="F21" s="34">
        <f>IF(OR(1427663.68281="",8206.10559="",10174.91529=""),"-",(10174.91529-8206.10559)/1427663.68281*100)</f>
        <v>0.13790430643475435</v>
      </c>
      <c r="G21" s="34">
        <f>IF(OR(1752232.13505="",9833.03455="",10174.91529=""),"-",(9833.03455-10174.91529)/1752232.13505*100)</f>
        <v>-0.019511155694576104</v>
      </c>
    </row>
    <row r="22" spans="1:7" s="12" customFormat="1" ht="15.75">
      <c r="A22" s="29" t="s">
        <v>55</v>
      </c>
      <c r="B22" s="34">
        <f>IF(8273.17087="","-",8273.17087)</f>
        <v>8273.17087</v>
      </c>
      <c r="C22" s="34">
        <f>IF(OR(5883.00819="",8273.17087=""),"-",8273.17087/5883.00819*100)</f>
        <v>140.62823988691406</v>
      </c>
      <c r="D22" s="34">
        <f>IF(5883.00819="","-",5883.00819/1752232.13505*100)</f>
        <v>0.3357436536131172</v>
      </c>
      <c r="E22" s="34">
        <f>IF(8273.17087="","-",8273.17087/1787603.34854*100)</f>
        <v>0.4628079756483448</v>
      </c>
      <c r="F22" s="34">
        <f>IF(OR(1427663.68281="",5728.56828="",5883.00819=""),"-",(5883.00819-5728.56828)/1427663.68281*100)</f>
        <v>0.01081766748426511</v>
      </c>
      <c r="G22" s="34">
        <f>IF(OR(1752232.13505="",8273.17087="",5883.00819=""),"-",(8273.17087-5883.00819)/1752232.13505*100)</f>
        <v>0.13640673699502703</v>
      </c>
    </row>
    <row r="23" spans="1:7" s="12" customFormat="1" ht="15.75">
      <c r="A23" s="29" t="s">
        <v>52</v>
      </c>
      <c r="B23" s="34">
        <f>IF(8268.17912="","-",8268.17912)</f>
        <v>8268.17912</v>
      </c>
      <c r="C23" s="34">
        <f>IF(OR(13083.51311="",8268.17912=""),"-",8268.17912/13083.51311*100)</f>
        <v>63.19540516744283</v>
      </c>
      <c r="D23" s="34">
        <f>IF(13083.51311="","-",13083.51311/1752232.13505*100)</f>
        <v>0.7466769298593341</v>
      </c>
      <c r="E23" s="34">
        <f>IF(8268.17912="","-",8268.17912/1787603.34854*100)</f>
        <v>0.46252873305215725</v>
      </c>
      <c r="F23" s="34">
        <f>IF(OR(1427663.68281="",5953.53583="",13083.51311=""),"-",(13083.51311-5953.53583)/1427663.68281*100)</f>
        <v>0.49941574937077743</v>
      </c>
      <c r="G23" s="34">
        <f>IF(OR(1752232.13505="",8268.17912="",13083.51311=""),"-",(8268.17912-13083.51311)/1752232.13505*100)</f>
        <v>-0.27481141874290493</v>
      </c>
    </row>
    <row r="24" spans="1:7" s="12" customFormat="1" ht="15.75">
      <c r="A24" s="29" t="s">
        <v>50</v>
      </c>
      <c r="B24" s="34">
        <f>IF(5536.91966="","-",5536.91966)</f>
        <v>5536.91966</v>
      </c>
      <c r="C24" s="34">
        <f>IF(OR(5124.84493="",5536.91966=""),"-",5536.91966/5124.84493*100)</f>
        <v>108.04072582933742</v>
      </c>
      <c r="D24" s="34">
        <f>IF(5124.84493="","-",5124.84493/1752232.13505*100)</f>
        <v>0.29247522788147945</v>
      </c>
      <c r="E24" s="34">
        <f>IF(5536.91966="","-",5536.91966/1787603.34854*100)</f>
        <v>0.3097398348756843</v>
      </c>
      <c r="F24" s="34">
        <f>IF(OR(1427663.68281="",6285.8914="",5124.84493=""),"-",(5124.84493-6285.8914)/1427663.68281*100)</f>
        <v>-0.08132492855143375</v>
      </c>
      <c r="G24" s="34">
        <f>IF(OR(1752232.13505="",5536.91966="",5124.84493=""),"-",(5536.91966-5124.84493)/1752232.13505*100)</f>
        <v>0.023517131192679605</v>
      </c>
    </row>
    <row r="25" spans="1:7" s="12" customFormat="1" ht="15.75">
      <c r="A25" s="29" t="s">
        <v>51</v>
      </c>
      <c r="B25" s="34">
        <f>IF(5338.40937="","-",5338.40937)</f>
        <v>5338.40937</v>
      </c>
      <c r="C25" s="34">
        <f>IF(OR(6469.89828="",5338.40937=""),"-",5338.40937/6469.89828*100)</f>
        <v>82.51148841864018</v>
      </c>
      <c r="D25" s="34">
        <f>IF(6469.89828="","-",6469.89828/1752232.13505*100)</f>
        <v>0.3692375085801849</v>
      </c>
      <c r="E25" s="34">
        <f>IF(5338.40937="","-",5338.40937/1787603.34854*100)</f>
        <v>0.2986350061583892</v>
      </c>
      <c r="F25" s="34">
        <f>IF(OR(1427663.68281="",5353.54187="",6469.89828=""),"-",(6469.89828-5353.54187)/1427663.68281*100)</f>
        <v>0.07819463529412832</v>
      </c>
      <c r="G25" s="34">
        <f>IF(OR(1752232.13505="",5338.40937="",6469.89828=""),"-",(5338.40937-6469.89828)/1752232.13505*100)</f>
        <v>-0.0645741444507701</v>
      </c>
    </row>
    <row r="26" spans="1:7" s="12" customFormat="1" ht="15.75">
      <c r="A26" s="29" t="s">
        <v>53</v>
      </c>
      <c r="B26" s="34">
        <f>IF(5210.95855="","-",5210.95855)</f>
        <v>5210.95855</v>
      </c>
      <c r="C26" s="34">
        <f>IF(OR(4016.21897="",5210.95855=""),"-",5210.95855/4016.21897*100)</f>
        <v>129.747869549055</v>
      </c>
      <c r="D26" s="34">
        <f>IF(4016.21897="","-",4016.21897/1752232.13505*100)</f>
        <v>0.22920587344926174</v>
      </c>
      <c r="E26" s="34">
        <f>IF(5210.95855="","-",5210.95855/1787603.34854*100)</f>
        <v>0.29150530257486806</v>
      </c>
      <c r="F26" s="34">
        <f>IF(OR(1427663.68281="",3165.48846="",4016.21897=""),"-",(4016.21897-3165.48846)/1427663.68281*100)</f>
        <v>0.05958899986343765</v>
      </c>
      <c r="G26" s="34">
        <f>IF(OR(1752232.13505="",5210.95855="",4016.21897=""),"-",(5210.95855-4016.21897)/1752232.13505*100)</f>
        <v>0.06818386423245848</v>
      </c>
    </row>
    <row r="27" spans="1:7" s="9" customFormat="1" ht="15.75">
      <c r="A27" s="29" t="s">
        <v>54</v>
      </c>
      <c r="B27" s="34">
        <f>IF(2377.59671="","-",2377.59671)</f>
        <v>2377.59671</v>
      </c>
      <c r="C27" s="34">
        <f>IF(OR(2221.26301="",2377.59671=""),"-",2377.59671/2221.26301*100)</f>
        <v>107.03805444452972</v>
      </c>
      <c r="D27" s="34">
        <f>IF(2221.26301="","-",2221.26301/1752232.13505*100)</f>
        <v>0.1267676220272388</v>
      </c>
      <c r="E27" s="34">
        <f>IF(2377.59671="","-",2377.59671/1787603.34854*100)</f>
        <v>0.1330047133745788</v>
      </c>
      <c r="F27" s="34">
        <f>IF(OR(1427663.68281="",2091.4196="",2221.26301=""),"-",(2221.26301-2091.4196)/1427663.68281*100)</f>
        <v>0.009094817747582931</v>
      </c>
      <c r="G27" s="34">
        <f>IF(OR(1752232.13505="",2377.59671="",2221.26301=""),"-",(2377.59671-2221.26301)/1752232.13505*100)</f>
        <v>0.008921974256312717</v>
      </c>
    </row>
    <row r="28" spans="1:7" s="9" customFormat="1" ht="15.75">
      <c r="A28" s="29" t="s">
        <v>57</v>
      </c>
      <c r="B28" s="34">
        <f>IF(716.98941="","-",716.98941)</f>
        <v>716.98941</v>
      </c>
      <c r="C28" s="34" t="s">
        <v>225</v>
      </c>
      <c r="D28" s="34">
        <f>IF(158.48512="","-",158.48512/1752232.13505*100)</f>
        <v>0.009044755933292917</v>
      </c>
      <c r="E28" s="34">
        <f>IF(716.98941="","-",716.98941/1787603.34854*100)</f>
        <v>0.04010897666899042</v>
      </c>
      <c r="F28" s="34">
        <f>IF(OR(1427663.68281="",82.14881="",158.48512=""),"-",(158.48512-82.14881)/1427663.68281*100)</f>
        <v>0.005346939263016834</v>
      </c>
      <c r="G28" s="34">
        <f>IF(OR(1752232.13505="",716.98941="",158.48512=""),"-",(716.98941-158.48512)/1752232.13505*100)</f>
        <v>0.03187387554583703</v>
      </c>
    </row>
    <row r="29" spans="1:7" s="12" customFormat="1" ht="15.75">
      <c r="A29" s="29" t="s">
        <v>165</v>
      </c>
      <c r="B29" s="34">
        <f>IF(549.53786="","-",549.53786)</f>
        <v>549.53786</v>
      </c>
      <c r="C29" s="34">
        <f>IF(OR(463.79563="",549.53786=""),"-",549.53786/463.79563*100)</f>
        <v>118.48707155778936</v>
      </c>
      <c r="D29" s="34">
        <f>IF(463.79563="","-",463.79563/1752232.13505*100)</f>
        <v>0.02646884626315597</v>
      </c>
      <c r="E29" s="34">
        <f>IF(549.53786="","-",549.53786/1787603.34854*100)</f>
        <v>0.030741599384943384</v>
      </c>
      <c r="F29" s="34">
        <f>IF(OR(1427663.68281="",229.87508="",463.79563=""),"-",(463.79563-229.87508)/1427663.68281*100)</f>
        <v>0.016384849794566867</v>
      </c>
      <c r="G29" s="34">
        <f>IF(OR(1752232.13505="",549.53786="",463.79563=""),"-",(549.53786-463.79563)/1752232.13505*100)</f>
        <v>0.004893314549190901</v>
      </c>
    </row>
    <row r="30" spans="1:7" s="12" customFormat="1" ht="15.75">
      <c r="A30" s="29" t="s">
        <v>58</v>
      </c>
      <c r="B30" s="34">
        <f>IF(519.87144="","-",519.87144)</f>
        <v>519.87144</v>
      </c>
      <c r="C30" s="34">
        <f>IF(OR(647.87727="",519.87144=""),"-",519.87144/647.87727*100)</f>
        <v>80.24227181175843</v>
      </c>
      <c r="D30" s="34">
        <f>IF(647.87727="","-",647.87727/1752232.13505*100)</f>
        <v>0.03697439722970911</v>
      </c>
      <c r="E30" s="34">
        <f>IF(519.87144="","-",519.87144/1787603.34854*100)</f>
        <v>0.029082035476415826</v>
      </c>
      <c r="F30" s="34">
        <f>IF(OR(1427663.68281="",903.48505="",647.87727=""),"-",(647.87727-903.48505)/1427663.68281*100)</f>
        <v>-0.01790392114597325</v>
      </c>
      <c r="G30" s="34">
        <f>IF(OR(1752232.13505="",519.87144="",647.87727=""),"-",(519.87144-647.87727)/1752232.13505*100)</f>
        <v>-0.007305300903886648</v>
      </c>
    </row>
    <row r="31" spans="1:7" s="9" customFormat="1" ht="15.75">
      <c r="A31" s="29" t="s">
        <v>56</v>
      </c>
      <c r="B31" s="34">
        <f>IF(494.45881="","-",494.45881)</f>
        <v>494.45881</v>
      </c>
      <c r="C31" s="34">
        <f>IF(OR(1261.11038="",494.45881=""),"-",494.45881/1261.11038*100)</f>
        <v>39.208210307491086</v>
      </c>
      <c r="D31" s="34">
        <f>IF(1261.11038="","-",1261.11038/1752232.13505*100)</f>
        <v>0.07197165003277459</v>
      </c>
      <c r="E31" s="34">
        <f>IF(494.45881="","-",494.45881/1787603.34854*100)</f>
        <v>0.027660432075373005</v>
      </c>
      <c r="F31" s="34">
        <f>IF(OR(1427663.68281="",1063.63752="",1261.11038=""),"-",(1261.11038-1063.63752)/1427663.68281*100)</f>
        <v>0.013831889287211116</v>
      </c>
      <c r="G31" s="34">
        <f>IF(OR(1752232.13505="",494.45881="",1261.11038=""),"-",(494.45881-1261.11038)/1752232.13505*100)</f>
        <v>-0.043752854126152846</v>
      </c>
    </row>
    <row r="32" spans="1:7" s="9" customFormat="1" ht="15.75">
      <c r="A32" s="29" t="s">
        <v>63</v>
      </c>
      <c r="B32" s="34">
        <f>IF(461.08919="","-",461.08919)</f>
        <v>461.08919</v>
      </c>
      <c r="C32" s="34">
        <f>IF(OR(573.68424="",461.08919=""),"-",461.08919/573.68424*100)</f>
        <v>80.37334091659899</v>
      </c>
      <c r="D32" s="34">
        <f>IF(573.68424="","-",573.68424/1752232.13505*100)</f>
        <v>0.03274019626307276</v>
      </c>
      <c r="E32" s="34">
        <f>IF(461.08919="","-",461.08919/1787603.34854*100)</f>
        <v>0.025793708116321673</v>
      </c>
      <c r="F32" s="34">
        <f>IF(OR(1427663.68281="",16.04847="",573.68424=""),"-",(573.68424-16.04847)/1427663.68281*100)</f>
        <v>0.03905932305446288</v>
      </c>
      <c r="G32" s="34">
        <f>IF(OR(1752232.13505="",461.08919="",573.68424=""),"-",(461.08919-573.68424)/1752232.13505*100)</f>
        <v>-0.006425806703789687</v>
      </c>
    </row>
    <row r="33" spans="1:7" s="9" customFormat="1" ht="15.75">
      <c r="A33" s="29" t="s">
        <v>59</v>
      </c>
      <c r="B33" s="34">
        <f>IF(89.34737="","-",89.34737)</f>
        <v>89.34737</v>
      </c>
      <c r="C33" s="34">
        <f>IF(OR(9350.27607="",89.34737=""),"-",89.34737/9350.27607*100)</f>
        <v>0.9555586309014723</v>
      </c>
      <c r="D33" s="34">
        <f>IF(9350.27607="","-",9350.27607/1752232.13505*100)</f>
        <v>0.5336208532514551</v>
      </c>
      <c r="E33" s="34">
        <f>IF(89.34737="","-",89.34737/1787603.34854*100)</f>
        <v>0.004998165284987479</v>
      </c>
      <c r="F33" s="34">
        <f>IF(OR(1427663.68281="",77.08266="",9350.27607=""),"-",(9350.27607-77.08266)/1427663.68281*100)</f>
        <v>0.6495362683561461</v>
      </c>
      <c r="G33" s="34">
        <f>IF(OR(1752232.13505="",89.34737="",9350.27607=""),"-",(89.34737-9350.27607)/1752232.13505*100)</f>
        <v>-0.5285217931319208</v>
      </c>
    </row>
    <row r="34" spans="1:7" s="9" customFormat="1" ht="15.75">
      <c r="A34" s="29" t="s">
        <v>62</v>
      </c>
      <c r="B34" s="34">
        <f>IF(61.68467="","-",61.68467)</f>
        <v>61.68467</v>
      </c>
      <c r="C34" s="34" t="s">
        <v>227</v>
      </c>
      <c r="D34" s="34">
        <f>IF(27.75621="","-",27.75621/1752232.13505*100)</f>
        <v>0.0015840486796692595</v>
      </c>
      <c r="E34" s="34">
        <f>IF(61.68467="","-",61.68467/1787603.34854*100)</f>
        <v>0.0034506911195025503</v>
      </c>
      <c r="F34" s="34">
        <f>IF(OR(1427663.68281="",27.10437="",27.75621=""),"-",(27.75621-27.10437)/1427663.68281*100)</f>
        <v>4.565781197971048E-05</v>
      </c>
      <c r="G34" s="34">
        <f>IF(OR(1752232.13505="",61.68467="",27.75621=""),"-",(61.68467-27.75621)/1752232.13505*100)</f>
        <v>0.0019362993818756698</v>
      </c>
    </row>
    <row r="35" spans="1:7" s="9" customFormat="1" ht="15.75">
      <c r="A35" s="29" t="s">
        <v>60</v>
      </c>
      <c r="B35" s="34">
        <f>IF(43.96991="","-",43.96991)</f>
        <v>43.96991</v>
      </c>
      <c r="C35" s="34" t="s">
        <v>261</v>
      </c>
      <c r="D35" s="34">
        <f>IF(2.92765="","-",2.92765/1752232.13505*100)</f>
        <v>0.00016708117271895938</v>
      </c>
      <c r="E35" s="34">
        <f>IF(43.96991="","-",43.96991/1787603.34854*100)</f>
        <v>0.0024597128907770174</v>
      </c>
      <c r="F35" s="34">
        <f>IF(OR(1427663.68281="",247.44813="",2.92765=""),"-",(2.92765-247.44813)/1427663.68281*100)</f>
        <v>-0.017127316674381072</v>
      </c>
      <c r="G35" s="34">
        <f>IF(OR(1752232.13505="",43.96991="",2.92765=""),"-",(43.96991-2.92765)/1752232.13505*100)</f>
        <v>0.0023422844027928334</v>
      </c>
    </row>
    <row r="36" spans="1:7" s="9" customFormat="1" ht="15.75">
      <c r="A36" s="29" t="s">
        <v>61</v>
      </c>
      <c r="B36" s="34">
        <f>IF(39.83452="","-",39.83452)</f>
        <v>39.83452</v>
      </c>
      <c r="C36" s="34">
        <f>IF(OR(316.83077="",39.83452=""),"-",39.83452/316.83077*100)</f>
        <v>12.572806612186058</v>
      </c>
      <c r="D36" s="34">
        <f>IF(316.83077="","-",316.83077/1752232.13505*100)</f>
        <v>0.018081552304766924</v>
      </c>
      <c r="E36" s="34">
        <f>IF(39.83452="","-",39.83452/1787603.34854*100)</f>
        <v>0.0022283757765689063</v>
      </c>
      <c r="F36" s="34">
        <f>IF(OR(1427663.68281="",613.60097="",316.83077=""),"-",(316.83077-613.60097)/1427663.68281*100)</f>
        <v>-0.02078712259569998</v>
      </c>
      <c r="G36" s="34">
        <f>IF(OR(1752232.13505="",39.83452="",316.83077=""),"-",(39.83452-316.83077)/1752232.13505*100)</f>
        <v>-0.01580819370100731</v>
      </c>
    </row>
    <row r="37" spans="1:7" s="9" customFormat="1" ht="15.75">
      <c r="A37" s="24" t="s">
        <v>246</v>
      </c>
      <c r="B37" s="33">
        <f>IF(261639.93517="","-",261639.93517)</f>
        <v>261639.93517</v>
      </c>
      <c r="C37" s="33">
        <f>IF(277337.18336="","-",261639.93517/277337.18336*100)</f>
        <v>94.34001312055439</v>
      </c>
      <c r="D37" s="33">
        <f>IF(277337.18336="","-",277337.18336/1752232.13505*100)</f>
        <v>15.827650789664705</v>
      </c>
      <c r="E37" s="33">
        <f>IF(261639.93517="","-",261639.93517/1787603.34854*100)</f>
        <v>14.63635293498923</v>
      </c>
      <c r="F37" s="33">
        <f>IF(1427663.68281="","-",(277337.18336-297475.88074)/1427663.68281*100)</f>
        <v>-1.41060514618975</v>
      </c>
      <c r="G37" s="33">
        <f>IF(1752232.13505="","-",(261639.93517-277337.18336)/1752232.13505*100)</f>
        <v>-0.8958429580194917</v>
      </c>
    </row>
    <row r="38" spans="1:7" s="9" customFormat="1" ht="15.75">
      <c r="A38" s="29" t="s">
        <v>166</v>
      </c>
      <c r="B38" s="34">
        <f>IF(147831.42288="","-",147831.42288)</f>
        <v>147831.42288</v>
      </c>
      <c r="C38" s="34">
        <f>IF(OR(144095.94283="",147831.42288=""),"-",147831.42288/144095.94283*100)</f>
        <v>102.59235615981707</v>
      </c>
      <c r="D38" s="34">
        <f>IF(144095.94283="","-",144095.94283/1752232.13505*100)</f>
        <v>8.223564672034064</v>
      </c>
      <c r="E38" s="34">
        <f>IF(147831.42288="","-",147831.42288/1787603.34854*100)</f>
        <v>8.269811253192117</v>
      </c>
      <c r="F38" s="34">
        <f>IF(OR(1427663.68281="",162223.89266="",144095.94283=""),"-",(144095.94283-162223.89266)/1427663.68281*100)</f>
        <v>-1.2697633236925694</v>
      </c>
      <c r="G38" s="34">
        <f>IF(OR(1752232.13505="",147831.42288="",144095.94283=""),"-",(147831.42288-144095.94283)/1752232.13505*100)</f>
        <v>0.21318408533201522</v>
      </c>
    </row>
    <row r="39" spans="1:7" s="9" customFormat="1" ht="14.25" customHeight="1">
      <c r="A39" s="29" t="s">
        <v>11</v>
      </c>
      <c r="B39" s="34">
        <f>IF(53910.33619="","-",53910.33619)</f>
        <v>53910.33619</v>
      </c>
      <c r="C39" s="34">
        <f>IF(OR(62373.84694="",53910.33619=""),"-",53910.33619/62373.84694*100)</f>
        <v>86.4309944548692</v>
      </c>
      <c r="D39" s="34">
        <f>IF(62373.84694="","-",62373.84694/1752232.13505*100)</f>
        <v>3.5596794335825925</v>
      </c>
      <c r="E39" s="34">
        <f>IF(53910.33619="","-",53910.33619/1787603.34854*100)</f>
        <v>3.0157884988317187</v>
      </c>
      <c r="F39" s="34">
        <f>IF(OR(1427663.68281="",73560.19898="",62373.84694=""),"-",(62373.84694-73560.19898)/1427663.68281*100)</f>
        <v>-0.7835425229828956</v>
      </c>
      <c r="G39" s="34">
        <f>IF(OR(1752232.13505="",53910.33619="",62373.84694=""),"-",(53910.33619-62373.84694)/1752232.13505*100)</f>
        <v>-0.48301309973170276</v>
      </c>
    </row>
    <row r="40" spans="1:7" s="13" customFormat="1" ht="14.25" customHeight="1">
      <c r="A40" s="29" t="s">
        <v>12</v>
      </c>
      <c r="B40" s="34">
        <f>IF(46510.86623="","-",46510.86623)</f>
        <v>46510.86623</v>
      </c>
      <c r="C40" s="34">
        <f>IF(OR(52659.7922="",46510.86623=""),"-",46510.86623/52659.7922*100)</f>
        <v>88.32329997306749</v>
      </c>
      <c r="D40" s="34">
        <f>IF(52659.7922="","-",52659.7922/1752232.13505*100)</f>
        <v>3.00529770837112</v>
      </c>
      <c r="E40" s="34">
        <f>IF(46510.86623="","-",46510.86623/1787603.34854*100)</f>
        <v>2.60185606991546</v>
      </c>
      <c r="F40" s="34">
        <f>IF(OR(1427663.68281="",43125.68389="",52659.7922=""),"-",(52659.7922-43125.68389)/1427663.68281*100)</f>
        <v>0.6678119241104802</v>
      </c>
      <c r="G40" s="34">
        <f>IF(OR(1752232.13505="",46510.86623="",52659.7922=""),"-",(46510.86623-52659.7922)/1752232.13505*100)</f>
        <v>-0.3509195983227727</v>
      </c>
    </row>
    <row r="41" spans="1:7" s="13" customFormat="1" ht="14.25" customHeight="1">
      <c r="A41" s="29" t="s">
        <v>13</v>
      </c>
      <c r="B41" s="34">
        <f>IF(5499.73082="","-",5499.73082)</f>
        <v>5499.73082</v>
      </c>
      <c r="C41" s="34">
        <f>IF(OR(11027.30969="",5499.73082=""),"-",5499.73082/11027.30969*100)</f>
        <v>49.873731441381146</v>
      </c>
      <c r="D41" s="34">
        <f>IF(11027.30969="","-",11027.30969/1752232.13505*100)</f>
        <v>0.629329269188716</v>
      </c>
      <c r="E41" s="34">
        <f>IF(5499.73082="","-",5499.73082/1787603.34854*100)</f>
        <v>0.307659460611988</v>
      </c>
      <c r="F41" s="34">
        <f>IF(OR(1427663.68281="",9706.04138="",11027.30969=""),"-",(11027.30969-9706.04138)/1427663.68281*100)</f>
        <v>0.09254758847681915</v>
      </c>
      <c r="G41" s="34">
        <f>IF(OR(1752232.13505="",5499.73082="",11027.30969=""),"-",(5499.73082-11027.30969)/1752232.13505*100)</f>
        <v>-0.3154592795915292</v>
      </c>
    </row>
    <row r="42" spans="1:7" s="13" customFormat="1" ht="14.25" customHeight="1">
      <c r="A42" s="29" t="s">
        <v>14</v>
      </c>
      <c r="B42" s="34">
        <f>IF(3177.49303="","-",3177.49303)</f>
        <v>3177.49303</v>
      </c>
      <c r="C42" s="34">
        <f>IF(OR(2693.29861="",3177.49303=""),"-",3177.49303/2693.29861*100)</f>
        <v>117.97774736905242</v>
      </c>
      <c r="D42" s="34">
        <f>IF(2693.29861="","-",2693.29861/1752232.13505*100)</f>
        <v>0.15370672390522885</v>
      </c>
      <c r="E42" s="34">
        <f>IF(3177.49303="","-",3177.49303/1787603.34854*100)</f>
        <v>0.17775157070471886</v>
      </c>
      <c r="F42" s="34">
        <f>IF(OR(1427663.68281="",3178.9083="",2693.29861=""),"-",(2693.29861-3178.9083)/1427663.68281*100)</f>
        <v>-0.03401429173040241</v>
      </c>
      <c r="G42" s="34">
        <f>IF(OR(1752232.13505="",3177.49303="",2693.29861=""),"-",(3177.49303-2693.29861)/1752232.13505*100)</f>
        <v>0.027633006512928937</v>
      </c>
    </row>
    <row r="43" spans="1:7" s="13" customFormat="1" ht="14.25" customHeight="1">
      <c r="A43" s="29" t="s">
        <v>15</v>
      </c>
      <c r="B43" s="34">
        <f>IF(1893.57535="","-",1893.57535)</f>
        <v>1893.57535</v>
      </c>
      <c r="C43" s="34">
        <f>IF(OR(2085.31489="",1893.57535=""),"-",1893.57535/2085.31489*100)</f>
        <v>90.8052476429591</v>
      </c>
      <c r="D43" s="34">
        <f>IF(2085.31489="","-",2085.31489/1752232.13505*100)</f>
        <v>0.11900905412515422</v>
      </c>
      <c r="E43" s="34">
        <f>IF(1893.57535="","-",1893.57535/1787603.34854*100)</f>
        <v>0.10592816082754326</v>
      </c>
      <c r="F43" s="34">
        <f>IF(OR(1427663.68281="",3695.60929="",2085.31489=""),"-",(2085.31489-3695.60929)/1427663.68281*100)</f>
        <v>-0.11279227869903764</v>
      </c>
      <c r="G43" s="34">
        <f>IF(OR(1752232.13505="",1893.57535="",2085.31489=""),"-",(1893.57535-2085.31489)/1752232.13505*100)</f>
        <v>-0.01094258780926471</v>
      </c>
    </row>
    <row r="44" spans="1:7" s="11" customFormat="1" ht="14.25" customHeight="1">
      <c r="A44" s="29" t="s">
        <v>17</v>
      </c>
      <c r="B44" s="34">
        <f>IF(1720.98111="","-",1720.98111)</f>
        <v>1720.98111</v>
      </c>
      <c r="C44" s="34">
        <f>IF(OR(1257.03246="",1720.98111=""),"-",1720.98111/1257.03246*100)</f>
        <v>136.90824738129675</v>
      </c>
      <c r="D44" s="34">
        <f>IF(1257.03246="","-",1257.03246/1752232.13505*100)</f>
        <v>0.07173892287759752</v>
      </c>
      <c r="E44" s="34">
        <f>IF(1720.98111="","-",1720.98111/1787603.34854*100)</f>
        <v>0.09627309723969735</v>
      </c>
      <c r="F44" s="34">
        <f>IF(OR(1427663.68281="",631.40145="",1257.03246=""),"-",(1257.03246-631.40145)/1427663.68281*100)</f>
        <v>0.04382201617460783</v>
      </c>
      <c r="G44" s="34">
        <f>IF(OR(1752232.13505="",1720.98111="",1257.03246=""),"-",(1720.98111-1257.03246)/1752232.13505*100)</f>
        <v>0.026477579124341382</v>
      </c>
    </row>
    <row r="45" spans="1:7" s="13" customFormat="1" ht="14.25" customHeight="1">
      <c r="A45" s="29" t="s">
        <v>143</v>
      </c>
      <c r="B45" s="34">
        <f>IF(633.41592="","-",633.41592)</f>
        <v>633.41592</v>
      </c>
      <c r="C45" s="34">
        <f>IF(OR(676.74664="",633.41592=""),"-",633.41592/676.74664*100)</f>
        <v>93.59720204890858</v>
      </c>
      <c r="D45" s="34">
        <f>IF(676.74664="","-",676.74664/1752232.13505*100)</f>
        <v>0.03862197402176333</v>
      </c>
      <c r="E45" s="34">
        <f>IF(633.41592="","-",633.41592/1787603.34854*100)</f>
        <v>0.03543380697498322</v>
      </c>
      <c r="F45" s="34">
        <f>IF(OR(1427663.68281="",590.01515="",676.74664=""),"-",(676.74664-590.01515)/1427663.68281*100)</f>
        <v>0.006075064529854167</v>
      </c>
      <c r="G45" s="34">
        <f>IF(OR(1752232.13505="",633.41592="",676.74664=""),"-",(633.41592-676.74664)/1752232.13505*100)</f>
        <v>-0.0024728869613365174</v>
      </c>
    </row>
    <row r="46" spans="1:7" s="11" customFormat="1" ht="14.25" customHeight="1">
      <c r="A46" s="29" t="s">
        <v>16</v>
      </c>
      <c r="B46" s="34">
        <f>IF(338.21863="","-",338.21863)</f>
        <v>338.21863</v>
      </c>
      <c r="C46" s="34" t="s">
        <v>114</v>
      </c>
      <c r="D46" s="34">
        <f>IF(213.28975="","-",213.28975/1752232.13505*100)</f>
        <v>0.012172459672069293</v>
      </c>
      <c r="E46" s="34">
        <f>IF(338.21863="","-",338.21863/1787603.34854*100)</f>
        <v>0.018920228040310808</v>
      </c>
      <c r="F46" s="34">
        <f>IF(OR(1427663.68281="",467.3823="",213.28975=""),"-",(213.28975-467.3823)/1427663.68281*100)</f>
        <v>-0.01779778760638375</v>
      </c>
      <c r="G46" s="34">
        <f>IF(OR(1752232.13505="",338.21863="",213.28975=""),"-",(338.21863-213.28975)/1752232.13505*100)</f>
        <v>0.007129699170620174</v>
      </c>
    </row>
    <row r="47" spans="1:7" s="11" customFormat="1" ht="14.25" customHeight="1">
      <c r="A47" s="29" t="s">
        <v>18</v>
      </c>
      <c r="B47" s="34">
        <f>IF(123.89501="","-",123.89501)</f>
        <v>123.89501</v>
      </c>
      <c r="C47" s="34">
        <f>IF(OR(254.60935="",123.89501=""),"-",123.89501/254.60935*100)</f>
        <v>48.66082490686222</v>
      </c>
      <c r="D47" s="34">
        <f>IF(254.60935="","-",254.60935/1752232.13505*100)</f>
        <v>0.014530571886397616</v>
      </c>
      <c r="E47" s="34">
        <f>IF(123.89501="","-",123.89501/1787603.34854*100)</f>
        <v>0.006930788650691973</v>
      </c>
      <c r="F47" s="34">
        <f>IF(OR(1427663.68281="",296.74734="",254.60935=""),"-",(254.60935-296.74734)/1427663.68281*100)</f>
        <v>-0.0029515347702241666</v>
      </c>
      <c r="G47" s="34">
        <f>IF(OR(1752232.13505="",123.89501="",254.60935=""),"-",(123.89501-254.60935)/1752232.13505*100)</f>
        <v>-0.007459875742791925</v>
      </c>
    </row>
    <row r="48" spans="1:7" s="11" customFormat="1" ht="14.25" customHeight="1">
      <c r="A48" s="24" t="s">
        <v>258</v>
      </c>
      <c r="B48" s="33">
        <f>IF(351971.43592="","-",351971.43592)</f>
        <v>351971.43592</v>
      </c>
      <c r="C48" s="33">
        <f>IF(261356.62771="","-",351971.43592/261356.62771*100)</f>
        <v>134.67094330224745</v>
      </c>
      <c r="D48" s="33">
        <f>IF(261356.62771="","-",261356.62771/1752232.13505*100)</f>
        <v>14.915639456785911</v>
      </c>
      <c r="E48" s="33">
        <f>IF(351971.43592="","-",351971.43592/1787603.34854*100)</f>
        <v>19.689571302686794</v>
      </c>
      <c r="F48" s="33">
        <f>IF(1427663.68281="","-",(261356.62771-214661.91431)/1427663.68281*100)</f>
        <v>3.2707082180652733</v>
      </c>
      <c r="G48" s="33">
        <f>IF(1752232.13505="","-",(351971.43592-261356.62771)/1752232.13505*100)</f>
        <v>5.171392899229891</v>
      </c>
    </row>
    <row r="49" spans="1:7" s="11" customFormat="1" ht="14.25" customHeight="1">
      <c r="A49" s="29" t="s">
        <v>64</v>
      </c>
      <c r="B49" s="34">
        <f>IF(132831.03339="","-",132831.03339)</f>
        <v>132831.03339</v>
      </c>
      <c r="C49" s="34" t="s">
        <v>174</v>
      </c>
      <c r="D49" s="34">
        <f>IF(57413.12792="","-",57413.12792/1752232.13505*100)</f>
        <v>3.276570881880426</v>
      </c>
      <c r="E49" s="34">
        <f>IF(132831.03339="","-",132831.03339/1787603.34854*100)</f>
        <v>7.43067714090421</v>
      </c>
      <c r="F49" s="34">
        <f>IF(OR(1427663.68281="",58926.15799="",57413.12792=""),"-",(57413.12792-58926.15799)/1427663.68281*100)</f>
        <v>-0.10597944657539922</v>
      </c>
      <c r="G49" s="34">
        <f>IF(OR(1752232.13505="",132831.03339="",57413.12792=""),"-",(132831.03339-57413.12792)/1752232.13505*100)</f>
        <v>4.304104688038263</v>
      </c>
    </row>
    <row r="50" spans="1:7" s="11" customFormat="1" ht="14.25" customHeight="1">
      <c r="A50" s="29" t="s">
        <v>168</v>
      </c>
      <c r="B50" s="34">
        <f>IF(53234.66894="","-",53234.66894)</f>
        <v>53234.66894</v>
      </c>
      <c r="C50" s="34" t="s">
        <v>142</v>
      </c>
      <c r="D50" s="34">
        <f>IF(34721.95069="","-",34721.95069/1752232.13505*100)</f>
        <v>1.9815839462965452</v>
      </c>
      <c r="E50" s="34">
        <f>IF(53234.66894="","-",53234.66894/1787603.34854*100)</f>
        <v>2.9779911177431324</v>
      </c>
      <c r="F50" s="34">
        <f>IF(OR(1427663.68281="",17672.52476="",34721.95069=""),"-",(34721.95069-17672.52476)/1427663.68281*100)</f>
        <v>1.194218647941121</v>
      </c>
      <c r="G50" s="34">
        <f>IF(OR(1752232.13505="",53234.66894="",34721.95069=""),"-",(53234.66894-34721.95069)/1752232.13505*100)</f>
        <v>1.0565220143889065</v>
      </c>
    </row>
    <row r="51" spans="1:7" s="9" customFormat="1" ht="15.75">
      <c r="A51" s="29" t="s">
        <v>19</v>
      </c>
      <c r="B51" s="34">
        <f>IF(14556.49239="","-",14556.49239)</f>
        <v>14556.49239</v>
      </c>
      <c r="C51" s="34">
        <f>IF(OR(14220.74894="",14556.49239=""),"-",14556.49239/14220.74894*100)</f>
        <v>102.36094070302882</v>
      </c>
      <c r="D51" s="34">
        <f>IF(14220.74894="","-",14220.74894/1752232.13505*100)</f>
        <v>0.8115790514020114</v>
      </c>
      <c r="E51" s="34">
        <f>IF(14556.49239="","-",14556.49239/1787603.34854*100)</f>
        <v>0.8143021438110871</v>
      </c>
      <c r="F51" s="34">
        <f>IF(OR(1427663.68281="",11892.06208="",14220.74894=""),"-",(14220.74894-11892.06208)/1427663.68281*100)</f>
        <v>0.1631117249838954</v>
      </c>
      <c r="G51" s="34">
        <f>IF(OR(1752232.13505="",14556.49239="",14220.74894=""),"-",(14556.49239-14220.74894)/1752232.13505*100)</f>
        <v>0.019160900161805303</v>
      </c>
    </row>
    <row r="52" spans="1:7" s="9" customFormat="1" ht="15.75">
      <c r="A52" s="29" t="s">
        <v>66</v>
      </c>
      <c r="B52" s="34">
        <f>IF(13147.61614="","-",13147.61614)</f>
        <v>13147.61614</v>
      </c>
      <c r="C52" s="34">
        <f>IF(OR(14119.62636="",13147.61614=""),"-",13147.61614/14119.62636*100)</f>
        <v>93.11589276360993</v>
      </c>
      <c r="D52" s="34">
        <f>IF(14119.62636="","-",14119.62636/1752232.13505*100)</f>
        <v>0.8058079792947694</v>
      </c>
      <c r="E52" s="34">
        <f>IF(13147.61614="","-",13147.61614/1787603.34854*100)</f>
        <v>0.735488448863006</v>
      </c>
      <c r="F52" s="34">
        <f>IF(OR(1427663.68281="",11570.26999="",14119.62636=""),"-",(14119.62636-11570.26999)/1427663.68281*100)</f>
        <v>0.1785684122035119</v>
      </c>
      <c r="G52" s="34">
        <f>IF(OR(1752232.13505="",13147.61614="",14119.62636=""),"-",(13147.61614-14119.62636)/1752232.13505*100)</f>
        <v>-0.05547268541403984</v>
      </c>
    </row>
    <row r="53" spans="1:7" s="9" customFormat="1" ht="15.75">
      <c r="A53" s="29" t="s">
        <v>67</v>
      </c>
      <c r="B53" s="34">
        <f>IF(10718.05687="","-",10718.05687)</f>
        <v>10718.05687</v>
      </c>
      <c r="C53" s="34">
        <f>IF(OR(11744.7788="",10718.05687=""),"-",10718.05687/11744.7788*100)</f>
        <v>91.25805647357105</v>
      </c>
      <c r="D53" s="34">
        <f>IF(11744.7788="","-",11744.7788/1752232.13505*100)</f>
        <v>0.6702752771775221</v>
      </c>
      <c r="E53" s="34">
        <f>IF(10718.05687="","-",10718.05687/1787603.34854*100)</f>
        <v>0.5995769071899437</v>
      </c>
      <c r="F53" s="34">
        <f>IF(OR(1427663.68281="",8921.62943="",11744.7788=""),"-",(11744.7788-8921.62943)/1427663.68281*100)</f>
        <v>0.19774610813404833</v>
      </c>
      <c r="G53" s="34">
        <f>IF(OR(1752232.13505="",10718.05687="",11744.7788=""),"-",(10718.05687-11744.7788)/1752232.13505*100)</f>
        <v>-0.05859508620247409</v>
      </c>
    </row>
    <row r="54" spans="1:7" s="12" customFormat="1" ht="15.75">
      <c r="A54" s="29" t="s">
        <v>68</v>
      </c>
      <c r="B54" s="34">
        <f>IF(9520.08056="","-",9520.08056)</f>
        <v>9520.08056</v>
      </c>
      <c r="C54" s="34">
        <f>IF(OR(11389.66175="",9520.08056=""),"-",9520.08056/11389.66175*100)</f>
        <v>83.58527907995162</v>
      </c>
      <c r="D54" s="34">
        <f>IF(11389.66175="","-",11389.66175/1752232.13505*100)</f>
        <v>0.6500087244248032</v>
      </c>
      <c r="E54" s="34">
        <f>IF(9520.08056="","-",9520.08056/1787603.34854*100)</f>
        <v>0.5325611281594093</v>
      </c>
      <c r="F54" s="34">
        <f>IF(OR(1427663.68281="",6520.2657="",11389.66175=""),"-",(11389.66175-6520.2657)/1427663.68281*100)</f>
        <v>0.3410744497202456</v>
      </c>
      <c r="G54" s="34">
        <f>IF(OR(1752232.13505="",9520.08056="",11389.66175=""),"-",(9520.08056-11389.66175)/1752232.13505*100)</f>
        <v>-0.10669711807029783</v>
      </c>
    </row>
    <row r="55" spans="1:7" s="14" customFormat="1" ht="15.75">
      <c r="A55" s="29" t="s">
        <v>144</v>
      </c>
      <c r="B55" s="34">
        <f>IF(8945.0687="","-",8945.0687)</f>
        <v>8945.0687</v>
      </c>
      <c r="C55" s="34" t="s">
        <v>252</v>
      </c>
      <c r="D55" s="34">
        <f>IF(2310.30496="","-",2310.30496/1752232.13505*100)</f>
        <v>0.13184925180784196</v>
      </c>
      <c r="E55" s="34">
        <f>IF(8945.0687="","-",8945.0687/1787603.34854*100)</f>
        <v>0.5003944922852018</v>
      </c>
      <c r="F55" s="34">
        <f>IF(OR(1427663.68281="",3580.22734="",2310.30496=""),"-",(2310.30496-3580.22734)/1427663.68281*100)</f>
        <v>-0.08895108808122613</v>
      </c>
      <c r="G55" s="34">
        <f>IF(OR(1752232.13505="",8945.0687="",2310.30496=""),"-",(8945.0687-2310.30496)/1752232.13505*100)</f>
        <v>0.3786463909252913</v>
      </c>
    </row>
    <row r="56" spans="1:7" s="9" customFormat="1" ht="15.75">
      <c r="A56" s="29" t="s">
        <v>73</v>
      </c>
      <c r="B56" s="34">
        <f>IF(8700.05314="","-",8700.05314)</f>
        <v>8700.05314</v>
      </c>
      <c r="C56" s="34" t="s">
        <v>262</v>
      </c>
      <c r="D56" s="34">
        <f>IF(2902.51262="","-",2902.51262/1752232.13505*100)</f>
        <v>0.16564658083486047</v>
      </c>
      <c r="E56" s="34">
        <f>IF(8700.05314="","-",8700.05314/1787603.34854*100)</f>
        <v>0.48668812055569527</v>
      </c>
      <c r="F56" s="34">
        <f>IF(OR(1427663.68281="",2785.13957="",2902.51262=""),"-",(2902.51262-2785.13957)/1427663.68281*100)</f>
        <v>0.008221337519000314</v>
      </c>
      <c r="G56" s="34">
        <f>IF(OR(1752232.13505="",8700.05314="",2902.51262=""),"-",(8700.05314-2902.51262)/1752232.13505*100)</f>
        <v>0.33086600822068407</v>
      </c>
    </row>
    <row r="57" spans="1:7" s="14" customFormat="1" ht="15.75">
      <c r="A57" s="29" t="s">
        <v>65</v>
      </c>
      <c r="B57" s="34">
        <f>IF(7363.67121="","-",7363.67121)</f>
        <v>7363.67121</v>
      </c>
      <c r="C57" s="34">
        <f>IF(OR(9406.80035="",7363.67121=""),"-",7363.67121/9406.80035*100)</f>
        <v>78.28029655163246</v>
      </c>
      <c r="D57" s="34">
        <f>IF(9406.80035="","-",9406.80035/1752232.13505*100)</f>
        <v>0.5368466975257007</v>
      </c>
      <c r="E57" s="34">
        <f>IF(7363.67121="","-",7363.67121/1787603.34854*100)</f>
        <v>0.41192981742925106</v>
      </c>
      <c r="F57" s="34">
        <f>IF(OR(1427663.68281="",11524.97186="",9406.80035=""),"-",(9406.80035-11524.97186)/1427663.68281*100)</f>
        <v>-0.14836628090384057</v>
      </c>
      <c r="G57" s="34">
        <f>IF(OR(1752232.13505="",7363.67121="",9406.80035=""),"-",(7363.67121-9406.80035)/1752232.13505*100)</f>
        <v>-0.11660151067493683</v>
      </c>
    </row>
    <row r="58" spans="1:7" s="12" customFormat="1" ht="15.75">
      <c r="A58" s="29" t="s">
        <v>74</v>
      </c>
      <c r="B58" s="34">
        <f>IF(6257.75684="","-",6257.75684)</f>
        <v>6257.75684</v>
      </c>
      <c r="C58" s="34">
        <f>IF(OR(15803.28569="",6257.75684=""),"-",6257.75684/15803.28569*100)</f>
        <v>39.59782138191542</v>
      </c>
      <c r="D58" s="34">
        <f>IF(15803.28569="","-",15803.28569/1752232.13505*100)</f>
        <v>0.9018945249254349</v>
      </c>
      <c r="E58" s="34">
        <f>IF(6257.75684="","-",6257.75684/1787603.34854*100)</f>
        <v>0.35006405895977627</v>
      </c>
      <c r="F58" s="34">
        <f>IF(OR(1427663.68281="",4903.96056="",15803.28569=""),"-",(15803.28569-4903.96056)/1427663.68281*100)</f>
        <v>0.7634378643398282</v>
      </c>
      <c r="G58" s="34">
        <f>IF(OR(1752232.13505="",6257.75684="",15803.28569=""),"-",(6257.75684-15803.28569)/1752232.13505*100)</f>
        <v>-0.5447639418921865</v>
      </c>
    </row>
    <row r="59" spans="1:7" s="9" customFormat="1" ht="15.75">
      <c r="A59" s="29" t="s">
        <v>76</v>
      </c>
      <c r="B59" s="34">
        <f>IF(5562.8127="","-",5562.8127)</f>
        <v>5562.8127</v>
      </c>
      <c r="C59" s="34" t="s">
        <v>241</v>
      </c>
      <c r="D59" s="34">
        <f>IF(2854.94959="","-",2854.94959/1752232.13505*100)</f>
        <v>0.16293215567117392</v>
      </c>
      <c r="E59" s="34">
        <f>IF(5562.8127="","-",5562.8127/1787603.34854*100)</f>
        <v>0.31118831280682874</v>
      </c>
      <c r="F59" s="34">
        <f>IF(OR(1427663.68281="",3173.55376="",2854.94959=""),"-",(2854.94959-3173.55376)/1427663.68281*100)</f>
        <v>-0.022316472278184365</v>
      </c>
      <c r="G59" s="34">
        <f>IF(OR(1752232.13505="",5562.8127="",2854.94959=""),"-",(5562.8127-2854.94959)/1752232.13505*100)</f>
        <v>0.15453792085160745</v>
      </c>
    </row>
    <row r="60" spans="1:7" s="9" customFormat="1" ht="15.75">
      <c r="A60" s="29" t="s">
        <v>70</v>
      </c>
      <c r="B60" s="34">
        <f>IF(5044.72358="","-",5044.72358)</f>
        <v>5044.72358</v>
      </c>
      <c r="C60" s="34" t="s">
        <v>174</v>
      </c>
      <c r="D60" s="34">
        <f>IF(2182.10883="","-",2182.10883/1752232.13505*100)</f>
        <v>0.12453309047078592</v>
      </c>
      <c r="E60" s="34">
        <f>IF(5044.72358="","-",5044.72358/1787603.34854*100)</f>
        <v>0.28220598177555484</v>
      </c>
      <c r="F60" s="34">
        <f>IF(OR(1427663.68281="",2264.28783="",2182.10883=""),"-",(2182.10883-2264.28783)/1427663.68281*100)</f>
        <v>-0.005756187608432486</v>
      </c>
      <c r="G60" s="34">
        <f>IF(OR(1752232.13505="",5044.72358="",2182.10883=""),"-",(5044.72358-2182.10883)/1752232.13505*100)</f>
        <v>0.16336960684254972</v>
      </c>
    </row>
    <row r="61" spans="1:7" s="14" customFormat="1" ht="15.75">
      <c r="A61" s="29" t="s">
        <v>69</v>
      </c>
      <c r="B61" s="34">
        <f>IF(4958.54433="","-",4958.54433)</f>
        <v>4958.54433</v>
      </c>
      <c r="C61" s="34">
        <f>IF(OR(4163.90193="",4958.54433=""),"-",4958.54433/4163.90193*100)</f>
        <v>119.08408058976548</v>
      </c>
      <c r="D61" s="34">
        <f>IF(4163.90193="","-",4163.90193/1752232.13505*100)</f>
        <v>0.23763414942057226</v>
      </c>
      <c r="E61" s="34">
        <f>IF(4958.54433="","-",4958.54433/1787603.34854*100)</f>
        <v>0.27738504372627304</v>
      </c>
      <c r="F61" s="34">
        <f>IF(OR(1427663.68281="",5273.90993="",4163.90193=""),"-",(4163.90193-5273.90993)/1427663.68281*100)</f>
        <v>-0.07774996404021611</v>
      </c>
      <c r="G61" s="34">
        <f>IF(OR(1752232.13505="",4958.54433="",4163.90193=""),"-",(4958.54433-4163.90193)/1752232.13505*100)</f>
        <v>0.045350292584225696</v>
      </c>
    </row>
    <row r="62" spans="1:7" s="9" customFormat="1" ht="15.75">
      <c r="A62" s="29" t="s">
        <v>145</v>
      </c>
      <c r="B62" s="34">
        <f>IF(3019.42341="","-",3019.42341)</f>
        <v>3019.42341</v>
      </c>
      <c r="C62" s="34" t="s">
        <v>263</v>
      </c>
      <c r="D62" s="34">
        <f>IF(51.49657="","-",51.49657/1752232.13505*100)</f>
        <v>0.0029389125430307524</v>
      </c>
      <c r="E62" s="34">
        <f>IF(3019.42341="","-",3019.42341/1787603.34854*100)</f>
        <v>0.16890902629300128</v>
      </c>
      <c r="F62" s="34">
        <f>IF(OR(1427663.68281="",1.0506="",51.49657=""),"-",(51.49657-1.0506)/1427663.68281*100)</f>
        <v>0.0035334631403321605</v>
      </c>
      <c r="G62" s="34">
        <f>IF(OR(1752232.13505="",3019.42341="",51.49657=""),"-",(3019.42341-51.49657)/1752232.13505*100)</f>
        <v>0.16937977455340472</v>
      </c>
    </row>
    <row r="63" spans="1:7" s="12" customFormat="1" ht="15.75">
      <c r="A63" s="29" t="s">
        <v>45</v>
      </c>
      <c r="B63" s="34">
        <f>IF(2112.12529="","-",2112.12529)</f>
        <v>2112.12529</v>
      </c>
      <c r="C63" s="34">
        <f>IF(OR(4955.49522="",2112.12529=""),"-",2112.12529/4955.49522*100)</f>
        <v>42.62188128999951</v>
      </c>
      <c r="D63" s="34">
        <f>IF(4955.49522="","-",4955.49522/1752232.13505*100)</f>
        <v>0.2828104291021118</v>
      </c>
      <c r="E63" s="34">
        <f>IF(2112.12529="","-",2112.12529/1787603.34854*100)</f>
        <v>0.11815402403027768</v>
      </c>
      <c r="F63" s="34">
        <f>IF(OR(1427663.68281="",2771.9905="",4955.49522=""),"-",(4955.49522-2771.9905)/1427663.68281*100)</f>
        <v>0.15294251344282397</v>
      </c>
      <c r="G63" s="34">
        <f>IF(OR(1752232.13505="",2112.12529="",4955.49522=""),"-",(2112.12529-4955.49522)/1752232.13505*100)</f>
        <v>-0.1622713037344715</v>
      </c>
    </row>
    <row r="64" spans="1:7" s="9" customFormat="1" ht="15.75">
      <c r="A64" s="29" t="s">
        <v>78</v>
      </c>
      <c r="B64" s="34">
        <f>IF(2001.14567="","-",2001.14567)</f>
        <v>2001.14567</v>
      </c>
      <c r="C64" s="34" t="s">
        <v>112</v>
      </c>
      <c r="D64" s="34">
        <f>IF(1131.49647="","-",1131.49647/1752232.13505*100)</f>
        <v>0.06457457590045355</v>
      </c>
      <c r="E64" s="34">
        <f>IF(2001.14567="","-",2001.14567/1787603.34854*100)</f>
        <v>0.11194573290738172</v>
      </c>
      <c r="F64" s="34">
        <f>IF(OR(1427663.68281="",746.31065="",1131.49647=""),"-",(1131.49647-746.31065)/1427663.68281*100)</f>
        <v>0.026980151182515046</v>
      </c>
      <c r="G64" s="34">
        <f>IF(OR(1752232.13505="",2001.14567="",1131.49647=""),"-",(2001.14567-1131.49647)/1752232.13505*100)</f>
        <v>0.04963093545680148</v>
      </c>
    </row>
    <row r="65" spans="1:7" s="12" customFormat="1" ht="15.75">
      <c r="A65" s="29" t="s">
        <v>71</v>
      </c>
      <c r="B65" s="34">
        <f>IF(1993.50948="","-",1993.50948)</f>
        <v>1993.50948</v>
      </c>
      <c r="C65" s="34" t="s">
        <v>113</v>
      </c>
      <c r="D65" s="34">
        <f>IF(1179.22418="","-",1179.22418/1752232.13505*100)</f>
        <v>0.06729839936227118</v>
      </c>
      <c r="E65" s="34">
        <f>IF(1993.50948="","-",1993.50948/1787603.34854*100)</f>
        <v>0.11151855816494027</v>
      </c>
      <c r="F65" s="34">
        <f>IF(OR(1427663.68281="",1210.90753="",1179.22418=""),"-",(1179.22418-1210.90753)/1427663.68281*100)</f>
        <v>-0.002219244656951646</v>
      </c>
      <c r="G65" s="34">
        <f>IF(OR(1752232.13505="",1993.50948="",1179.22418=""),"-",(1993.50948-1179.22418)/1752232.13505*100)</f>
        <v>0.0464713141433606</v>
      </c>
    </row>
    <row r="66" spans="1:7" s="9" customFormat="1" ht="15.75">
      <c r="A66" s="29" t="s">
        <v>94</v>
      </c>
      <c r="B66" s="34">
        <f>IF(1855.90099="","-",1855.90099)</f>
        <v>1855.90099</v>
      </c>
      <c r="C66" s="34">
        <f>IF(OR(1309.01066="",1855.90099=""),"-",1855.90099/1309.01066*100)</f>
        <v>141.778905757727</v>
      </c>
      <c r="D66" s="34">
        <f>IF(1309.01066="","-",1309.01066/1752232.13505*100)</f>
        <v>0.07470532207552781</v>
      </c>
      <c r="E66" s="34">
        <f>IF(1855.90099="","-",1855.90099/1787603.34854*100)</f>
        <v>0.10382062617614704</v>
      </c>
      <c r="F66" s="34">
        <f>IF(OR(1427663.68281="",457.34485="",1309.01066=""),"-",(1309.01066-457.34485)/1427663.68281*100)</f>
        <v>0.05965451249160505</v>
      </c>
      <c r="G66" s="34">
        <f>IF(OR(1752232.13505="",1855.90099="",1309.01066=""),"-",(1855.90099-1309.01066)/1752232.13505*100)</f>
        <v>0.03121106610594119</v>
      </c>
    </row>
    <row r="67" spans="1:7" s="12" customFormat="1" ht="15.75">
      <c r="A67" s="29" t="s">
        <v>83</v>
      </c>
      <c r="B67" s="34">
        <f>IF(1604.30861="","-",1604.30861)</f>
        <v>1604.30861</v>
      </c>
      <c r="C67" s="34">
        <f>IF(OR(10008.11798="",1604.30861=""),"-",1604.30861/10008.11798*100)</f>
        <v>16.03007291886461</v>
      </c>
      <c r="D67" s="34">
        <f>IF(10008.11798="","-",10008.11798/1752232.13505*100)</f>
        <v>0.5711639331231886</v>
      </c>
      <c r="E67" s="34">
        <f>IF(1604.30861="","-",1604.30861/1787603.34854*100)</f>
        <v>0.08974634173237014</v>
      </c>
      <c r="F67" s="34">
        <f>IF(OR(1427663.68281="",1945.51967="",10008.11798=""),"-",(10008.11798-1945.51967)/1427663.68281*100)</f>
        <v>0.5647407304030307</v>
      </c>
      <c r="G67" s="34">
        <f>IF(OR(1752232.13505="",1604.30861="",10008.11798=""),"-",(1604.30861-10008.11798)/1752232.13505*100)</f>
        <v>-0.47960593815728636</v>
      </c>
    </row>
    <row r="68" spans="1:7" s="9" customFormat="1" ht="15.75">
      <c r="A68" s="29" t="s">
        <v>72</v>
      </c>
      <c r="B68" s="34">
        <f>IF(1302.93805="","-",1302.93805)</f>
        <v>1302.93805</v>
      </c>
      <c r="C68" s="34">
        <f>IF(OR(2435.67125="",1302.93805=""),"-",1302.93805/2435.67125*100)</f>
        <v>53.49400293656215</v>
      </c>
      <c r="D68" s="34">
        <f>IF(2435.67125="","-",2435.67125/1752232.13505*100)</f>
        <v>0.13900391399513387</v>
      </c>
      <c r="E68" s="34">
        <f>IF(1302.93805="","-",1302.93805/1787603.34854*100)</f>
        <v>0.07288742500198137</v>
      </c>
      <c r="F68" s="34">
        <f>IF(OR(1427663.68281="",1773.8899="",2435.67125=""),"-",(2435.67125-1773.8899)/1427663.68281*100)</f>
        <v>0.04635414894756225</v>
      </c>
      <c r="G68" s="34">
        <f>IF(OR(1752232.13505="",1302.93805="",2435.67125=""),"-",(1302.93805-2435.67125)/1752232.13505*100)</f>
        <v>-0.06464515616064062</v>
      </c>
    </row>
    <row r="69" spans="1:7" s="9" customFormat="1" ht="15.75">
      <c r="A69" s="29" t="s">
        <v>47</v>
      </c>
      <c r="B69" s="34">
        <f>IF(1302.75798="","-",1302.75798)</f>
        <v>1302.75798</v>
      </c>
      <c r="C69" s="34" t="s">
        <v>113</v>
      </c>
      <c r="D69" s="34">
        <f>IF(782.13055="","-",782.13055/1752232.13505*100)</f>
        <v>0.044636240504611104</v>
      </c>
      <c r="E69" s="34">
        <f>IF(1302.75798="","-",1302.75798/1787603.34854*100)</f>
        <v>0.07287735173823709</v>
      </c>
      <c r="F69" s="34">
        <f>IF(OR(1427663.68281="",44.77823="",782.13055=""),"-",(782.13055-44.77823)/1427663.68281*100)</f>
        <v>0.05164748034696139</v>
      </c>
      <c r="G69" s="34">
        <f>IF(OR(1752232.13505="",1302.75798="",782.13055=""),"-",(1302.75798-782.13055)/1752232.13505*100)</f>
        <v>0.02971224072346693</v>
      </c>
    </row>
    <row r="70" spans="1:7" s="12" customFormat="1" ht="15.75">
      <c r="A70" s="29" t="s">
        <v>84</v>
      </c>
      <c r="B70" s="34">
        <f>IF(1181.79461="","-",1181.79461)</f>
        <v>1181.79461</v>
      </c>
      <c r="C70" s="34">
        <f>IF(OR(1157.32289="",1181.79461=""),"-",1181.79461/1157.32289*100)</f>
        <v>102.11451101602252</v>
      </c>
      <c r="D70" s="34">
        <f>IF(1157.32289="","-",1157.32289/1752232.13505*100)</f>
        <v>0.06604849134141555</v>
      </c>
      <c r="E70" s="34">
        <f>IF(1181.79461="","-",1181.79461/1787603.34854*100)</f>
        <v>0.06611056143776047</v>
      </c>
      <c r="F70" s="34">
        <f>IF(OR(1427663.68281="",867.66296="",1157.32289=""),"-",(1157.32289-867.66296)/1427663.68281*100)</f>
        <v>0.020289087233057338</v>
      </c>
      <c r="G70" s="34">
        <f>IF(OR(1752232.13505="",1181.79461="",1157.32289=""),"-",(1181.79461-1157.32289)/1752232.13505*100)</f>
        <v>0.0013966026253309015</v>
      </c>
    </row>
    <row r="71" spans="1:7" s="14" customFormat="1" ht="15.75">
      <c r="A71" s="29" t="s">
        <v>100</v>
      </c>
      <c r="B71" s="34">
        <f>IF(1175.53676="","-",1175.53676)</f>
        <v>1175.53676</v>
      </c>
      <c r="C71" s="34" t="s">
        <v>242</v>
      </c>
      <c r="D71" s="34">
        <f>IF(30.51845="","-",30.51845/1752232.13505*100)</f>
        <v>0.0017416898931104901</v>
      </c>
      <c r="E71" s="34">
        <f>IF(1175.53676="","-",1175.53676/1787603.34854*100)</f>
        <v>0.06576049216735375</v>
      </c>
      <c r="F71" s="34">
        <f>IF(OR(1427663.68281="",17.77175="",30.51845=""),"-",(30.51845-17.77175)/1427663.68281*100)</f>
        <v>0.0008928363278745944</v>
      </c>
      <c r="G71" s="34">
        <f>IF(OR(1752232.13505="",1175.53676="",30.51845=""),"-",(1175.53676-30.51845)/1752232.13505*100)</f>
        <v>0.06534626817395554</v>
      </c>
    </row>
    <row r="72" spans="1:7" s="9" customFormat="1" ht="15.75">
      <c r="A72" s="29" t="s">
        <v>169</v>
      </c>
      <c r="B72" s="34">
        <f>IF(1001.23142="","-",1001.23142)</f>
        <v>1001.23142</v>
      </c>
      <c r="C72" s="34" t="s">
        <v>243</v>
      </c>
      <c r="D72" s="34">
        <f>IF(69.77432="","-",69.77432/1752232.13505*100)</f>
        <v>0.003982024904366281</v>
      </c>
      <c r="E72" s="34">
        <f>IF(1001.23142="","-",1001.23142/1787603.34854*100)</f>
        <v>0.05600970823967978</v>
      </c>
      <c r="F72" s="34">
        <f>IF(OR(1427663.68281="",1034.90358="",69.77432=""),"-",(69.77432-1034.90358)/1427663.68281*100)</f>
        <v>-0.06760200400281834</v>
      </c>
      <c r="G72" s="34">
        <f>IF(OR(1752232.13505="",1001.23142="",69.77432=""),"-",(1001.23142-69.77432)/1752232.13505*100)</f>
        <v>0.05315831626232679</v>
      </c>
    </row>
    <row r="73" spans="1:7" s="9" customFormat="1" ht="15.75">
      <c r="A73" s="29" t="s">
        <v>85</v>
      </c>
      <c r="B73" s="34">
        <f>IF(985.4148="","-",985.4148)</f>
        <v>985.4148</v>
      </c>
      <c r="C73" s="34">
        <f>IF(OR(970.25824="",985.4148=""),"-",985.4148/970.25824*100)</f>
        <v>101.56211608159083</v>
      </c>
      <c r="D73" s="34">
        <f>IF(970.25824="","-",970.25824/1752232.13505*100)</f>
        <v>0.05537269980340325</v>
      </c>
      <c r="E73" s="34">
        <f>IF(985.4148="","-",985.4148/1787603.34854*100)</f>
        <v>0.05512491352205308</v>
      </c>
      <c r="F73" s="34">
        <f>IF(OR(1427663.68281="",492.48067="",970.25824=""),"-",(970.25824-492.48067)/1427663.68281*100)</f>
        <v>0.03346569473978732</v>
      </c>
      <c r="G73" s="34">
        <f>IF(OR(1752232.13505="",985.4148="",970.25824=""),"-",(985.4148-970.25824)/1752232.13505*100)</f>
        <v>0.0008649858484399682</v>
      </c>
    </row>
    <row r="74" spans="1:7" s="9" customFormat="1" ht="15.75">
      <c r="A74" s="29" t="s">
        <v>80</v>
      </c>
      <c r="B74" s="34">
        <f>IF(967.23938="","-",967.23938)</f>
        <v>967.23938</v>
      </c>
      <c r="C74" s="34" t="s">
        <v>241</v>
      </c>
      <c r="D74" s="34">
        <f>IF(510.99774="","-",510.99774/1752232.13505*100)</f>
        <v>0.029162673699362256</v>
      </c>
      <c r="E74" s="34">
        <f>IF(967.23938="","-",967.23938/1787603.34854*100)</f>
        <v>0.05410816559445244</v>
      </c>
      <c r="F74" s="34">
        <f>IF(OR(1427663.68281="",2155.50264="",510.99774=""),"-",(510.99774-2155.50264)/1427663.68281*100)</f>
        <v>-0.11518853633393562</v>
      </c>
      <c r="G74" s="34">
        <f>IF(OR(1752232.13505="",967.23938="",510.99774=""),"-",(967.23938-510.99774)/1752232.13505*100)</f>
        <v>0.026037739570789295</v>
      </c>
    </row>
    <row r="75" spans="1:7" s="9" customFormat="1" ht="15.75">
      <c r="A75" s="29" t="s">
        <v>118</v>
      </c>
      <c r="B75" s="34">
        <f>IF(962.50047="","-",962.50047)</f>
        <v>962.50047</v>
      </c>
      <c r="C75" s="34" t="s">
        <v>112</v>
      </c>
      <c r="D75" s="34">
        <f>IF(545.57265="","-",545.57265/1752232.13505*100)</f>
        <v>0.031135866024077457</v>
      </c>
      <c r="E75" s="34">
        <f>IF(962.50047="","-",962.50047/1787603.34854*100)</f>
        <v>0.053843067075596426</v>
      </c>
      <c r="F75" s="34">
        <f>IF(OR(1427663.68281="",175.37435="",545.57265=""),"-",(545.57265-175.37435)/1427663.68281*100)</f>
        <v>0.025930357720619253</v>
      </c>
      <c r="G75" s="34">
        <f>IF(OR(1752232.13505="",962.50047="",545.57265=""),"-",(962.50047-545.57265)/1752232.13505*100)</f>
        <v>0.02379409734932769</v>
      </c>
    </row>
    <row r="76" spans="1:7" s="9" customFormat="1" ht="15.75">
      <c r="A76" s="29" t="s">
        <v>170</v>
      </c>
      <c r="B76" s="34">
        <f>IF(928.35807="","-",928.35807)</f>
        <v>928.35807</v>
      </c>
      <c r="C76" s="34">
        <f>IF(OR(890.75295="",928.35807=""),"-",928.35807/890.75295*100)</f>
        <v>104.22172275713484</v>
      </c>
      <c r="D76" s="34">
        <f>IF(890.75295="","-",890.75295/1752232.13505*100)</f>
        <v>0.050835327818855594</v>
      </c>
      <c r="E76" s="34">
        <f>IF(928.35807="","-",928.35807/1787603.34854*100)</f>
        <v>0.051933113168434346</v>
      </c>
      <c r="F76" s="34">
        <f>IF(OR(1427663.68281="",735.08671="",890.75295=""),"-",(890.75295-735.08671)/1427663.68281*100)</f>
        <v>0.01090356516554444</v>
      </c>
      <c r="G76" s="34">
        <f>IF(OR(1752232.13505="",928.35807="",890.75295=""),"-",(928.35807-890.75295)/1752232.13505*100)</f>
        <v>0.002146126603192726</v>
      </c>
    </row>
    <row r="77" spans="1:7" s="9" customFormat="1" ht="15.75">
      <c r="A77" s="29" t="s">
        <v>79</v>
      </c>
      <c r="B77" s="34">
        <f>IF(909.80421="","-",909.80421)</f>
        <v>909.80421</v>
      </c>
      <c r="C77" s="34">
        <f>IF(OR(1821.19173="",909.80421=""),"-",909.80421/1821.19173*100)</f>
        <v>49.956530935927326</v>
      </c>
      <c r="D77" s="34">
        <f>IF(1821.19173="","-",1821.19173/1752232.13505*100)</f>
        <v>0.10393552849366229</v>
      </c>
      <c r="E77" s="34">
        <f>IF(909.80421="","-",909.80421/1787603.34854*100)</f>
        <v>0.05089519499630999</v>
      </c>
      <c r="F77" s="34">
        <f>IF(OR(1427663.68281="",63.48="",1821.19173=""),"-",(1821.19173-63.48)/1427663.68281*100)</f>
        <v>0.12311805302355124</v>
      </c>
      <c r="G77" s="34">
        <f>IF(OR(1752232.13505="",909.80421="",1821.19173=""),"-",(909.80421-1821.19173)/1752232.13505*100)</f>
        <v>-0.05201294404830634</v>
      </c>
    </row>
    <row r="78" spans="1:7" s="9" customFormat="1" ht="15.75">
      <c r="A78" s="29" t="s">
        <v>147</v>
      </c>
      <c r="B78" s="34">
        <f>IF(870.6307="","-",870.6307)</f>
        <v>870.6307</v>
      </c>
      <c r="C78" s="34" t="str">
        <f>IF(OR(""="",870.6307=""),"-",870.6307/""*100)</f>
        <v>-</v>
      </c>
      <c r="D78" s="34" t="str">
        <f>IF(""="","-",""/1752232.13505*100)</f>
        <v>-</v>
      </c>
      <c r="E78" s="34">
        <f>IF(870.6307="","-",870.6307/1787603.34854*100)</f>
        <v>0.04870379666222238</v>
      </c>
      <c r="F78" s="34" t="str">
        <f>IF(OR(1427663.68281="",""="",""=""),"-",(""-"")/1427663.68281*100)</f>
        <v>-</v>
      </c>
      <c r="G78" s="34" t="str">
        <f>IF(OR(1752232.13505="",870.6307="",""=""),"-",(870.6307-"")/1752232.13505*100)</f>
        <v>-</v>
      </c>
    </row>
    <row r="79" spans="1:7" s="9" customFormat="1" ht="15.75">
      <c r="A79" s="29" t="s">
        <v>173</v>
      </c>
      <c r="B79" s="34">
        <f>IF(810.36033="","-",810.36033)</f>
        <v>810.36033</v>
      </c>
      <c r="C79" s="34">
        <f>IF(OR(1518.3731="",810.36033=""),"-",810.36033/1518.3731*100)</f>
        <v>53.37030338590692</v>
      </c>
      <c r="D79" s="34">
        <f>IF(1518.3731="","-",1518.3731/1752232.13505*100)</f>
        <v>0.08665364991475134</v>
      </c>
      <c r="E79" s="34">
        <f>IF(810.36033="","-",810.36033/1787603.34854*100)</f>
        <v>0.045332222646699026</v>
      </c>
      <c r="F79" s="34">
        <f>IF(OR(1427663.68281="",2792.66494="",1518.3731=""),"-",(1518.3731-2792.66494)/1427663.68281*100)</f>
        <v>-0.08925714475638089</v>
      </c>
      <c r="G79" s="34">
        <f>IF(OR(1752232.13505="",810.36033="",1518.3731=""),"-",(810.36033-1518.3731)/1752232.13505*100)</f>
        <v>-0.040406334060286875</v>
      </c>
    </row>
    <row r="80" spans="1:7" s="9" customFormat="1" ht="15.75">
      <c r="A80" s="29" t="s">
        <v>92</v>
      </c>
      <c r="B80" s="34">
        <f>IF(670.70678="","-",670.70678)</f>
        <v>670.70678</v>
      </c>
      <c r="C80" s="34" t="s">
        <v>264</v>
      </c>
      <c r="D80" s="34">
        <f>IF(0.19008="","-",0.19008/1752232.13505*100)</f>
        <v>1.0847877755339539E-05</v>
      </c>
      <c r="E80" s="34">
        <f>IF(670.70678="","-",670.70678/1787603.34854*100)</f>
        <v>0.037519888321298475</v>
      </c>
      <c r="F80" s="34">
        <f>IF(OR(1427663.68281="",0.72611="",0.19008=""),"-",(0.19008-0.72611)/1427663.68281*100)</f>
        <v>-3.7545957528663795E-05</v>
      </c>
      <c r="G80" s="34">
        <f>IF(OR(1752232.13505="",670.70678="",0.19008=""),"-",(670.70678-0.19008)/1752232.13505*100)</f>
        <v>0.03826643094756774</v>
      </c>
    </row>
    <row r="81" spans="1:7" ht="15.75">
      <c r="A81" s="29" t="s">
        <v>46</v>
      </c>
      <c r="B81" s="34">
        <f>IF(667.85759="","-",667.85759)</f>
        <v>667.85759</v>
      </c>
      <c r="C81" s="34" t="s">
        <v>241</v>
      </c>
      <c r="D81" s="34">
        <f>IF(360.21777="","-",360.21777/1752232.13505*100)</f>
        <v>0.02055765116930247</v>
      </c>
      <c r="E81" s="34">
        <f>IF(667.85759="","-",667.85759/1787603.34854*100)</f>
        <v>0.03736050229182348</v>
      </c>
      <c r="F81" s="34">
        <f>IF(OR(1427663.68281="",692.59016="",360.21777=""),"-",(360.21777-692.59016)/1427663.68281*100)</f>
        <v>-0.023280860471690912</v>
      </c>
      <c r="G81" s="34">
        <f>IF(OR(1752232.13505="",667.85759="",360.21777=""),"-",(667.85759-360.21777)/1752232.13505*100)</f>
        <v>0.01755702420051904</v>
      </c>
    </row>
    <row r="82" spans="1:7" ht="15.75">
      <c r="A82" s="29" t="s">
        <v>110</v>
      </c>
      <c r="B82" s="34">
        <f>IF(559.90682="","-",559.90682)</f>
        <v>559.90682</v>
      </c>
      <c r="C82" s="34">
        <f>IF(OR(543.30054="",559.90682=""),"-",559.90682/543.30054*100)</f>
        <v>103.05655503305778</v>
      </c>
      <c r="D82" s="34">
        <f>IF(543.30054="","-",543.30054/1752232.13505*100)</f>
        <v>0.03100619656107933</v>
      </c>
      <c r="E82" s="34">
        <f>IF(559.90682="","-",559.90682/1787603.34854*100)</f>
        <v>0.03132164752640994</v>
      </c>
      <c r="F82" s="34">
        <f>IF(OR(1427663.68281="",333.08602="",543.30054=""),"-",(543.30054-333.08602)/1427663.68281*100)</f>
        <v>0.01472437259076627</v>
      </c>
      <c r="G82" s="34">
        <f>IF(OR(1752232.13505="",559.90682="",543.30054=""),"-",(559.90682-543.30054)/1752232.13505*100)</f>
        <v>0.0009477214615474578</v>
      </c>
    </row>
    <row r="83" spans="1:7" ht="15.75">
      <c r="A83" s="29" t="s">
        <v>82</v>
      </c>
      <c r="B83" s="34">
        <f>IF(485.06986="","-",485.06986)</f>
        <v>485.06986</v>
      </c>
      <c r="C83" s="34">
        <f>IF(OR(396.83861="",485.06986=""),"-",485.06986/396.83861*100)</f>
        <v>122.23353468554888</v>
      </c>
      <c r="D83" s="34">
        <f>IF(396.83861="","-",396.83861/1752232.13505*100)</f>
        <v>0.02264760484995193</v>
      </c>
      <c r="E83" s="34">
        <f>IF(485.06986="","-",485.06986/1787603.34854*100)</f>
        <v>0.027135206498475964</v>
      </c>
      <c r="F83" s="34">
        <f>IF(OR(1427663.68281="",102.85156="",396.83861=""),"-",(396.83861-102.85156)/1427663.68281*100)</f>
        <v>0.020592178223750836</v>
      </c>
      <c r="G83" s="34">
        <f>IF(OR(1752232.13505="",485.06986="",396.83861=""),"-",(485.06986-396.83861)/1752232.13505*100)</f>
        <v>0.005035363079760108</v>
      </c>
    </row>
    <row r="84" spans="1:7" ht="15.75">
      <c r="A84" s="29" t="s">
        <v>109</v>
      </c>
      <c r="B84" s="34">
        <f>IF(428.11771="","-",428.11771)</f>
        <v>428.11771</v>
      </c>
      <c r="C84" s="34">
        <f>IF(OR(332.06609="",428.11771=""),"-",428.11771/332.06609*100)</f>
        <v>128.92545276152708</v>
      </c>
      <c r="D84" s="34">
        <f>IF(332.06609="","-",332.06609/1752232.13505*100)</f>
        <v>0.018951032991443482</v>
      </c>
      <c r="E84" s="34">
        <f>IF(428.11771="","-",428.11771/1787603.34854*100)</f>
        <v>0.023949256435979446</v>
      </c>
      <c r="F84" s="34">
        <f>IF(OR(1427663.68281="",615.61647="",332.06609=""),"-",(332.06609-615.61647)/1427663.68281*100)</f>
        <v>-0.01986114681028391</v>
      </c>
      <c r="G84" s="34">
        <f>IF(OR(1752232.13505="",428.11771="",332.06609=""),"-",(428.11771-332.06609)/1752232.13505*100)</f>
        <v>0.005481672095761397</v>
      </c>
    </row>
    <row r="85" spans="1:7" ht="15.75">
      <c r="A85" s="29" t="s">
        <v>91</v>
      </c>
      <c r="B85" s="34">
        <f>IF(416.6669="","-",416.6669)</f>
        <v>416.6669</v>
      </c>
      <c r="C85" s="34">
        <f>IF(OR(1185.85949="",416.6669=""),"-",416.6669/1185.85949*100)</f>
        <v>35.13627908817426</v>
      </c>
      <c r="D85" s="34">
        <f>IF(1185.85949="","-",1185.85949/1752232.13505*100)</f>
        <v>0.06767707692828961</v>
      </c>
      <c r="E85" s="34">
        <f>IF(416.6669="","-",416.6669/1787603.34854*100)</f>
        <v>0.023308688716672347</v>
      </c>
      <c r="F85" s="34">
        <f>IF(OR(1427663.68281="",200.36525="",1185.85949=""),"-",(1185.85949-200.36525)/1427663.68281*100)</f>
        <v>0.06902845900375502</v>
      </c>
      <c r="G85" s="34">
        <f>IF(OR(1752232.13505="",416.6669="",1185.85949=""),"-",(416.6669-1185.85949)/1752232.13505*100)</f>
        <v>-0.04389787030004738</v>
      </c>
    </row>
    <row r="86" spans="1:7" ht="15.75">
      <c r="A86" s="29" t="s">
        <v>148</v>
      </c>
      <c r="B86" s="34">
        <f>IF(397.19307="","-",397.19307)</f>
        <v>397.19307</v>
      </c>
      <c r="C86" s="34" t="s">
        <v>265</v>
      </c>
      <c r="D86" s="34">
        <f>IF(30.13138="","-",30.13138/1752232.13505*100)</f>
        <v>0.0017195997834579264</v>
      </c>
      <c r="E86" s="34">
        <f>IF(397.19307="","-",397.19307/1787603.34854*100)</f>
        <v>0.022219306666906944</v>
      </c>
      <c r="F86" s="34">
        <f>IF(OR(1427663.68281="",42.74054="",30.13138=""),"-",(30.13138-42.74054)/1427663.68281*100)</f>
        <v>-0.0008832024062685418</v>
      </c>
      <c r="G86" s="34">
        <f>IF(OR(1752232.13505="",397.19307="",30.13138=""),"-",(397.19307-30.13138)/1752232.13505*100)</f>
        <v>0.020948234121361202</v>
      </c>
    </row>
    <row r="87" spans="1:7" ht="15.75">
      <c r="A87" s="29" t="s">
        <v>104</v>
      </c>
      <c r="B87" s="34">
        <f>IF(392.70711="","-",392.70711)</f>
        <v>392.70711</v>
      </c>
      <c r="C87" s="34">
        <f>IF(OR(353.96889="",392.70711=""),"-",392.70711/353.96889*100)</f>
        <v>110.94396177019962</v>
      </c>
      <c r="D87" s="34">
        <f>IF(353.96889="","-",353.96889/1752232.13505*100)</f>
        <v>0.020201027188095685</v>
      </c>
      <c r="E87" s="34">
        <f>IF(392.70711="","-",392.70711/1787603.34854*100)</f>
        <v>0.021968358378872923</v>
      </c>
      <c r="F87" s="34">
        <f>IF(OR(1427663.68281="",179.59211="",353.96889=""),"-",(353.96889-179.59211)/1427663.68281*100)</f>
        <v>0.012214135730957504</v>
      </c>
      <c r="G87" s="34">
        <f>IF(OR(1752232.13505="",392.70711="",353.96889=""),"-",(392.70711-353.96889)/1752232.13505*100)</f>
        <v>0.002210792692652827</v>
      </c>
    </row>
    <row r="88" spans="1:7" ht="15.75">
      <c r="A88" s="29" t="s">
        <v>149</v>
      </c>
      <c r="B88" s="34">
        <f>IF(390.55589="","-",390.55589)</f>
        <v>390.55589</v>
      </c>
      <c r="C88" s="34" t="s">
        <v>244</v>
      </c>
      <c r="D88" s="34">
        <f>IF(95.45752="","-",95.45752/1752232.13505*100)</f>
        <v>0.005447766770769566</v>
      </c>
      <c r="E88" s="34">
        <f>IF(390.55589="","-",390.55589/1787603.34854*100)</f>
        <v>0.021848017364645297</v>
      </c>
      <c r="F88" s="34">
        <f>IF(OR(1427663.68281="",346.8895="",95.45752=""),"-",(95.45752-346.8895)/1427663.68281*100)</f>
        <v>-0.017611429290203616</v>
      </c>
      <c r="G88" s="34">
        <f>IF(OR(1752232.13505="",390.55589="",95.45752=""),"-",(390.55589-95.45752)/1752232.13505*100)</f>
        <v>0.016841282847011557</v>
      </c>
    </row>
    <row r="89" spans="1:7" ht="15.75">
      <c r="A89" s="29" t="s">
        <v>156</v>
      </c>
      <c r="B89" s="34">
        <f>IF(309.7686="","-",309.7686)</f>
        <v>309.7686</v>
      </c>
      <c r="C89" s="34">
        <f>IF(OR(341.85669="",309.7686=""),"-",309.7686/341.85669*100)</f>
        <v>90.61358430633608</v>
      </c>
      <c r="D89" s="34">
        <f>IF(341.85669="","-",341.85669/1752232.13505*100)</f>
        <v>0.019509783159538115</v>
      </c>
      <c r="E89" s="34">
        <f>IF(309.7686="","-",309.7686/1787603.34854*100)</f>
        <v>0.01732870998776094</v>
      </c>
      <c r="F89" s="34">
        <f>IF(OR(1427663.68281="",154.52508="",341.85669=""),"-",(341.85669-154.52508)/1427663.68281*100)</f>
        <v>0.013121550422245417</v>
      </c>
      <c r="G89" s="34">
        <f>IF(OR(1752232.13505="",309.7686="",341.85669=""),"-",(309.7686-341.85669)/1752232.13505*100)</f>
        <v>-0.0018312693482866861</v>
      </c>
    </row>
    <row r="90" spans="1:7" ht="15.75">
      <c r="A90" s="29" t="s">
        <v>116</v>
      </c>
      <c r="B90" s="34">
        <f>IF(300.93412="","-",300.93412)</f>
        <v>300.93412</v>
      </c>
      <c r="C90" s="34">
        <f>IF(OR(305.91438="",300.93412=""),"-",300.93412/305.91438*100)</f>
        <v>98.37200853389109</v>
      </c>
      <c r="D90" s="34">
        <f>IF(305.91438="","-",305.91438/1752232.13505*100)</f>
        <v>0.017458553229379663</v>
      </c>
      <c r="E90" s="34">
        <f>IF(300.93412="","-",300.93412/1787603.34854*100)</f>
        <v>0.01683450191821266</v>
      </c>
      <c r="F90" s="34">
        <f>IF(OR(1427663.68281="",187.53285="",305.91438=""),"-",(305.91438-187.53285)/1427663.68281*100)</f>
        <v>0.008291976004250207</v>
      </c>
      <c r="G90" s="34">
        <f>IF(OR(1752232.13505="",300.93412="",305.91438=""),"-",(300.93412-305.91438)/1752232.13505*100)</f>
        <v>-0.00028422375668038275</v>
      </c>
    </row>
    <row r="91" spans="1:7" ht="15.75">
      <c r="A91" s="29" t="s">
        <v>155</v>
      </c>
      <c r="B91" s="34">
        <f>IF(281.04058="","-",281.04058)</f>
        <v>281.04058</v>
      </c>
      <c r="C91" s="34" t="s">
        <v>266</v>
      </c>
      <c r="D91" s="34">
        <f>IF(7.147="","-",7.147/1752232.13505*100)</f>
        <v>0.0004078797470402551</v>
      </c>
      <c r="E91" s="34">
        <f>IF(281.04058="","-",281.04058/1787603.34854*100)</f>
        <v>0.015721640946216395</v>
      </c>
      <c r="F91" s="34" t="str">
        <f>IF(OR(1427663.68281="",""="",7.147=""),"-",(7.147-"")/1427663.68281*100)</f>
        <v>-</v>
      </c>
      <c r="G91" s="34">
        <f>IF(OR(1752232.13505="",281.04058="",7.147=""),"-",(281.04058-7.147)/1752232.13505*100)</f>
        <v>0.015631124125696078</v>
      </c>
    </row>
    <row r="92" spans="1:7" ht="15.75">
      <c r="A92" s="29" t="s">
        <v>87</v>
      </c>
      <c r="B92" s="34">
        <f>IF(262.20629="","-",262.20629)</f>
        <v>262.20629</v>
      </c>
      <c r="C92" s="34" t="str">
        <f>IF(OR(""="",262.20629=""),"-",262.20629/""*100)</f>
        <v>-</v>
      </c>
      <c r="D92" s="34" t="str">
        <f>IF(""="","-",""/1752232.13505*100)</f>
        <v>-</v>
      </c>
      <c r="E92" s="34">
        <f>IF(262.20629="","-",262.20629/1787603.34854*100)</f>
        <v>0.01466803528949268</v>
      </c>
      <c r="F92" s="34" t="str">
        <f>IF(OR(1427663.68281="",2.55="",""=""),"-",(""-2.55)/1427663.68281*100)</f>
        <v>-</v>
      </c>
      <c r="G92" s="34" t="str">
        <f>IF(OR(1752232.13505="",262.20629="",""=""),"-",(262.20629-"")/1752232.13505*100)</f>
        <v>-</v>
      </c>
    </row>
    <row r="93" spans="1:7" ht="15.75">
      <c r="A93" s="29" t="s">
        <v>146</v>
      </c>
      <c r="B93" s="34">
        <f>IF(260.66834="","-",260.66834)</f>
        <v>260.66834</v>
      </c>
      <c r="C93" s="34" t="s">
        <v>267</v>
      </c>
      <c r="D93" s="34">
        <f>IF(99.05="","-",99.05/1752232.13505*100)</f>
        <v>0.005652789834103437</v>
      </c>
      <c r="E93" s="34">
        <f>IF(260.66834="","-",260.66834/1787603.34854*100)</f>
        <v>0.014582001102923488</v>
      </c>
      <c r="F93" s="34">
        <f>IF(OR(1427663.68281="",35.91411="",99.05=""),"-",(99.05-35.91411)/1427663.68281*100)</f>
        <v>0.004422322341052533</v>
      </c>
      <c r="G93" s="34">
        <f>IF(OR(1752232.13505="",260.66834="",99.05=""),"-",(260.66834-99.05)/1752232.13505*100)</f>
        <v>0.009223568999057775</v>
      </c>
    </row>
    <row r="94" spans="1:7" ht="15.75">
      <c r="A94" s="29" t="s">
        <v>121</v>
      </c>
      <c r="B94" s="34">
        <f>IF(256.45194="","-",256.45194)</f>
        <v>256.45194</v>
      </c>
      <c r="C94" s="34">
        <f>IF(OR(410.44875="",256.45194=""),"-",256.45194/410.44875*100)</f>
        <v>62.48086758700081</v>
      </c>
      <c r="D94" s="34">
        <f>IF(410.44875="","-",410.44875/1752232.13505*100)</f>
        <v>0.023424336410100586</v>
      </c>
      <c r="E94" s="34">
        <f>IF(256.45194="","-",256.45194/1787603.34854*100)</f>
        <v>0.014346132222758115</v>
      </c>
      <c r="F94" s="34" t="str">
        <f>IF(OR(1427663.68281="",""="",410.44875=""),"-",(410.44875-"")/1427663.68281*100)</f>
        <v>-</v>
      </c>
      <c r="G94" s="34">
        <f>IF(OR(1752232.13505="",256.45194="",410.44875=""),"-",(256.45194-410.44875)/1752232.13505*100)</f>
        <v>-0.008788607794572021</v>
      </c>
    </row>
    <row r="95" spans="1:7" ht="15.75">
      <c r="A95" s="29" t="s">
        <v>77</v>
      </c>
      <c r="B95" s="34">
        <f>IF(235.83808="","-",235.83808)</f>
        <v>235.83808</v>
      </c>
      <c r="C95" s="34" t="s">
        <v>225</v>
      </c>
      <c r="D95" s="34">
        <f>IF(52.5428="","-",52.5428/1752232.13505*100)</f>
        <v>0.002998620956035639</v>
      </c>
      <c r="E95" s="34">
        <f>IF(235.83808="","-",235.83808/1787603.34854*100)</f>
        <v>0.013192975958151873</v>
      </c>
      <c r="F95" s="34">
        <f>IF(OR(1427663.68281="",339.27215="",52.5428=""),"-",(52.5428-339.27215)/1427663.68281*100)</f>
        <v>-0.020083816199319773</v>
      </c>
      <c r="G95" s="34">
        <f>IF(OR(1752232.13505="",235.83808="",52.5428=""),"-",(235.83808-52.5428)/1752232.13505*100)</f>
        <v>0.010460673351066561</v>
      </c>
    </row>
    <row r="96" spans="1:7" ht="15.75">
      <c r="A96" s="29" t="s">
        <v>96</v>
      </c>
      <c r="B96" s="34">
        <f>IF(191.8125="","-",191.8125)</f>
        <v>191.8125</v>
      </c>
      <c r="C96" s="34">
        <f>IF(OR(142.83019="",191.8125=""),"-",191.8125/142.83019*100)</f>
        <v>134.29408726544438</v>
      </c>
      <c r="D96" s="34">
        <f>IF(142.83019="","-",142.83019/1752232.13505*100)</f>
        <v>0.00815132807708291</v>
      </c>
      <c r="E96" s="34">
        <f>IF(191.8125="","-",191.8125/1787603.34854*100)</f>
        <v>0.010730148841836764</v>
      </c>
      <c r="F96" s="34" t="str">
        <f>IF(OR(1427663.68281="",""="",142.83019=""),"-",(142.83019-"")/1427663.68281*100)</f>
        <v>-</v>
      </c>
      <c r="G96" s="34">
        <f>IF(OR(1752232.13505="",191.8125="",142.83019=""),"-",(191.8125-142.83019)/1752232.13505*100)</f>
        <v>0.0027954235640474828</v>
      </c>
    </row>
    <row r="97" spans="1:7" ht="15.75">
      <c r="A97" s="29" t="s">
        <v>171</v>
      </c>
      <c r="B97" s="34">
        <f>IF(189.65507="","-",189.65507)</f>
        <v>189.65507</v>
      </c>
      <c r="C97" s="34">
        <f>IF(OR(221.20633="",189.65507=""),"-",189.65507/221.20633*100)</f>
        <v>85.7367282391964</v>
      </c>
      <c r="D97" s="34">
        <f>IF(221.20633="","-",221.20633/1752232.13505*100)</f>
        <v>0.01262425939892307</v>
      </c>
      <c r="E97" s="34">
        <f>IF(189.65507="","-",189.65507/1787603.34854*100)</f>
        <v>0.010609460435107045</v>
      </c>
      <c r="F97" s="34">
        <f>IF(OR(1427663.68281="",17.03616="",221.20633=""),"-",(221.20633-17.03616)/1427663.68281*100)</f>
        <v>0.01430099906990293</v>
      </c>
      <c r="G97" s="34">
        <f>IF(OR(1752232.13505="",189.65507="",221.20633=""),"-",(189.65507-221.20633)/1752232.13505*100)</f>
        <v>-0.001800632425857188</v>
      </c>
    </row>
    <row r="98" spans="1:7" ht="15.75">
      <c r="A98" s="29" t="s">
        <v>44</v>
      </c>
      <c r="B98" s="34">
        <f>IF(180.58266="","-",180.58266)</f>
        <v>180.58266</v>
      </c>
      <c r="C98" s="34">
        <f>IF(OR(258.48513="",180.58266=""),"-",180.58266/258.48513*100)</f>
        <v>69.86191430044737</v>
      </c>
      <c r="D98" s="34">
        <f>IF(258.48513="","-",258.48513/1752232.13505*100)</f>
        <v>0.014751762898848112</v>
      </c>
      <c r="E98" s="34">
        <f>IF(180.58266="","-",180.58266/1787603.34854*100)</f>
        <v>0.010101942365877104</v>
      </c>
      <c r="F98" s="34">
        <f>IF(OR(1427663.68281="",235.12523="",258.48513=""),"-",(258.48513-235.12523)/1427663.68281*100)</f>
        <v>0.0016362326983076225</v>
      </c>
      <c r="G98" s="34">
        <f>IF(OR(1752232.13505="",180.58266="",258.48513=""),"-",(180.58266-258.48513)/1752232.13505*100)</f>
        <v>-0.004445898944649652</v>
      </c>
    </row>
    <row r="99" spans="1:7" ht="15.75">
      <c r="A99" s="29" t="s">
        <v>160</v>
      </c>
      <c r="B99" s="34">
        <f>IF(133.4746="","-",133.4746)</f>
        <v>133.4746</v>
      </c>
      <c r="C99" s="34">
        <f>IF(OR(436.94111="",133.4746=""),"-",133.4746/436.94111*100)</f>
        <v>30.54750330084528</v>
      </c>
      <c r="D99" s="34">
        <f>IF(436.94111="","-",436.94111/1752232.13505*100)</f>
        <v>0.024936257089448473</v>
      </c>
      <c r="E99" s="34">
        <f>IF(133.4746="","-",133.4746/1787603.34854*100)</f>
        <v>0.007466678785817533</v>
      </c>
      <c r="F99" s="34">
        <f>IF(OR(1427663.68281="",362.10238="",436.94111=""),"-",(436.94111-362.10238)/1427663.68281*100)</f>
        <v>0.005242042008990424</v>
      </c>
      <c r="G99" s="34">
        <f>IF(OR(1752232.13505="",133.4746="",436.94111=""),"-",(133.4746-436.94111)/1752232.13505*100)</f>
        <v>-0.017318853131941935</v>
      </c>
    </row>
    <row r="100" spans="1:7" ht="15.75">
      <c r="A100" s="29" t="s">
        <v>95</v>
      </c>
      <c r="B100" s="34">
        <f>IF(129.80364="","-",129.80364)</f>
        <v>129.80364</v>
      </c>
      <c r="C100" s="34">
        <f>IF(OR(115.8512="",129.80364=""),"-",129.80364/115.8512*100)</f>
        <v>112.04341431077106</v>
      </c>
      <c r="D100" s="34">
        <f>IF(115.8512="","-",115.8512/1752232.13505*100)</f>
        <v>0.0066116353925157415</v>
      </c>
      <c r="E100" s="34">
        <f>IF(129.80364="","-",129.80364/1787603.34854*100)</f>
        <v>0.007261322267381929</v>
      </c>
      <c r="F100" s="34">
        <f>IF(OR(1427663.68281="",203.86518="",115.8512=""),"-",(115.8512-203.86518)/1427663.68281*100)</f>
        <v>-0.006164895910692806</v>
      </c>
      <c r="G100" s="34">
        <f>IF(OR(1752232.13505="",129.80364="",115.8512=""),"-",(129.80364-115.8512)/1752232.13505*100)</f>
        <v>0.0007962666430382446</v>
      </c>
    </row>
    <row r="101" spans="1:7" ht="15.75">
      <c r="A101" s="29" t="s">
        <v>102</v>
      </c>
      <c r="B101" s="34">
        <f>IF(120.56844="","-",120.56844)</f>
        <v>120.56844</v>
      </c>
      <c r="C101" s="34">
        <f>IF(OR(121.6579="",120.56844=""),"-",120.56844/121.6579*100)</f>
        <v>99.10448889878914</v>
      </c>
      <c r="D101" s="34">
        <f>IF(121.6579="","-",121.6579/1752232.13505*100)</f>
        <v>0.00694302413284576</v>
      </c>
      <c r="E101" s="34">
        <f>IF(120.56844="","-",120.56844/1787603.34854*100)</f>
        <v>0.006744697591804836</v>
      </c>
      <c r="F101" s="34">
        <f>IF(OR(1427663.68281="",307.0826="",121.6579=""),"-",(121.6579-307.0826)/1427663.68281*100)</f>
        <v>-0.01298798184983159</v>
      </c>
      <c r="G101" s="34">
        <f>IF(OR(1752232.13505="",120.56844="",121.6579=""),"-",(120.56844-121.6579)/1752232.13505*100)</f>
        <v>-6.217555186938258E-05</v>
      </c>
    </row>
    <row r="102" spans="1:7" ht="15.75">
      <c r="A102" s="29" t="s">
        <v>111</v>
      </c>
      <c r="B102" s="34">
        <f>IF(100.98459="","-",100.98459)</f>
        <v>100.98459</v>
      </c>
      <c r="C102" s="34">
        <f>IF(OR(124.93436="",100.98459=""),"-",100.98459/124.93436*100)</f>
        <v>80.83011751130755</v>
      </c>
      <c r="D102" s="34">
        <f>IF(124.93436="","-",124.93436/1752232.13505*100)</f>
        <v>0.007130011914570611</v>
      </c>
      <c r="E102" s="34">
        <f>IF(100.98459="","-",100.98459/1787603.34854*100)</f>
        <v>0.005649160932847757</v>
      </c>
      <c r="F102" s="34">
        <f>IF(OR(1427663.68281="",61.158="",124.93436=""),"-",(124.93436-61.158)/1427663.68281*100)</f>
        <v>0.0044671837469782896</v>
      </c>
      <c r="G102" s="34">
        <f>IF(OR(1752232.13505="",100.98459="",124.93436=""),"-",(100.98459-124.93436)/1752232.13505*100)</f>
        <v>-0.0013668149054529579</v>
      </c>
    </row>
    <row r="103" spans="1:7" ht="15.75">
      <c r="A103" s="29" t="s">
        <v>259</v>
      </c>
      <c r="B103" s="34">
        <f>IF(97.79062="","-",97.79062)</f>
        <v>97.79062</v>
      </c>
      <c r="C103" s="34" t="s">
        <v>112</v>
      </c>
      <c r="D103" s="34">
        <f>IF(55.6754="","-",55.6754/1752232.13505*100)</f>
        <v>0.003177398638360853</v>
      </c>
      <c r="E103" s="34">
        <f>IF(97.79062="","-",97.79062/1787603.34854*100)</f>
        <v>0.005470487626903872</v>
      </c>
      <c r="F103" s="34">
        <f>IF(OR(1427663.68281="",55.15="",55.6754=""),"-",(55.6754-55.15)/1427663.68281*100)</f>
        <v>3.680138441049967E-05</v>
      </c>
      <c r="G103" s="34">
        <f>IF(OR(1752232.13505="",97.79062="",55.6754=""),"-",(97.79062-55.6754)/1752232.13505*100)</f>
        <v>0.0024035182986070643</v>
      </c>
    </row>
    <row r="104" spans="1:7" ht="15.75">
      <c r="A104" s="29" t="s">
        <v>86</v>
      </c>
      <c r="B104" s="34">
        <f>IF(97.47265="","-",97.47265)</f>
        <v>97.47265</v>
      </c>
      <c r="C104" s="34">
        <f>IF(OR(288.6137="",97.47265=""),"-",97.47265/288.6137*100)</f>
        <v>33.77270379056851</v>
      </c>
      <c r="D104" s="34">
        <f>IF(288.6137="","-",288.6137/1752232.13505*100)</f>
        <v>0.016471202315426342</v>
      </c>
      <c r="E104" s="34">
        <f>IF(97.47265="","-",97.47265/1787603.34854*100)</f>
        <v>0.005452700123861898</v>
      </c>
      <c r="F104" s="34">
        <f>IF(OR(1427663.68281="",38.1008="",288.6137=""),"-",(288.6137-38.1008)/1427663.68281*100)</f>
        <v>0.01754705278395314</v>
      </c>
      <c r="G104" s="34">
        <f>IF(OR(1752232.13505="",97.47265="",288.6137=""),"-",(97.47265-288.6137)/1752232.13505*100)</f>
        <v>-0.010908431946692143</v>
      </c>
    </row>
    <row r="105" spans="1:7" ht="15.75">
      <c r="A105" s="29" t="s">
        <v>99</v>
      </c>
      <c r="B105" s="34">
        <f>IF(96.78179="","-",96.78179)</f>
        <v>96.78179</v>
      </c>
      <c r="C105" s="34">
        <f>IF(OR(96.62283="",96.78179=""),"-",96.78179/96.62283*100)</f>
        <v>100.16451598447283</v>
      </c>
      <c r="D105" s="34">
        <f>IF(96.62283="","-",96.62283/1752232.13505*100)</f>
        <v>0.0055142710869894454</v>
      </c>
      <c r="E105" s="34">
        <f>IF(96.78179="","-",96.78179/1787603.34854*100)</f>
        <v>0.005414052847856052</v>
      </c>
      <c r="F105" s="34">
        <f>IF(OR(1427663.68281="",59.72089="",96.62283=""),"-",(96.62283-59.72089)/1427663.68281*100)</f>
        <v>0.0025847782250346053</v>
      </c>
      <c r="G105" s="34">
        <f>IF(OR(1752232.13505="",96.78179="",96.62283=""),"-",(96.78179-96.62283)/1752232.13505*100)</f>
        <v>9.071857365261231E-06</v>
      </c>
    </row>
    <row r="106" spans="1:7" ht="15.75">
      <c r="A106" s="29" t="s">
        <v>226</v>
      </c>
      <c r="B106" s="34">
        <f>IF(90.33513="","-",90.33513)</f>
        <v>90.33513</v>
      </c>
      <c r="C106" s="34" t="s">
        <v>268</v>
      </c>
      <c r="D106" s="34">
        <f>IF(0.03831="","-",0.03831/1752232.13505*100)</f>
        <v>2.1863541498687796E-06</v>
      </c>
      <c r="E106" s="34">
        <f>IF(90.33513="","-",90.33513/1787603.34854*100)</f>
        <v>0.005053421390924333</v>
      </c>
      <c r="F106" s="34">
        <f>IF(OR(1427663.68281="",0.17028="",0.03831=""),"-",(0.03831-0.17028)/1427663.68281*100)</f>
        <v>-9.24377369747544E-06</v>
      </c>
      <c r="G106" s="34">
        <f>IF(OR(1752232.13505="",90.33513="",0.03831=""),"-",(90.33513-0.03831)/1752232.13505*100)</f>
        <v>0.005153245291750308</v>
      </c>
    </row>
    <row r="107" spans="1:7" ht="15.75">
      <c r="A107" s="29" t="s">
        <v>172</v>
      </c>
      <c r="B107" s="34">
        <f>IF(89.75482="","-",89.75482)</f>
        <v>89.75482</v>
      </c>
      <c r="C107" s="34" t="s">
        <v>112</v>
      </c>
      <c r="D107" s="34">
        <f>IF(48.96218="","-",48.96218/1752232.13505*100)</f>
        <v>0.002794274743660198</v>
      </c>
      <c r="E107" s="34">
        <f>IF(89.75482="","-",89.75482/1787603.34854*100)</f>
        <v>0.0050209583727456085</v>
      </c>
      <c r="F107" s="34">
        <f>IF(OR(1427663.68281="",45.3129="",48.96218=""),"-",(48.96218-45.3129)/1427663.68281*100)</f>
        <v>0.00025561202151036717</v>
      </c>
      <c r="G107" s="34">
        <f>IF(OR(1752232.13505="",89.75482="",48.96218=""),"-",(89.75482-48.96218)/1752232.13505*100)</f>
        <v>0.0023280385734299972</v>
      </c>
    </row>
    <row r="108" spans="1:7" ht="15.75">
      <c r="A108" s="29" t="s">
        <v>239</v>
      </c>
      <c r="B108" s="34">
        <f>IF(88.5175="","-",88.5175)</f>
        <v>88.5175</v>
      </c>
      <c r="C108" s="34">
        <f>IF(OR(65.856="",88.5175=""),"-",88.5175/65.856*100)</f>
        <v>134.41068391642372</v>
      </c>
      <c r="D108" s="34">
        <f>IF(65.856="","-",65.856/1752232.13505*100)</f>
        <v>0.0037584061313954155</v>
      </c>
      <c r="E108" s="34">
        <f>IF(88.5175="","-",88.5175/1787603.34854*100)</f>
        <v>0.004951741675371968</v>
      </c>
      <c r="F108" s="34" t="str">
        <f>IF(OR(1427663.68281="",""="",65.856=""),"-",(65.856-"")/1427663.68281*100)</f>
        <v>-</v>
      </c>
      <c r="G108" s="34">
        <f>IF(OR(1752232.13505="",88.5175="",65.856=""),"-",(88.5175-65.856)/1752232.13505*100)</f>
        <v>0.0012932932541699653</v>
      </c>
    </row>
    <row r="109" spans="1:7" ht="15.75">
      <c r="A109" s="43" t="s">
        <v>260</v>
      </c>
      <c r="B109" s="44">
        <f>IF(82.03294="","-",82.03294)</f>
        <v>82.03294</v>
      </c>
      <c r="C109" s="44">
        <f>IF(OR(77.69399="",82.03294=""),"-",82.03294/77.69399*100)</f>
        <v>105.5846662013368</v>
      </c>
      <c r="D109" s="44">
        <f>IF(77.69399="","-",77.69399/1752232.13505*100)</f>
        <v>0.004434000977717658</v>
      </c>
      <c r="E109" s="44">
        <f>IF(82.03294="","-",82.03294/1787603.34854*100)</f>
        <v>0.004588990061301868</v>
      </c>
      <c r="F109" s="44">
        <f>IF(OR(1427663.68281="",11.42792="",77.69399=""),"-",(77.69399-11.42792)/1427663.68281*100)</f>
        <v>0.0046415742585516895</v>
      </c>
      <c r="G109" s="44">
        <f>IF(OR(1752232.13505="",82.03294="",77.69399=""),"-",(82.03294-77.69399)/1752232.13505*100)</f>
        <v>0.00024762415396954154</v>
      </c>
    </row>
    <row r="110" spans="1:7" ht="15.75">
      <c r="A110" s="30" t="s">
        <v>103</v>
      </c>
      <c r="B110" s="35">
        <f>IF(81.87974="","-",81.87974)</f>
        <v>81.87974</v>
      </c>
      <c r="C110" s="35" t="s">
        <v>245</v>
      </c>
      <c r="D110" s="35">
        <f>IF(23.65="","-",23.65/1752232.13505*100)</f>
        <v>0.0013497070123831023</v>
      </c>
      <c r="E110" s="35">
        <f>IF(81.87974="","-",81.87974/1787603.34854*100)</f>
        <v>0.004580419927433798</v>
      </c>
      <c r="F110" s="35">
        <f>IF(OR(1427663.68281="",0.162="",23.65=""),"-",(23.65-0.162)/1427663.68281*100)</f>
        <v>0.001645205399759818</v>
      </c>
      <c r="G110" s="35">
        <f>IF(OR(1752232.13505="",81.87974="",23.65=""),"-",(81.87974-23.65)/1752232.13505*100)</f>
        <v>0.003323174985507181</v>
      </c>
    </row>
    <row r="111" ht="15.75">
      <c r="A111" s="45" t="s">
        <v>21</v>
      </c>
    </row>
  </sheetData>
  <sheetProtection/>
  <mergeCells count="9"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H115"/>
  <sheetViews>
    <sheetView zoomScalePageLayoutView="0" workbookViewId="0" topLeftCell="A1">
      <selection activeCell="I56" sqref="I56"/>
    </sheetView>
  </sheetViews>
  <sheetFormatPr defaultColWidth="9.00390625" defaultRowHeight="15.75"/>
  <cols>
    <col min="1" max="1" width="32.75390625" style="0" customWidth="1"/>
    <col min="2" max="2" width="11.875" style="0" customWidth="1"/>
    <col min="3" max="3" width="9.75390625" style="0" customWidth="1"/>
    <col min="4" max="4" width="7.625" style="0" customWidth="1"/>
    <col min="5" max="5" width="7.75390625" style="0" customWidth="1"/>
    <col min="6" max="6" width="9.375" style="0" customWidth="1"/>
    <col min="7" max="7" width="9.625" style="0" customWidth="1"/>
  </cols>
  <sheetData>
    <row r="1" spans="1:7" ht="15.75">
      <c r="A1" s="80" t="s">
        <v>131</v>
      </c>
      <c r="B1" s="80"/>
      <c r="C1" s="80"/>
      <c r="D1" s="80"/>
      <c r="E1" s="80"/>
      <c r="F1" s="80"/>
      <c r="G1" s="80"/>
    </row>
    <row r="2" ht="15.75">
      <c r="A2" s="2"/>
    </row>
    <row r="3" spans="1:7" ht="55.5" customHeight="1">
      <c r="A3" s="68"/>
      <c r="B3" s="71" t="s">
        <v>253</v>
      </c>
      <c r="C3" s="72"/>
      <c r="D3" s="71" t="s">
        <v>117</v>
      </c>
      <c r="E3" s="72"/>
      <c r="F3" s="73" t="s">
        <v>139</v>
      </c>
      <c r="G3" s="74"/>
    </row>
    <row r="4" spans="1:8" ht="27" customHeight="1">
      <c r="A4" s="69"/>
      <c r="B4" s="75" t="s">
        <v>107</v>
      </c>
      <c r="C4" s="77" t="s">
        <v>254</v>
      </c>
      <c r="D4" s="79" t="s">
        <v>255</v>
      </c>
      <c r="E4" s="79"/>
      <c r="F4" s="79" t="s">
        <v>255</v>
      </c>
      <c r="G4" s="71"/>
      <c r="H4" s="1"/>
    </row>
    <row r="5" spans="1:7" ht="22.5" customHeight="1">
      <c r="A5" s="70"/>
      <c r="B5" s="76"/>
      <c r="C5" s="78"/>
      <c r="D5" s="21">
        <v>2018</v>
      </c>
      <c r="E5" s="21">
        <v>2019</v>
      </c>
      <c r="F5" s="21" t="s">
        <v>119</v>
      </c>
      <c r="G5" s="17" t="s">
        <v>140</v>
      </c>
    </row>
    <row r="6" spans="1:7" s="3" customFormat="1" ht="15">
      <c r="A6" s="46" t="s">
        <v>150</v>
      </c>
      <c r="B6" s="32">
        <f>IF(3770696.04948="","-",3770696.04948)</f>
        <v>3770696.04948</v>
      </c>
      <c r="C6" s="32">
        <f>IF(3703581.02097="","-",3770696.04948/3703581.02097*100)</f>
        <v>101.81216579656254</v>
      </c>
      <c r="D6" s="32">
        <v>100</v>
      </c>
      <c r="E6" s="32">
        <v>100</v>
      </c>
      <c r="F6" s="32">
        <f>IF(3007940.19782="","-",(3703581.02097-3007940.19782)/3007940.19782*100)</f>
        <v>23.126816937855505</v>
      </c>
      <c r="G6" s="32">
        <f>IF(3703581.02097="","-",(3770696.04948-3703581.02097)/3703581.02097*100)</f>
        <v>1.8121657965625413</v>
      </c>
    </row>
    <row r="7" spans="1:7" s="3" customFormat="1" ht="15">
      <c r="A7" s="47" t="s">
        <v>157</v>
      </c>
      <c r="B7" s="36"/>
      <c r="C7" s="36"/>
      <c r="D7" s="36"/>
      <c r="E7" s="36"/>
      <c r="F7" s="36"/>
      <c r="G7" s="36"/>
    </row>
    <row r="8" spans="1:7" s="3" customFormat="1" ht="15">
      <c r="A8" s="24" t="s">
        <v>235</v>
      </c>
      <c r="B8" s="33">
        <f>IF(1887009.33691="","-",1887009.33691)</f>
        <v>1887009.33691</v>
      </c>
      <c r="C8" s="33">
        <f>IF(1873571.36168="","-",1887009.33691/1873571.36168*100)</f>
        <v>100.71723850528707</v>
      </c>
      <c r="D8" s="33">
        <f>IF(1873571.36168="","-",1873571.36168/3703581.02097*100)</f>
        <v>50.58810246276981</v>
      </c>
      <c r="E8" s="33">
        <f>IF(1887009.33691="","-",1887009.33691/3770696.04948*100)</f>
        <v>50.0440585013536</v>
      </c>
      <c r="F8" s="33">
        <f>IF(3007940.19782="","-",(1873571.36168-1498530.32617)/3007940.19782*100)</f>
        <v>12.468367415742192</v>
      </c>
      <c r="G8" s="33">
        <f>IF(3703581.02097="","-",(1887009.33691-1873571.36168)/3703581.02097*100)</f>
        <v>0.3628373499570548</v>
      </c>
    </row>
    <row r="9" spans="1:7" s="3" customFormat="1" ht="15">
      <c r="A9" s="29" t="s">
        <v>2</v>
      </c>
      <c r="B9" s="34">
        <f>IF(547615.00932="","-",547615.00932)</f>
        <v>547615.00932</v>
      </c>
      <c r="C9" s="34">
        <f>IF(OR(540693.68259="",547615.00932=""),"-",547615.00932/540693.68259*100)</f>
        <v>101.2800827812239</v>
      </c>
      <c r="D9" s="34">
        <f>IF(540693.68259="","-",540693.68259/3703581.02097*100)</f>
        <v>14.59921301919804</v>
      </c>
      <c r="E9" s="34">
        <f>IF(547615.00932="","-",547615.00932/3770696.04948*100)</f>
        <v>14.52291571991116</v>
      </c>
      <c r="F9" s="34">
        <f>IF(OR(3007940.19782="",426244.58657="",540693.68259=""),"-",(540693.68259-426244.58657)/3007940.19782*100)</f>
        <v>3.804899316247936</v>
      </c>
      <c r="G9" s="34">
        <f>IF(OR(3703581.02097="",547615.00932="",540693.68259=""),"-",(547615.00932-540693.68259)/3703581.02097*100)</f>
        <v>0.18688201205295127</v>
      </c>
    </row>
    <row r="10" spans="1:7" s="3" customFormat="1" ht="15">
      <c r="A10" s="29" t="s">
        <v>4</v>
      </c>
      <c r="B10" s="34">
        <f>IF(318945.93826="","-",318945.93826)</f>
        <v>318945.93826</v>
      </c>
      <c r="C10" s="34">
        <f>IF(OR(315471.51497="",318945.93826=""),"-",318945.93826/315471.51497*100)</f>
        <v>101.10134295019644</v>
      </c>
      <c r="D10" s="34">
        <f>IF(315471.51497="","-",315471.51497/3703581.02097*100)</f>
        <v>8.518013057734466</v>
      </c>
      <c r="E10" s="34">
        <f>IF(318945.93826="","-",318945.93826/3770696.04948*100)</f>
        <v>8.458542774986714</v>
      </c>
      <c r="F10" s="34">
        <f>IF(OR(3007940.19782="",243960.15419="",315471.51497=""),"-",(315471.51497-243960.15419)/3007940.19782*100)</f>
        <v>2.377419631940415</v>
      </c>
      <c r="G10" s="34">
        <f>IF(OR(3703581.02097="",318945.93826="",315471.51497=""),"-",(318945.93826-315471.51497)/3703581.02097*100)</f>
        <v>0.09381253630817085</v>
      </c>
    </row>
    <row r="11" spans="1:7" ht="12.75" customHeight="1">
      <c r="A11" s="29" t="s">
        <v>3</v>
      </c>
      <c r="B11" s="34">
        <f>IF(264114.6653="","-",264114.6653)</f>
        <v>264114.6653</v>
      </c>
      <c r="C11" s="34">
        <f>IF(OR(262531.53794="",264114.6653=""),"-",264114.6653/262531.53794*100)</f>
        <v>100.60302368714338</v>
      </c>
      <c r="D11" s="34">
        <f>IF(262531.53794="","-",262531.53794/3703581.02097*100)</f>
        <v>7.088586329110217</v>
      </c>
      <c r="E11" s="34">
        <f>IF(264114.6653="","-",264114.6653/3770696.04948*100)</f>
        <v>7.004400827704553</v>
      </c>
      <c r="F11" s="34">
        <f>IF(OR(3007940.19782="",216869.2081="",262531.53794=""),"-",(262531.53794-216869.2081)/3007940.19782*100)</f>
        <v>1.5180597630595756</v>
      </c>
      <c r="G11" s="34">
        <f>IF(OR(3703581.02097="",264114.6653="",262531.53794=""),"-",(264114.6653-262531.53794)/3703581.02097*100)</f>
        <v>0.04274585464814131</v>
      </c>
    </row>
    <row r="12" spans="1:7" ht="15.75">
      <c r="A12" s="29" t="s">
        <v>5</v>
      </c>
      <c r="B12" s="34">
        <f>IF(127182.90038="","-",127182.90038)</f>
        <v>127182.90038</v>
      </c>
      <c r="C12" s="34">
        <f>IF(OR(129377.35522="",127182.90038=""),"-",127182.90038/129377.35522*100)</f>
        <v>98.30383390024598</v>
      </c>
      <c r="D12" s="34">
        <f>IF(129377.35522="","-",129377.35522/3703581.02097*100)</f>
        <v>3.493304304332863</v>
      </c>
      <c r="E12" s="34">
        <f>IF(127182.90038="","-",127182.90038/3770696.04948*100)</f>
        <v>3.3729289953651724</v>
      </c>
      <c r="F12" s="34">
        <f>IF(OR(3007940.19782="",99425.62872="",129377.35522=""),"-",(129377.35522-99425.62872)/3007940.19782*100)</f>
        <v>0.995755385087359</v>
      </c>
      <c r="G12" s="34">
        <f>IF(OR(3703581.02097="",127182.90038="",129377.35522=""),"-",(127182.90038-129377.35522)/3703581.02097*100)</f>
        <v>-0.059252243371342384</v>
      </c>
    </row>
    <row r="13" spans="1:7" s="9" customFormat="1" ht="15.75">
      <c r="A13" s="29" t="s">
        <v>163</v>
      </c>
      <c r="B13" s="34">
        <f>IF(96591.26619="","-",96591.26619)</f>
        <v>96591.26619</v>
      </c>
      <c r="C13" s="34">
        <f>IF(OR(95303.70968="",96591.26619=""),"-",96591.26619/95303.70968*100)</f>
        <v>101.35100355938211</v>
      </c>
      <c r="D13" s="34">
        <f>IF(95303.70968="","-",95303.70968/3703581.02097*100)</f>
        <v>2.5732853997356084</v>
      </c>
      <c r="E13" s="34">
        <f>IF(96591.26619="","-",96591.26619/3770696.04948*100)</f>
        <v>2.561629601604204</v>
      </c>
      <c r="F13" s="34">
        <f>IF(OR(3007940.19782="",77331.48602="",95303.70968=""),"-",(95303.70968-77331.48602)/3007940.19782*100)</f>
        <v>0.5974927185395954</v>
      </c>
      <c r="G13" s="34">
        <f>IF(OR(3703581.02097="",96591.26619="",95303.70968=""),"-",(96591.26619-95303.70968)/3703581.02097*100)</f>
        <v>0.034765177343488295</v>
      </c>
    </row>
    <row r="14" spans="1:7" s="9" customFormat="1" ht="15.75">
      <c r="A14" s="29" t="s">
        <v>50</v>
      </c>
      <c r="B14" s="34">
        <f>IF(74991.40337="","-",74991.40337)</f>
        <v>74991.40337</v>
      </c>
      <c r="C14" s="34">
        <f>IF(OR(77671.04288="",74991.40337=""),"-",74991.40337/77671.04288*100)</f>
        <v>96.55001476658428</v>
      </c>
      <c r="D14" s="34">
        <f>IF(77671.04288="","-",77671.04288/3703581.02097*100)</f>
        <v>2.0971876257119733</v>
      </c>
      <c r="E14" s="34">
        <f>IF(74991.40337="","-",74991.40337/3770696.04948*100)</f>
        <v>1.9887947049018104</v>
      </c>
      <c r="F14" s="34">
        <f>IF(OR(3007940.19782="",62908.3974="",77671.04288=""),"-",(77671.04288-62908.3974)/3007940.19782*100)</f>
        <v>0.49078919490152084</v>
      </c>
      <c r="G14" s="34">
        <f>IF(OR(3703581.02097="",74991.40337="",77671.04288=""),"-",(74991.40337-77671.04288)/3703581.02097*100)</f>
        <v>-0.07235266340408486</v>
      </c>
    </row>
    <row r="15" spans="1:7" s="9" customFormat="1" ht="15.75">
      <c r="A15" s="29" t="s">
        <v>7</v>
      </c>
      <c r="B15" s="34">
        <f>IF(73297.39789="","-",73297.39789)</f>
        <v>73297.39789</v>
      </c>
      <c r="C15" s="34">
        <f>IF(OR(54346.94099="",73297.39789=""),"-",73297.39789/54346.94099*100)</f>
        <v>134.86940857165618</v>
      </c>
      <c r="D15" s="34">
        <f>IF(54346.94099="","-",54346.94099/3703581.02097*100)</f>
        <v>1.4674160139141783</v>
      </c>
      <c r="E15" s="34">
        <f>IF(73297.39789="","-",73297.39789/3770696.04948*100)</f>
        <v>1.9438691670761454</v>
      </c>
      <c r="F15" s="34">
        <f>IF(OR(3007940.19782="",41959.47456="",54346.94099=""),"-",(54346.94099-41959.47456)/3007940.19782*100)</f>
        <v>0.4118255555405589</v>
      </c>
      <c r="G15" s="34">
        <f>IF(OR(3703581.02097="",73297.39789="",54346.94099=""),"-",(73297.39789-54346.94099)/3703581.02097*100)</f>
        <v>0.511679285337646</v>
      </c>
    </row>
    <row r="16" spans="1:7" s="9" customFormat="1" ht="15.75">
      <c r="A16" s="29" t="s">
        <v>8</v>
      </c>
      <c r="B16" s="34">
        <f>IF(62870.47546="","-",62870.47546)</f>
        <v>62870.47546</v>
      </c>
      <c r="C16" s="34">
        <f>IF(OR(70089.64682="",62870.47546=""),"-",62870.47546/70089.64682*100)</f>
        <v>89.70008883260628</v>
      </c>
      <c r="D16" s="34">
        <f>IF(70089.64682="","-",70089.64682/3703581.02097*100)</f>
        <v>1.892483151391755</v>
      </c>
      <c r="E16" s="34">
        <f>IF(62870.47546="","-",62870.47546/3770696.04948*100)</f>
        <v>1.6673440297228461</v>
      </c>
      <c r="F16" s="34">
        <f>IF(OR(3007940.19782="",50411.08263="",70089.64682=""),"-",(70089.64682-50411.08263)/3007940.19782*100)</f>
        <v>0.6542205926920358</v>
      </c>
      <c r="G16" s="34">
        <f>IF(OR(3703581.02097="",62870.47546="",70089.64682=""),"-",(62870.47546-70089.64682)/3703581.02097*100)</f>
        <v>-0.19492408345124387</v>
      </c>
    </row>
    <row r="17" spans="1:7" s="9" customFormat="1" ht="15.75">
      <c r="A17" s="29" t="s">
        <v>48</v>
      </c>
      <c r="B17" s="34">
        <f>IF(54612.39919="","-",54612.39919)</f>
        <v>54612.39919</v>
      </c>
      <c r="C17" s="34">
        <f>IF(OR(51838.53331="",54612.39919=""),"-",54612.39919/51838.53331*100)</f>
        <v>105.35097292088105</v>
      </c>
      <c r="D17" s="34">
        <f>IF(51838.53331="","-",51838.53331/3703581.02097*100)</f>
        <v>1.3996867630675738</v>
      </c>
      <c r="E17" s="34">
        <f>IF(54612.39919="","-",54612.39919/3770696.04948*100)</f>
        <v>1.44833734868477</v>
      </c>
      <c r="F17" s="34">
        <f>IF(OR(3007940.19782="",38819.29269="",51838.53331=""),"-",(51838.53331-38819.29269)/3007940.19782*100)</f>
        <v>0.43282910442952527</v>
      </c>
      <c r="G17" s="34">
        <f>IF(OR(3703581.02097="",54612.39919="",51838.53331=""),"-",(54612.39919-51838.53331)/3703581.02097*100)</f>
        <v>0.07489685966890224</v>
      </c>
    </row>
    <row r="18" spans="1:7" s="9" customFormat="1" ht="15.75">
      <c r="A18" s="29" t="s">
        <v>10</v>
      </c>
      <c r="B18" s="34">
        <f>IF(38840.85219="","-",38840.85219)</f>
        <v>38840.85219</v>
      </c>
      <c r="C18" s="34">
        <f>IF(OR(39488.32825="",38840.85219=""),"-",38840.85219/39488.32825*100)</f>
        <v>98.36033560119122</v>
      </c>
      <c r="D18" s="34">
        <f>IF(39488.32825="","-",39488.32825/3703581.02097*100)</f>
        <v>1.066220180587751</v>
      </c>
      <c r="E18" s="34">
        <f>IF(38840.85219="","-",38840.85219/3770696.04948*100)</f>
        <v>1.0300711507987064</v>
      </c>
      <c r="F18" s="34">
        <f>IF(OR(3007940.19782="",30319.40197="",39488.32825=""),"-",(39488.32825-30319.40197)/3007940.19782*100)</f>
        <v>0.30482408814660494</v>
      </c>
      <c r="G18" s="34">
        <f>IF(OR(3703581.02097="",38840.85219="",39488.32825=""),"-",(38840.85219-39488.32825)/3703581.02097*100)</f>
        <v>-0.017482432714012053</v>
      </c>
    </row>
    <row r="19" spans="1:7" s="9" customFormat="1" ht="15" customHeight="1">
      <c r="A19" s="29" t="s">
        <v>164</v>
      </c>
      <c r="B19" s="34">
        <f>IF(37945.79145="","-",37945.79145)</f>
        <v>37945.79145</v>
      </c>
      <c r="C19" s="34">
        <f>IF(OR(39331.75804="",37945.79145=""),"-",37945.79145/39331.75804*100)</f>
        <v>96.47621500012664</v>
      </c>
      <c r="D19" s="34">
        <f>IF(39331.75804="","-",39331.75804/3703581.02097*100)</f>
        <v>1.061992644883429</v>
      </c>
      <c r="E19" s="34">
        <f>IF(37945.79145="","-",37945.79145/3770696.04948*100)</f>
        <v>1.0063338691866435</v>
      </c>
      <c r="F19" s="34">
        <f>IF(OR(3007940.19782="",37881.92864="",39331.75804=""),"-",(39331.75804-37881.92864)/3007940.19782*100)</f>
        <v>0.04820007395927499</v>
      </c>
      <c r="G19" s="34">
        <f>IF(OR(3703581.02097="",37945.79145="",39331.75804=""),"-",(37945.79145-39331.75804)/3703581.02097*100)</f>
        <v>-0.03742233752016061</v>
      </c>
    </row>
    <row r="20" spans="1:7" s="9" customFormat="1" ht="15.75">
      <c r="A20" s="29" t="s">
        <v>6</v>
      </c>
      <c r="B20" s="34">
        <f>IF(33886.63286="","-",33886.63286)</f>
        <v>33886.63286</v>
      </c>
      <c r="C20" s="34">
        <f>IF(OR(41939.01462="",33886.63286=""),"-",33886.63286/41939.01462*100)</f>
        <v>80.79978313043159</v>
      </c>
      <c r="D20" s="34">
        <f>IF(41939.01462="","-",41939.01462/3703581.02097*100)</f>
        <v>1.13239090443918</v>
      </c>
      <c r="E20" s="34">
        <f>IF(33886.63286="","-",33886.63286/3770696.04948*100)</f>
        <v>0.8986837553420184</v>
      </c>
      <c r="F20" s="34">
        <f>IF(OR(3007940.19782="",46267.42269="",41939.01462=""),"-",(41939.01462-46267.42269)/3007940.19782*100)</f>
        <v>-0.14389940575071955</v>
      </c>
      <c r="G20" s="34">
        <f>IF(OR(3703581.02097="",33886.63286="",41939.01462=""),"-",(33886.63286-41939.01462)/3703581.02097*100)</f>
        <v>-0.2174215094635898</v>
      </c>
    </row>
    <row r="21" spans="1:7" s="9" customFormat="1" ht="15.75">
      <c r="A21" s="29" t="s">
        <v>49</v>
      </c>
      <c r="B21" s="34">
        <f>IF(28082.15058="","-",28082.15058)</f>
        <v>28082.15058</v>
      </c>
      <c r="C21" s="34">
        <f>IF(OR(31549.98149="",28082.15058=""),"-",28082.15058/31549.98149*100)</f>
        <v>89.00845342461088</v>
      </c>
      <c r="D21" s="34">
        <f>IF(31549.98149="","-",31549.98149/3703581.02097*100)</f>
        <v>0.8518777181155547</v>
      </c>
      <c r="E21" s="34">
        <f>IF(28082.15058="","-",28082.15058/3770696.04948*100)</f>
        <v>0.7447471292169701</v>
      </c>
      <c r="F21" s="34">
        <f>IF(OR(3007940.19782="",24192.0483="",31549.98149=""),"-",(31549.98149-24192.0483)/3007940.19782*100)</f>
        <v>0.24461700386638838</v>
      </c>
      <c r="G21" s="34">
        <f>IF(OR(3703581.02097="",28082.15058="",31549.98149=""),"-",(28082.15058-31549.98149)/3703581.02097*100)</f>
        <v>-0.09363453615203325</v>
      </c>
    </row>
    <row r="22" spans="1:7" s="9" customFormat="1" ht="15.75">
      <c r="A22" s="29" t="s">
        <v>52</v>
      </c>
      <c r="B22" s="34">
        <f>IF(21458.41753="","-",21458.41753)</f>
        <v>21458.41753</v>
      </c>
      <c r="C22" s="34">
        <f>IF(OR(19609.57174="",21458.41753=""),"-",21458.41753/19609.57174*100)</f>
        <v>109.42828234350823</v>
      </c>
      <c r="D22" s="34">
        <f>IF(19609.57174="","-",19609.57174/3703581.02097*100)</f>
        <v>0.5294759755212289</v>
      </c>
      <c r="E22" s="34">
        <f>IF(21458.41753="","-",21458.41753/3770696.04948*100)</f>
        <v>0.5690837248194331</v>
      </c>
      <c r="F22" s="34">
        <f>IF(OR(3007940.19782="",14564.18371="",19609.57174=""),"-",(19609.57174-14564.18371)/3007940.19782*100)</f>
        <v>0.16773564958693785</v>
      </c>
      <c r="G22" s="34">
        <f>IF(OR(3703581.02097="",21458.41753="",19609.57174=""),"-",(21458.41753-19609.57174)/3703581.02097*100)</f>
        <v>0.049920489913185984</v>
      </c>
    </row>
    <row r="23" spans="1:7" s="9" customFormat="1" ht="15.75" customHeight="1">
      <c r="A23" s="29" t="s">
        <v>58</v>
      </c>
      <c r="B23" s="34">
        <f>IF(16422.60946="","-",16422.60946)</f>
        <v>16422.60946</v>
      </c>
      <c r="C23" s="34">
        <f>IF(OR(15564.09893="",16422.60946=""),"-",16422.60946/15564.09893*100)</f>
        <v>105.51596680194064</v>
      </c>
      <c r="D23" s="34">
        <f>IF(15564.09893="","-",15564.09893/3703581.02097*100)</f>
        <v>0.42024459143393134</v>
      </c>
      <c r="E23" s="34">
        <f>IF(16422.60946="","-",16422.60946/3770696.04948*100)</f>
        <v>0.43553257129449</v>
      </c>
      <c r="F23" s="34">
        <f>IF(OR(3007940.19782="",11817.78769="",15564.09893=""),"-",(15564.09893-11817.78769)/3007940.19782*100)</f>
        <v>0.12454739767483192</v>
      </c>
      <c r="G23" s="34">
        <f>IF(OR(3703581.02097="",16422.60946="",15564.09893=""),"-",(16422.60946-15564.09893)/3703581.02097*100)</f>
        <v>0.023180552150446763</v>
      </c>
    </row>
    <row r="24" spans="1:7" s="9" customFormat="1" ht="15.75">
      <c r="A24" s="29" t="s">
        <v>9</v>
      </c>
      <c r="B24" s="34">
        <f>IF(15125.12157="","-",15125.12157)</f>
        <v>15125.12157</v>
      </c>
      <c r="C24" s="34">
        <f>IF(OR(16835.56915="",15125.12157=""),"-",15125.12157/16835.56915*100)</f>
        <v>89.8402746900897</v>
      </c>
      <c r="D24" s="34">
        <f>IF(16835.56915="","-",16835.56915/3703581.02097*100)</f>
        <v>0.454575424560055</v>
      </c>
      <c r="E24" s="34">
        <f>IF(15125.12157="","-",15125.12157/3770696.04948*100)</f>
        <v>0.40112279991610134</v>
      </c>
      <c r="F24" s="34">
        <f>IF(OR(3007940.19782="",15364.08385="",16835.56915=""),"-",(16835.56915-15364.08385)/3007940.19782*100)</f>
        <v>0.048920031756829976</v>
      </c>
      <c r="G24" s="34">
        <f>IF(OR(3703581.02097="",15125.12157="",16835.56915=""),"-",(15125.12157-16835.56915)/3703581.02097*100)</f>
        <v>-0.04618361446166011</v>
      </c>
    </row>
    <row r="25" spans="1:7" s="9" customFormat="1" ht="15.75">
      <c r="A25" s="29" t="s">
        <v>60</v>
      </c>
      <c r="B25" s="34">
        <f>IF(14324.72958="","-",14324.72958)</f>
        <v>14324.72958</v>
      </c>
      <c r="C25" s="34">
        <f>IF(OR(14155.38721="",14324.72958=""),"-",14324.72958/14155.38721*100)</f>
        <v>101.19631040456716</v>
      </c>
      <c r="D25" s="34">
        <f>IF(14155.38721="","-",14155.38721/3703581.02097*100)</f>
        <v>0.38220811506082786</v>
      </c>
      <c r="E25" s="34">
        <f>IF(14324.72958="","-",14324.72958/3770696.04948*100)</f>
        <v>0.3798961621946552</v>
      </c>
      <c r="F25" s="34">
        <f>IF(OR(3007940.19782="",9911.66615="",14155.38721=""),"-",(14155.38721-9911.66615)/3007940.19782*100)</f>
        <v>0.14108395715698177</v>
      </c>
      <c r="G25" s="34">
        <f>IF(OR(3703581.02097="",14324.72958="",14155.38721=""),"-",(14324.72958-14155.38721)/3703581.02097*100)</f>
        <v>0.0045723954475726915</v>
      </c>
    </row>
    <row r="26" spans="1:7" s="9" customFormat="1" ht="15.75">
      <c r="A26" s="29" t="s">
        <v>59</v>
      </c>
      <c r="B26" s="34">
        <f>IF(12209.62177="","-",12209.62177)</f>
        <v>12209.62177</v>
      </c>
      <c r="C26" s="34">
        <f>IF(OR(11212.71927="",12209.62177=""),"-",12209.62177/11212.71927*100)</f>
        <v>108.89081832867471</v>
      </c>
      <c r="D26" s="34">
        <f>IF(11212.71927="","-",11212.71927/3703581.02097*100)</f>
        <v>0.3027534487975989</v>
      </c>
      <c r="E26" s="34">
        <f>IF(12209.62177="","-",12209.62177/3770696.04948*100)</f>
        <v>0.32380286317916757</v>
      </c>
      <c r="F26" s="34">
        <f>IF(OR(3007940.19782="",8036.30951="",11212.71927=""),"-",(11212.71927-8036.30951)/3007940.19782*100)</f>
        <v>0.10560082817810335</v>
      </c>
      <c r="G26" s="34">
        <f>IF(OR(3703581.02097="",12209.62177="",11212.71927=""),"-",(12209.62177-11212.71927)/3703581.02097*100)</f>
        <v>0.0269172591163917</v>
      </c>
    </row>
    <row r="27" spans="1:7" s="9" customFormat="1" ht="15.75">
      <c r="A27" s="29" t="s">
        <v>51</v>
      </c>
      <c r="B27" s="34">
        <f>IF(11075.65312="","-",11075.65312)</f>
        <v>11075.65312</v>
      </c>
      <c r="C27" s="34">
        <f>IF(OR(8300.62676="",11075.65312=""),"-",11075.65312/8300.62676*100)</f>
        <v>133.43152800668756</v>
      </c>
      <c r="D27" s="34">
        <f>IF(8300.62676="","-",8300.62676/3703581.02097*100)</f>
        <v>0.22412434649062957</v>
      </c>
      <c r="E27" s="34">
        <f>IF(11075.65312="","-",11075.65312/3770696.04948*100)</f>
        <v>0.29372967151588353</v>
      </c>
      <c r="F27" s="34">
        <f>IF(OR(3007940.19782="",7394.89161="",8300.62676=""),"-",(8300.62676-7394.89161)/3007940.19782*100)</f>
        <v>0.030111474644889207</v>
      </c>
      <c r="G27" s="34">
        <f>IF(OR(3703581.02097="",11075.65312="",8300.62676=""),"-",(11075.65312-8300.62676)/3703581.02097*100)</f>
        <v>0.0749281936668203</v>
      </c>
    </row>
    <row r="28" spans="1:7" s="9" customFormat="1" ht="15.75">
      <c r="A28" s="29" t="s">
        <v>57</v>
      </c>
      <c r="B28" s="34">
        <f>IF(9372.94927="","-",9372.94927)</f>
        <v>9372.94927</v>
      </c>
      <c r="C28" s="34">
        <f>IF(OR(8875.99749="",9372.94927=""),"-",9372.94927/8875.99749*100)</f>
        <v>105.59882740570717</v>
      </c>
      <c r="D28" s="34">
        <f>IF(8875.99749="","-",8875.99749/3703581.02097*100)</f>
        <v>0.2396598708045895</v>
      </c>
      <c r="E28" s="34">
        <f>IF(9372.94927="","-",9372.94927/3770696.04948*100)</f>
        <v>0.2485734502862563</v>
      </c>
      <c r="F28" s="34">
        <f>IF(OR(3007940.19782="",8492.17658="",8875.99749=""),"-",(8875.99749-8492.17658)/3007940.19782*100)</f>
        <v>0.012760257344151123</v>
      </c>
      <c r="G28" s="34">
        <f>IF(OR(3703581.02097="",9372.94927="",8875.99749=""),"-",(9372.94927-8875.99749)/3703581.02097*100)</f>
        <v>0.013418142527089725</v>
      </c>
    </row>
    <row r="29" spans="1:7" s="9" customFormat="1" ht="15.75">
      <c r="A29" s="29" t="s">
        <v>56</v>
      </c>
      <c r="B29" s="34">
        <f>IF(8191.00916="","-",8191.00916)</f>
        <v>8191.00916</v>
      </c>
      <c r="C29" s="34">
        <f>IF(OR(10638.6668="",8191.00916=""),"-",8191.00916/10638.6668*100)</f>
        <v>76.99281605473345</v>
      </c>
      <c r="D29" s="34">
        <f>IF(10638.6668="","-",10638.6668/3703581.02097*100)</f>
        <v>0.2872535186826733</v>
      </c>
      <c r="E29" s="34">
        <f>IF(8191.00916="","-",8191.00916/3770696.04948*100)</f>
        <v>0.21722804099072332</v>
      </c>
      <c r="F29" s="34">
        <f>IF(OR(3007940.19782="",9753.1721="",10638.6668=""),"-",(10638.6668-9753.1721)/3007940.19782*100)</f>
        <v>0.029438573966389422</v>
      </c>
      <c r="G29" s="34">
        <f>IF(OR(3703581.02097="",8191.00916="",10638.6668=""),"-",(8191.00916-10638.6668)/3703581.02097*100)</f>
        <v>-0.06608894543257322</v>
      </c>
    </row>
    <row r="30" spans="1:7" s="9" customFormat="1" ht="15.75">
      <c r="A30" s="29" t="s">
        <v>53</v>
      </c>
      <c r="B30" s="34">
        <f>IF(6558.05512="","-",6558.05512)</f>
        <v>6558.05512</v>
      </c>
      <c r="C30" s="34">
        <f>IF(OR(7417.71699="",6558.05512=""),"-",6558.05512/7417.71699*100)</f>
        <v>88.41069467655707</v>
      </c>
      <c r="D30" s="34">
        <f>IF(7417.71699="","-",7417.71699/3703581.02097*100)</f>
        <v>0.2002849930378257</v>
      </c>
      <c r="E30" s="34">
        <f>IF(6558.05512="","-",6558.05512/3770696.04948*100)</f>
        <v>0.1739216058240598</v>
      </c>
      <c r="F30" s="34">
        <f>IF(OR(3007940.19782="",5008.0445="",7417.71699=""),"-",(7417.71699-5008.0445)/3007940.19782*100)</f>
        <v>0.08011038556372918</v>
      </c>
      <c r="G30" s="34">
        <f>IF(OR(3703581.02097="",6558.05512="",7417.71699=""),"-",(6558.05512-7417.71699)/3703581.02097*100)</f>
        <v>-0.02321163936019002</v>
      </c>
    </row>
    <row r="31" spans="1:7" s="9" customFormat="1" ht="15.75">
      <c r="A31" s="29" t="s">
        <v>61</v>
      </c>
      <c r="B31" s="34">
        <f>IF(4717.00506="","-",4717.00506)</f>
        <v>4717.00506</v>
      </c>
      <c r="C31" s="34">
        <f>IF(OR(4454.46026="",4717.00506=""),"-",4717.00506/4454.46026*100)</f>
        <v>105.89397558123015</v>
      </c>
      <c r="D31" s="34">
        <f>IF(4454.46026="","-",4454.46026/3703581.02097*100)</f>
        <v>0.12027441103025574</v>
      </c>
      <c r="E31" s="34">
        <f>IF(4717.00506="","-",4717.00506/3770696.04948*100)</f>
        <v>0.12509640125065244</v>
      </c>
      <c r="F31" s="34">
        <f>IF(OR(3007940.19782="",4536.71105="",4454.46026=""),"-",(4454.46026-4536.71105)/3007940.19782*100)</f>
        <v>-0.002734455627130193</v>
      </c>
      <c r="G31" s="34">
        <f>IF(OR(3703581.02097="",4717.00506="",4454.46026=""),"-",(4717.00506-4454.46026)/3703581.02097*100)</f>
        <v>0.007088944416591643</v>
      </c>
    </row>
    <row r="32" spans="1:7" s="9" customFormat="1" ht="15.75">
      <c r="A32" s="29" t="s">
        <v>165</v>
      </c>
      <c r="B32" s="34">
        <f>IF(3567.89405="","-",3567.89405)</f>
        <v>3567.89405</v>
      </c>
      <c r="C32" s="34" t="s">
        <v>114</v>
      </c>
      <c r="D32" s="34">
        <f>IF(2281.36452="","-",2281.36452/3703581.02097*100)</f>
        <v>0.061598882462209265</v>
      </c>
      <c r="E32" s="34">
        <f>IF(3567.89405="","-",3567.89405/3770696.04948*100)</f>
        <v>0.09462162961907344</v>
      </c>
      <c r="F32" s="34">
        <f>IF(OR(3007940.19782="",1322.92434="",2281.36452=""),"-",(2281.36452-1322.92434)/3007940.19782*100)</f>
        <v>0.03186367138198519</v>
      </c>
      <c r="G32" s="34">
        <f>IF(OR(3703581.02097="",3567.89405="",2281.36452=""),"-",(3567.89405-2281.36452)/3703581.02097*100)</f>
        <v>0.03473744796497112</v>
      </c>
    </row>
    <row r="33" spans="1:7" s="9" customFormat="1" ht="15.75">
      <c r="A33" s="29" t="s">
        <v>54</v>
      </c>
      <c r="B33" s="34">
        <f>IF(3170.13047="","-",3170.13047)</f>
        <v>3170.13047</v>
      </c>
      <c r="C33" s="34">
        <f>IF(OR(3219.13026="",3170.13047=""),"-",3170.13047/3219.13026*100)</f>
        <v>98.47785625176908</v>
      </c>
      <c r="D33" s="34">
        <f>IF(3219.13026="","-",3219.13026/3703581.02097*100)</f>
        <v>0.0869193961674661</v>
      </c>
      <c r="E33" s="34">
        <f>IF(3170.13047="","-",3170.13047/3770696.04948*100)</f>
        <v>0.08407281914004124</v>
      </c>
      <c r="F33" s="34">
        <f>IF(OR(3007940.19782="",3148.56159="",3219.13026=""),"-",(3219.13026-3148.56159)/3007940.19782*100)</f>
        <v>0.002346079554744627</v>
      </c>
      <c r="G33" s="34">
        <f>IF(OR(3703581.02097="",3170.13047="",3219.13026=""),"-",(3170.13047-3219.13026)/3703581.02097*100)</f>
        <v>-0.0013230381547631534</v>
      </c>
    </row>
    <row r="34" spans="1:7" s="9" customFormat="1" ht="15.75">
      <c r="A34" s="29" t="s">
        <v>62</v>
      </c>
      <c r="B34" s="34">
        <f>IF(1223.34193="","-",1223.34193)</f>
        <v>1223.34193</v>
      </c>
      <c r="C34" s="34" t="s">
        <v>241</v>
      </c>
      <c r="D34" s="34">
        <f>IF(659.37376="","-",659.37376/3703581.02097*100)</f>
        <v>0.017803681255157317</v>
      </c>
      <c r="E34" s="34">
        <f>IF(1223.34193="","-",1223.34193/3770696.04948*100)</f>
        <v>0.032443398087435495</v>
      </c>
      <c r="F34" s="34">
        <f>IF(OR(3007940.19782="",1720.91964="",659.37376=""),"-",(659.37376-1720.91964)/3007940.19782*100)</f>
        <v>-0.03529145562033959</v>
      </c>
      <c r="G34" s="34">
        <f>IF(OR(3703581.02097="",1223.34193="",659.37376=""),"-",(1223.34193-659.37376)/3703581.02097*100)</f>
        <v>0.015227644995661305</v>
      </c>
    </row>
    <row r="35" spans="1:7" s="9" customFormat="1" ht="15.75">
      <c r="A35" s="29" t="s">
        <v>55</v>
      </c>
      <c r="B35" s="34">
        <f>IF(543.14859="","-",543.14859)</f>
        <v>543.14859</v>
      </c>
      <c r="C35" s="34">
        <f>IF(OR(651.83773="",543.14859=""),"-",543.14859/651.83773*100)</f>
        <v>83.3257366062563</v>
      </c>
      <c r="D35" s="34">
        <f>IF(651.83773="","-",651.83773/3703581.02097*100)</f>
        <v>0.017600201705031907</v>
      </c>
      <c r="E35" s="34">
        <f>IF(543.14859="","-",543.14859/3770696.04948*100)</f>
        <v>0.01440446492829628</v>
      </c>
      <c r="F35" s="34">
        <f>IF(OR(3007940.19782="",647.41559="",651.83773=""),"-",(651.83773-647.41559)/3007940.19782*100)</f>
        <v>0.0001470155558014402</v>
      </c>
      <c r="G35" s="34">
        <f>IF(OR(3703581.02097="",543.14859="",651.83773=""),"-",(543.14859-651.83773)/3703581.02097*100)</f>
        <v>-0.002934703990127191</v>
      </c>
    </row>
    <row r="36" spans="1:7" s="9" customFormat="1" ht="15.75">
      <c r="A36" s="29" t="s">
        <v>63</v>
      </c>
      <c r="B36" s="34">
        <f>IF(72.76779="","-",72.76779)</f>
        <v>72.76779</v>
      </c>
      <c r="C36" s="34">
        <f>IF(OR(61.79401="",72.76779=""),"-",72.76779/61.79401*100)</f>
        <v>117.75864683324484</v>
      </c>
      <c r="D36" s="34">
        <f>IF(61.79401="","-",61.79401/3703581.02097*100)</f>
        <v>0.0016684935377440618</v>
      </c>
      <c r="E36" s="34">
        <f>IF(72.76779="","-",72.76779/3770696.04948*100)</f>
        <v>0.001929823805608386</v>
      </c>
      <c r="F36" s="34">
        <f>IF(OR(3007940.19782="",221.36578="",61.79401=""),"-",(61.79401-221.36578)/3007940.19782*100)</f>
        <v>-0.005305018035785732</v>
      </c>
      <c r="G36" s="34">
        <f>IF(OR(3703581.02097="",72.76779="",61.79401=""),"-",(72.76779-61.79401)/3703581.02097*100)</f>
        <v>0.0002963018748034808</v>
      </c>
    </row>
    <row r="37" spans="1:7" s="9" customFormat="1" ht="15.75">
      <c r="A37" s="24" t="s">
        <v>246</v>
      </c>
      <c r="B37" s="33">
        <f>IF(917289.08444="","-",917289.08444)</f>
        <v>917289.08444</v>
      </c>
      <c r="C37" s="33">
        <f>IF(889800.26806="","-",917289.08444/889800.26806*100)</f>
        <v>103.08932435364768</v>
      </c>
      <c r="D37" s="33">
        <f>IF(889800.26806="","-",889800.26806/3703581.02097*100)</f>
        <v>24.025403063194055</v>
      </c>
      <c r="E37" s="33">
        <f>IF(917289.08444="","-",917289.08444/3770696.04948*100)</f>
        <v>24.326784031465472</v>
      </c>
      <c r="F37" s="33">
        <f>IF(3007940.19782="","-",(889800.26806-742112.97767)/3007940.19782*100)</f>
        <v>4.909914448998558</v>
      </c>
      <c r="G37" s="33">
        <f>IF(3703581.02097="","-",(917289.08444-889800.26806)/3703581.02097*100)</f>
        <v>0.7422226278932712</v>
      </c>
    </row>
    <row r="38" spans="1:7" s="9" customFormat="1" ht="15.75">
      <c r="A38" s="29" t="s">
        <v>166</v>
      </c>
      <c r="B38" s="34">
        <f>IF(442784.01689="","-",442784.01689)</f>
        <v>442784.01689</v>
      </c>
      <c r="C38" s="34">
        <f>IF(OR(433895.49398="",442784.01689=""),"-",442784.01689/433895.49398*100)</f>
        <v>102.0485400363272</v>
      </c>
      <c r="D38" s="34">
        <f>IF(433895.49398="","-",433895.49398/3703581.02097*100)</f>
        <v>11.715566407842728</v>
      </c>
      <c r="E38" s="34">
        <f>IF(442784.01689="","-",442784.01689/3770696.04948*100)</f>
        <v>11.742766085616008</v>
      </c>
      <c r="F38" s="34">
        <f>IF(OR(3007940.19782="",343234.51466="",433895.49398=""),"-",(433895.49398-343234.51466)/3007940.19782*100)</f>
        <v>3.014055245702905</v>
      </c>
      <c r="G38" s="34">
        <f>IF(OR(3703581.02097="",442784.01689="",433895.49398=""),"-",(442784.01689-433895.49398)/3703581.02097*100)</f>
        <v>0.23999806834715925</v>
      </c>
    </row>
    <row r="39" spans="1:7" s="9" customFormat="1" ht="15.75">
      <c r="A39" s="29" t="s">
        <v>12</v>
      </c>
      <c r="B39" s="34">
        <f>IF(374329.67246="","-",374329.67246)</f>
        <v>374329.67246</v>
      </c>
      <c r="C39" s="34">
        <f>IF(OR(363323.74916="",374329.67246=""),"-",374329.67246/363323.74916*100)</f>
        <v>103.02923310833533</v>
      </c>
      <c r="D39" s="34">
        <f>IF(363323.74916="","-",363323.74916/3703581.02097*100)</f>
        <v>9.810066179268906</v>
      </c>
      <c r="E39" s="34">
        <f>IF(374329.67246="","-",374329.67246/3770696.04948*100)</f>
        <v>9.927336161492574</v>
      </c>
      <c r="F39" s="34">
        <f>IF(OR(3007940.19782="",321407.75468="",363323.74916=""),"-",(363323.74916-321407.75468)/3007940.19782*100)</f>
        <v>1.3935115635070985</v>
      </c>
      <c r="G39" s="34">
        <f>IF(OR(3703581.02097="",374329.67246="",363323.74916=""),"-",(374329.67246-363323.74916)/3703581.02097*100)</f>
        <v>0.29716977265202155</v>
      </c>
    </row>
    <row r="40" spans="1:7" s="9" customFormat="1" ht="15.75">
      <c r="A40" s="29" t="s">
        <v>11</v>
      </c>
      <c r="B40" s="34">
        <f>IF(85644.61406="","-",85644.61406)</f>
        <v>85644.61406</v>
      </c>
      <c r="C40" s="34">
        <f>IF(OR(74691.1355="",85644.61406=""),"-",85644.61406/74691.1355*100)</f>
        <v>114.66503151501828</v>
      </c>
      <c r="D40" s="34">
        <f>IF(74691.1355="","-",74691.1355/3703581.02097*100)</f>
        <v>2.0167274612622825</v>
      </c>
      <c r="E40" s="34">
        <f>IF(85644.61406="","-",85644.61406/3770696.04948*100)</f>
        <v>2.271321075370445</v>
      </c>
      <c r="F40" s="34">
        <f>IF(OR(3007940.19782="",73468.9844="",74691.1355=""),"-",(74691.1355-73468.9844)/3007940.19782*100)</f>
        <v>0.04063083105461189</v>
      </c>
      <c r="G40" s="34">
        <f>IF(OR(3703581.02097="",85644.61406="",74691.1355=""),"-",(85644.61406-74691.1355)/3703581.02097*100)</f>
        <v>0.2957537177661417</v>
      </c>
    </row>
    <row r="41" spans="1:7" s="9" customFormat="1" ht="15.75">
      <c r="A41" s="29" t="s">
        <v>13</v>
      </c>
      <c r="B41" s="34">
        <f>IF(6038.51523="","-",6038.51523)</f>
        <v>6038.51523</v>
      </c>
      <c r="C41" s="34" t="s">
        <v>241</v>
      </c>
      <c r="D41" s="34">
        <f>IF(3203.16749="","-",3203.16749/3703581.02097*100)</f>
        <v>0.08648838710057603</v>
      </c>
      <c r="E41" s="34">
        <f>IF(6038.51523="","-",6038.51523/3770696.04948*100)</f>
        <v>0.1601432507622232</v>
      </c>
      <c r="F41" s="34">
        <f>IF(OR(3007940.19782="",935.62049="",3203.16749=""),"-",(3203.16749-935.62049)/3007940.19782*100)</f>
        <v>0.07538537506973712</v>
      </c>
      <c r="G41" s="34">
        <f>IF(OR(3703581.02097="",6038.51523="",3203.16749=""),"-",(6038.51523-3203.16749)/3703581.02097*100)</f>
        <v>0.07655692487746354</v>
      </c>
    </row>
    <row r="42" spans="1:7" s="9" customFormat="1" ht="15.75">
      <c r="A42" s="29" t="s">
        <v>15</v>
      </c>
      <c r="B42" s="34">
        <f>IF(5175.87981="","-",5175.87981)</f>
        <v>5175.87981</v>
      </c>
      <c r="C42" s="34" t="s">
        <v>20</v>
      </c>
      <c r="D42" s="34">
        <f>IF(2572.05355="","-",2572.05355/3703581.02097*100)</f>
        <v>0.06944774626062743</v>
      </c>
      <c r="E42" s="34">
        <f>IF(5175.87981="","-",5175.87981/3770696.04948*100)</f>
        <v>0.13726589844635667</v>
      </c>
      <c r="F42" s="34">
        <f>IF(OR(3007940.19782="",2528.73629="",2572.05355=""),"-",(2572.05355-2528.73629)/3007940.19782*100)</f>
        <v>0.0014400971146764944</v>
      </c>
      <c r="G42" s="34">
        <f>IF(OR(3703581.02097="",5175.87981="",2572.05355=""),"-",(5175.87981-2572.05355)/3703581.02097*100)</f>
        <v>0.07030563784771841</v>
      </c>
    </row>
    <row r="43" spans="1:7" s="9" customFormat="1" ht="15.75">
      <c r="A43" s="29" t="s">
        <v>16</v>
      </c>
      <c r="B43" s="34">
        <f>IF(1964.75369="","-",1964.75369)</f>
        <v>1964.75369</v>
      </c>
      <c r="C43" s="34">
        <f>IF(OR(10947.54223="",1964.75369=""),"-",1964.75369/10947.54223*100)</f>
        <v>17.946984343352472</v>
      </c>
      <c r="D43" s="34">
        <f>IF(10947.54223="","-",10947.54223/3703581.02097*100)</f>
        <v>0.29559343154676665</v>
      </c>
      <c r="E43" s="34">
        <f>IF(1964.75369="","-",1964.75369/3770696.04948*100)</f>
        <v>0.05210586226569364</v>
      </c>
      <c r="F43" s="34">
        <f>IF(OR(3007940.19782="",4.47522="",10947.54223=""),"-",(10947.54223-4.47522)/3007940.19782*100)</f>
        <v>0.36380600312236827</v>
      </c>
      <c r="G43" s="34">
        <f>IF(OR(3703581.02097="",1964.75369="",10947.54223=""),"-",(1964.75369-10947.54223)/3703581.02097*100)</f>
        <v>-0.24254332466709014</v>
      </c>
    </row>
    <row r="44" spans="1:7" s="9" customFormat="1" ht="15.75">
      <c r="A44" s="29" t="s">
        <v>17</v>
      </c>
      <c r="B44" s="34">
        <f>IF(780.90097="","-",780.90097)</f>
        <v>780.90097</v>
      </c>
      <c r="C44" s="34">
        <f>IF(OR(659.26395="",780.90097=""),"-",780.90097/659.26395*100)</f>
        <v>118.45042793557876</v>
      </c>
      <c r="D44" s="34">
        <f>IF(659.26395="","-",659.26395/3703581.02097*100)</f>
        <v>0.017800716286944712</v>
      </c>
      <c r="E44" s="34">
        <f>IF(780.90097="","-",780.90097/3770696.04948*100)</f>
        <v>0.020709729974329027</v>
      </c>
      <c r="F44" s="34">
        <f>IF(OR(3007940.19782="",375.92217="",659.26395=""),"-",(659.26395-375.92217)/3007940.19782*100)</f>
        <v>0.00941979432321665</v>
      </c>
      <c r="G44" s="34">
        <f>IF(OR(3703581.02097="",780.90097="",659.26395=""),"-",(780.90097-659.26395)/3703581.02097*100)</f>
        <v>0.003284308330539566</v>
      </c>
    </row>
    <row r="45" spans="1:7" s="9" customFormat="1" ht="15.75">
      <c r="A45" s="29" t="s">
        <v>14</v>
      </c>
      <c r="B45" s="34">
        <f>IF(429.8074="","-",429.8074)</f>
        <v>429.8074</v>
      </c>
      <c r="C45" s="34">
        <f>IF(OR(371.81016="",429.8074=""),"-",429.8074/371.81016*100)</f>
        <v>115.59861624007262</v>
      </c>
      <c r="D45" s="34">
        <f>IF(371.81016="","-",371.81016/3703581.02097*100)</f>
        <v>0.010039206862082355</v>
      </c>
      <c r="E45" s="34">
        <f>IF(429.8074="","-",429.8074/3770696.04948*100)</f>
        <v>0.011398622279811517</v>
      </c>
      <c r="F45" s="34">
        <f>IF(OR(3007940.19782="",109.24334="",371.81016=""),"-",(371.81016-109.24334)/3007940.19782*100)</f>
        <v>0.008729123677069609</v>
      </c>
      <c r="G45" s="34">
        <f>IF(OR(3703581.02097="",429.8074="",371.81016=""),"-",(429.8074-371.81016)/3703581.02097*100)</f>
        <v>0.0015659773519632627</v>
      </c>
    </row>
    <row r="46" spans="1:7" s="9" customFormat="1" ht="15.75">
      <c r="A46" s="29" t="s">
        <v>143</v>
      </c>
      <c r="B46" s="34">
        <f>IF(140.82169="","-",140.82169)</f>
        <v>140.82169</v>
      </c>
      <c r="C46" s="34">
        <f>IF(OR(135.81213="",140.82169=""),"-",140.82169/135.81213*100)</f>
        <v>103.68859541485726</v>
      </c>
      <c r="D46" s="34">
        <f>IF(135.81213="","-",135.81213/3703581.02097*100)</f>
        <v>0.0036670489785701954</v>
      </c>
      <c r="E46" s="34">
        <f>IF(140.82169="","-",140.82169/3770696.04948*100)</f>
        <v>0.0037346338222997337</v>
      </c>
      <c r="F46" s="34">
        <f>IF(OR(3007940.19782="",45.15425="",135.81213=""),"-",(135.81213-45.15425)/3007940.19782*100)</f>
        <v>0.0030139522077501464</v>
      </c>
      <c r="G46" s="34">
        <f>IF(OR(3703581.02097="",140.82169="",135.81213=""),"-",(140.82169-135.81213)/3703581.02097*100)</f>
        <v>0.00013526260048411055</v>
      </c>
    </row>
    <row r="47" spans="1:7" s="9" customFormat="1" ht="15.75">
      <c r="A47" s="29" t="s">
        <v>18</v>
      </c>
      <c r="B47" s="34">
        <f>IF(0.10224="","-",0.10224)</f>
        <v>0.10224</v>
      </c>
      <c r="C47" s="34">
        <f>IF(OR(0.23991="",0.10224=""),"-",0.10224/0.23991*100)</f>
        <v>42.61598099287232</v>
      </c>
      <c r="D47" s="34">
        <f>IF(0.23991="","-",0.23991/3703581.02097*100)</f>
        <v>6.477784572326314E-06</v>
      </c>
      <c r="E47" s="34">
        <f>IF(0.10224="","-",0.10224/3770696.04948*100)</f>
        <v>2.7114357311854787E-06</v>
      </c>
      <c r="F47" s="34">
        <f>IF(OR(3007940.19782="",2.57217="",0.23991=""),"-",(0.23991-2.57217)/3007940.19782*100)</f>
        <v>-7.753678087384522E-05</v>
      </c>
      <c r="G47" s="34">
        <f>IF(OR(3703581.02097="",0.10224="",0.23991=""),"-",(0.10224-0.23991)/3703581.02097*100)</f>
        <v>-3.717213130224516E-06</v>
      </c>
    </row>
    <row r="48" spans="1:7" s="9" customFormat="1" ht="15.75">
      <c r="A48" s="24" t="s">
        <v>231</v>
      </c>
      <c r="B48" s="33">
        <f>IF(966397.62813="","-",966397.62813)</f>
        <v>966397.62813</v>
      </c>
      <c r="C48" s="33">
        <f>IF(940209.39123="","-",966397.62813/940209.39123*100)</f>
        <v>102.78536219104768</v>
      </c>
      <c r="D48" s="33">
        <f>IF(940209.39123="","-",940209.39123/3703581.02097*100)</f>
        <v>25.38649447403613</v>
      </c>
      <c r="E48" s="33">
        <f>IF(966397.62813="","-",966397.62813/3770696.04948*100)</f>
        <v>25.629157467180935</v>
      </c>
      <c r="F48" s="33">
        <f>IF(3007940.19782="","-",(940209.39123-767296.89398)/3007940.19782*100)</f>
        <v>5.74853507311475</v>
      </c>
      <c r="G48" s="33">
        <f>IF(3703581.02097="","-",(966397.62813-940209.39123)/3703581.02097*100)</f>
        <v>0.707105818712212</v>
      </c>
    </row>
    <row r="49" spans="1:7" s="9" customFormat="1" ht="15.75">
      <c r="A49" s="29" t="s">
        <v>67</v>
      </c>
      <c r="B49" s="48">
        <f>IF(380876.89659="","-",380876.89659)</f>
        <v>380876.89659</v>
      </c>
      <c r="C49" s="48">
        <f>IF(OR(387103.38786="",380876.89659=""),"-",380876.89659/387103.38786*100)</f>
        <v>98.3915172366686</v>
      </c>
      <c r="D49" s="48">
        <f>IF(387103.38786="","-",387103.38786/3703581.02097*100)</f>
        <v>10.45213769236279</v>
      </c>
      <c r="E49" s="48">
        <f>IF(380876.89659="","-",380876.89659/3770696.04948*100)</f>
        <v>10.100970526185082</v>
      </c>
      <c r="F49" s="48">
        <f>IF(OR(3007940.19782="",305362.71555="",387103.38786=""),"-",(387103.38786-305362.71555)/3007940.19782*100)</f>
        <v>2.7174965901663013</v>
      </c>
      <c r="G49" s="48">
        <f>IF(OR(3703581.02097="",380876.89659="",387103.38786=""),"-",(380876.89659-387103.38786)/3703581.02097*100)</f>
        <v>-0.1681208331813199</v>
      </c>
    </row>
    <row r="50" spans="1:7" s="9" customFormat="1" ht="15.75">
      <c r="A50" s="29" t="s">
        <v>64</v>
      </c>
      <c r="B50" s="48">
        <f>IF(241770.05187="","-",241770.05187)</f>
        <v>241770.05187</v>
      </c>
      <c r="C50" s="48">
        <f>IF(OR(213880.3985="",241770.05187=""),"-",241770.05187/213880.3985*100)</f>
        <v>113.03983607922817</v>
      </c>
      <c r="D50" s="48">
        <f>IF(213880.3985="","-",213880.3985/3703581.02097*100)</f>
        <v>5.774962051295502</v>
      </c>
      <c r="E50" s="48">
        <f>IF(241770.05187="","-",241770.05187/3770696.04948*100)</f>
        <v>6.411814919511781</v>
      </c>
      <c r="F50" s="48">
        <f>IF(OR(3007940.19782="",193978.45636="",213880.3985=""),"-",(213880.3985-193978.45636)/3007940.19782*100)</f>
        <v>0.6616468689910757</v>
      </c>
      <c r="G50" s="48">
        <f>IF(OR(3703581.02097="",241770.05187="",213880.3985=""),"-",(241770.05187-213880.3985)/3703581.02097*100)</f>
        <v>0.753045585126566</v>
      </c>
    </row>
    <row r="51" spans="1:7" s="9" customFormat="1" ht="15.75">
      <c r="A51" s="29" t="s">
        <v>19</v>
      </c>
      <c r="B51" s="48">
        <f>IF(49961.78825="","-",49961.78825)</f>
        <v>49961.78825</v>
      </c>
      <c r="C51" s="48">
        <f>IF(OR(48982.73418="",49961.78825=""),"-",49961.78825/48982.73418*100)</f>
        <v>101.99877382589997</v>
      </c>
      <c r="D51" s="48">
        <f>IF(48982.73418="","-",48982.73418/3703581.02097*100)</f>
        <v>1.322577632368658</v>
      </c>
      <c r="E51" s="48">
        <f>IF(49961.78825="","-",49961.78825/3770696.04948*100)</f>
        <v>1.3250017395830673</v>
      </c>
      <c r="F51" s="48">
        <f>IF(OR(3007940.19782="",50310.47986="",48982.73418=""),"-",(48982.73418-50310.47986)/3007940.19782*100)</f>
        <v>-0.04414135895927325</v>
      </c>
      <c r="G51" s="48">
        <f>IF(OR(3703581.02097="",49961.78825="",48982.73418=""),"-",(49961.78825-48982.73418)/3703581.02097*100)</f>
        <v>0.02643533554299227</v>
      </c>
    </row>
    <row r="52" spans="1:7" s="9" customFormat="1" ht="15.75">
      <c r="A52" s="29" t="s">
        <v>84</v>
      </c>
      <c r="B52" s="48">
        <f>IF(31873.53723="","-",31873.53723)</f>
        <v>31873.53723</v>
      </c>
      <c r="C52" s="48">
        <f>IF(OR(36460.8159="",31873.53723=""),"-",31873.53723/36460.8159*100)</f>
        <v>87.41860664176745</v>
      </c>
      <c r="D52" s="48">
        <f>IF(36460.8159="","-",36460.8159/3703581.02097*100)</f>
        <v>0.9844746393708054</v>
      </c>
      <c r="E52" s="48">
        <f>IF(31873.53723="","-",31873.53723/3770696.04948*100)</f>
        <v>0.8452958502023927</v>
      </c>
      <c r="F52" s="48">
        <f>IF(OR(3007940.19782="",20968.0532="",36460.8159=""),"-",(36460.8159-20968.0532)/3007940.19782*100)</f>
        <v>0.5150621914367965</v>
      </c>
      <c r="G52" s="48">
        <f>IF(OR(3703581.02097="",31873.53723="",36460.8159=""),"-",(31873.53723-36460.8159)/3703581.02097*100)</f>
        <v>-0.12386062689128242</v>
      </c>
    </row>
    <row r="53" spans="1:7" s="9" customFormat="1" ht="15.75">
      <c r="A53" s="29" t="s">
        <v>80</v>
      </c>
      <c r="B53" s="48">
        <f>IF(31378.53188="","-",31378.53188)</f>
        <v>31378.53188</v>
      </c>
      <c r="C53" s="48">
        <f>IF(OR(23670.90264="",31378.53188=""),"-",31378.53188/23670.90264*100)</f>
        <v>132.56161945837817</v>
      </c>
      <c r="D53" s="48">
        <f>IF(23670.90264="","-",23670.90264/3703581.02097*100)</f>
        <v>0.6391355422217923</v>
      </c>
      <c r="E53" s="48">
        <f>IF(31378.53188="","-",31378.53188/3770696.04948*100)</f>
        <v>0.8321681585639148</v>
      </c>
      <c r="F53" s="48">
        <f>IF(OR(3007940.19782="",21746.85911="",23670.90264=""),"-",(23670.90264-21746.85911)/3007940.19782*100)</f>
        <v>0.06396548479901451</v>
      </c>
      <c r="G53" s="48">
        <f>IF(OR(3703581.02097="",31378.53188="",23670.90264=""),"-",(31378.53188-23670.90264)/3703581.02097*100)</f>
        <v>0.2081128830815021</v>
      </c>
    </row>
    <row r="54" spans="1:7" s="9" customFormat="1" ht="15.75">
      <c r="A54" s="29" t="s">
        <v>44</v>
      </c>
      <c r="B54" s="48">
        <f>IF(24582.38368="","-",24582.38368)</f>
        <v>24582.38368</v>
      </c>
      <c r="C54" s="48">
        <f>IF(OR(25128.52919="",24582.38368=""),"-",24582.38368/25128.52919*100)</f>
        <v>97.8265918157385</v>
      </c>
      <c r="D54" s="48">
        <f>IF(25128.52919="","-",25128.52919/3703581.02097*100)</f>
        <v>0.6784927627536719</v>
      </c>
      <c r="E54" s="48">
        <f>IF(24582.38368="","-",24582.38368/3770696.04948*100)</f>
        <v>0.6519322522267487</v>
      </c>
      <c r="F54" s="48">
        <f>IF(OR(3007940.19782="",16731.17555="",25128.52919=""),"-",(25128.52919-16731.17555)/3007940.19782*100)</f>
        <v>0.2791728920038361</v>
      </c>
      <c r="G54" s="48">
        <f>IF(OR(3703581.02097="",24582.38368="",25128.52919=""),"-",(24582.38368-25128.52919)/3703581.02097*100)</f>
        <v>-0.014746417235310323</v>
      </c>
    </row>
    <row r="55" spans="1:7" s="9" customFormat="1" ht="15.75">
      <c r="A55" s="29" t="s">
        <v>77</v>
      </c>
      <c r="B55" s="48">
        <f>IF(24317.10857="","-",24317.10857)</f>
        <v>24317.10857</v>
      </c>
      <c r="C55" s="48">
        <f>IF(OR(19690.16938="",24317.10857=""),"-",24317.10857/19690.16938*100)</f>
        <v>123.49872721105054</v>
      </c>
      <c r="D55" s="48">
        <f>IF(19690.16938="","-",19690.16938/3703581.02097*100)</f>
        <v>0.5316521838866907</v>
      </c>
      <c r="E55" s="48">
        <f>IF(24317.10857="","-",24317.10857/3770696.04948*100)</f>
        <v>0.6448970760545248</v>
      </c>
      <c r="F55" s="48">
        <f>IF(OR(3007940.19782="",17863.08975="",19690.16938=""),"-",(19690.16938-17863.08975)/3007940.19782*100)</f>
        <v>0.06074188680094682</v>
      </c>
      <c r="G55" s="48">
        <f>IF(OR(3703581.02097="",24317.10857="",19690.16938=""),"-",(24317.10857-19690.16938)/3703581.02097*100)</f>
        <v>0.12493149640312622</v>
      </c>
    </row>
    <row r="56" spans="1:7" s="9" customFormat="1" ht="15.75">
      <c r="A56" s="29" t="s">
        <v>168</v>
      </c>
      <c r="B56" s="48">
        <f>IF(23335.81339="","-",23335.81339)</f>
        <v>23335.81339</v>
      </c>
      <c r="C56" s="48">
        <f>IF(OR(20482.11571="",23335.81339=""),"-",23335.81339/20482.11571*100)</f>
        <v>113.93263137658548</v>
      </c>
      <c r="D56" s="48">
        <f>IF(20482.11571="","-",20482.11571/3703581.02097*100)</f>
        <v>0.5530354431029986</v>
      </c>
      <c r="E56" s="48">
        <f>IF(23335.81339="","-",23335.81339/3770696.04948*100)</f>
        <v>0.6188728310047197</v>
      </c>
      <c r="F56" s="48">
        <f>IF(OR(3007940.19782="",19987.65699="",20482.11571=""),"-",(20482.11571-19987.65699)/3007940.19782*100)</f>
        <v>0.01643844915395449</v>
      </c>
      <c r="G56" s="48">
        <f>IF(OR(3703581.02097="",23335.81339="",20482.11571=""),"-",(23335.81339-20482.11571)/3703581.02097*100)</f>
        <v>0.07705238966940686</v>
      </c>
    </row>
    <row r="57" spans="1:7" s="9" customFormat="1" ht="15.75">
      <c r="A57" s="29" t="s">
        <v>78</v>
      </c>
      <c r="B57" s="48">
        <f>IF(15019.89501="","-",15019.89501)</f>
        <v>15019.89501</v>
      </c>
      <c r="C57" s="48">
        <f>IF(OR(13725.33415="",15019.89501=""),"-",15019.89501/13725.33415*100)</f>
        <v>109.43190778346185</v>
      </c>
      <c r="D57" s="48">
        <f>IF(13725.33415="","-",13725.33415/3703581.02097*100)</f>
        <v>0.3705962978070672</v>
      </c>
      <c r="E57" s="48">
        <f>IF(15019.89501="","-",15019.89501/3770696.04948*100)</f>
        <v>0.39833215971017677</v>
      </c>
      <c r="F57" s="48">
        <f>IF(OR(3007940.19782="",11823.02695="",13725.33415=""),"-",(13725.33415-11823.02695)/3007940.19782*100)</f>
        <v>0.06324285307861824</v>
      </c>
      <c r="G57" s="48">
        <f>IF(OR(3703581.02097="",15019.89501="",13725.33415=""),"-",(15019.89501-13725.33415)/3703581.02097*100)</f>
        <v>0.034954301058086286</v>
      </c>
    </row>
    <row r="58" spans="1:7" s="9" customFormat="1" ht="15.75">
      <c r="A58" s="29" t="s">
        <v>74</v>
      </c>
      <c r="B58" s="48">
        <f>IF(14254.27363="","-",14254.27363)</f>
        <v>14254.27363</v>
      </c>
      <c r="C58" s="48">
        <f>IF(OR(19108.74108="",14254.27363=""),"-",14254.27363/19108.74108*100)</f>
        <v>74.59556634486566</v>
      </c>
      <c r="D58" s="48">
        <f>IF(19108.74108="","-",19108.74108/3703581.02097*100)</f>
        <v>0.5159530997649203</v>
      </c>
      <c r="E58" s="48">
        <f>IF(14254.27363="","-",14254.27363/3770696.04948*100)</f>
        <v>0.37802764908525954</v>
      </c>
      <c r="F58" s="48">
        <f>IF(OR(3007940.19782="",10410.87795="",19108.74108=""),"-",(19108.74108-10410.87795)/3007940.19782*100)</f>
        <v>0.28916343271398026</v>
      </c>
      <c r="G58" s="48">
        <f>IF(OR(3703581.02097="",14254.27363="",19108.74108=""),"-",(14254.27363-19108.74108)/3703581.02097*100)</f>
        <v>-0.13107496292138826</v>
      </c>
    </row>
    <row r="59" spans="1:7" s="9" customFormat="1" ht="15.75">
      <c r="A59" s="29" t="s">
        <v>88</v>
      </c>
      <c r="B59" s="48">
        <f>IF(11065.80593="","-",11065.80593)</f>
        <v>11065.80593</v>
      </c>
      <c r="C59" s="48">
        <f>IF(OR(9795.06453="",11065.80593=""),"-",11065.80593/9795.06453*100)</f>
        <v>112.97328257622006</v>
      </c>
      <c r="D59" s="48">
        <f>IF(9795.06453="","-",9795.06453/3703581.02097*100)</f>
        <v>0.26447550288597677</v>
      </c>
      <c r="E59" s="48">
        <f>IF(11065.80593="","-",11065.80593/3770696.04948*100)</f>
        <v>0.2934685210579632</v>
      </c>
      <c r="F59" s="48">
        <f>IF(OR(3007940.19782="",8108.88464="",9795.06453=""),"-",(9795.06453-8108.88464)/3007940.19782*100)</f>
        <v>0.05605762678466998</v>
      </c>
      <c r="G59" s="48">
        <f>IF(OR(3703581.02097="",11065.80593="",9795.06453=""),"-",(11065.80593-9795.06453)/3703581.02097*100)</f>
        <v>0.03431115433427679</v>
      </c>
    </row>
    <row r="60" spans="1:7" s="9" customFormat="1" ht="15.75">
      <c r="A60" s="29" t="s">
        <v>69</v>
      </c>
      <c r="B60" s="48">
        <f>IF(7759.66112="","-",7759.66112)</f>
        <v>7759.66112</v>
      </c>
      <c r="C60" s="48">
        <f>IF(OR(6451.53299="",7759.66112=""),"-",7759.66112/6451.53299*100)</f>
        <v>120.2762371676255</v>
      </c>
      <c r="D60" s="48">
        <f>IF(6451.53299="","-",6451.53299/3703581.02097*100)</f>
        <v>0.17419716089565354</v>
      </c>
      <c r="E60" s="48">
        <f>IF(7759.66112="","-",7759.66112/3770696.04948*100)</f>
        <v>0.2057885604720142</v>
      </c>
      <c r="F60" s="48">
        <f>IF(OR(3007940.19782="",5543.57354="",6451.53299=""),"-",(6451.53299-5543.57354)/3007940.19782*100)</f>
        <v>0.030185422258661977</v>
      </c>
      <c r="G60" s="48">
        <f>IF(OR(3703581.02097="",7759.66112="",6451.53299=""),"-",(7759.66112-6451.53299)/3703581.02097*100)</f>
        <v>0.03532062948247288</v>
      </c>
    </row>
    <row r="61" spans="1:7" s="9" customFormat="1" ht="15.75">
      <c r="A61" s="29" t="s">
        <v>70</v>
      </c>
      <c r="B61" s="48">
        <f>IF(7439.02551="","-",7439.02551)</f>
        <v>7439.02551</v>
      </c>
      <c r="C61" s="48">
        <f>IF(OR(10003.21444="",7439.02551=""),"-",7439.02551/10003.21444*100)</f>
        <v>74.3663504828354</v>
      </c>
      <c r="D61" s="48">
        <f>IF(10003.21444="","-",10003.21444/3703581.02097*100)</f>
        <v>0.27009573662249925</v>
      </c>
      <c r="E61" s="48">
        <f>IF(7439.02551="","-",7439.02551/3770696.04948*100)</f>
        <v>0.19728520709129777</v>
      </c>
      <c r="F61" s="48">
        <f>IF(OR(3007940.19782="",6169.95902="",10003.21444=""),"-",(10003.21444-6169.95902)/3007940.19782*100)</f>
        <v>0.12743788665672762</v>
      </c>
      <c r="G61" s="48">
        <f>IF(OR(3703581.02097="",7439.02551="",10003.21444=""),"-",(7439.02551-10003.21444)/3703581.02097*100)</f>
        <v>-0.06923539448661545</v>
      </c>
    </row>
    <row r="62" spans="1:7" s="9" customFormat="1" ht="15.75">
      <c r="A62" s="29" t="s">
        <v>79</v>
      </c>
      <c r="B62" s="48">
        <f>IF(6701.6266="","-",6701.6266)</f>
        <v>6701.6266</v>
      </c>
      <c r="C62" s="48">
        <f>IF(OR(7678.89798="",6701.6266=""),"-",6701.6266/7678.89798*100)</f>
        <v>87.27328605555975</v>
      </c>
      <c r="D62" s="48">
        <f>IF(7678.89798="","-",7678.89798/3703581.02097*100)</f>
        <v>0.20733711336464378</v>
      </c>
      <c r="E62" s="48">
        <f>IF(6701.6266="","-",6701.6266/3770696.04948*100)</f>
        <v>0.1777291649090674</v>
      </c>
      <c r="F62" s="48">
        <f>IF(OR(3007940.19782="",6074.98994="",7678.89798=""),"-",(7678.89798-6074.98994)/3007940.19782*100)</f>
        <v>0.05332247101064141</v>
      </c>
      <c r="G62" s="48">
        <f>IF(OR(3703581.02097="",6701.6266="",7678.89798=""),"-",(6701.6266-7678.89798)/3703581.02097*100)</f>
        <v>-0.026387201318577996</v>
      </c>
    </row>
    <row r="63" spans="1:7" s="9" customFormat="1" ht="15.75">
      <c r="A63" s="29" t="s">
        <v>91</v>
      </c>
      <c r="B63" s="48">
        <f>IF(6510.20547="","-",6510.20547)</f>
        <v>6510.20547</v>
      </c>
      <c r="C63" s="48">
        <f>IF(OR(6070.92789="",6510.20547=""),"-",6510.20547/6070.92789*100)</f>
        <v>107.2357568391411</v>
      </c>
      <c r="D63" s="48">
        <f>IF(6070.92789="","-",6070.92789/3703581.02097*100)</f>
        <v>0.16392048278749338</v>
      </c>
      <c r="E63" s="48">
        <f>IF(6510.20547="","-",6510.20547/3770696.04948*100)</f>
        <v>0.1726526186298626</v>
      </c>
      <c r="F63" s="48">
        <f>IF(OR(3007940.19782="",4077.76961="",6070.92789=""),"-",(6070.92789-4077.76961)/3007940.19782*100)</f>
        <v>0.06626322828640473</v>
      </c>
      <c r="G63" s="48">
        <f>IF(OR(3703581.02097="",6510.20547="",6070.92789=""),"-",(6510.20547-6070.92789)/3703581.02097*100)</f>
        <v>0.011860887544049173</v>
      </c>
    </row>
    <row r="64" spans="1:7" s="9" customFormat="1" ht="15.75">
      <c r="A64" s="29" t="s">
        <v>92</v>
      </c>
      <c r="B64" s="48">
        <f>IF(6347.24581="","-",6347.24581)</f>
        <v>6347.24581</v>
      </c>
      <c r="C64" s="48">
        <f>IF(OR(7571.91086="",6347.24581=""),"-",6347.24581/7571.91086*100)</f>
        <v>83.82620883098986</v>
      </c>
      <c r="D64" s="48">
        <f>IF(7571.91086="","-",7571.91086/3703581.02097*100)</f>
        <v>0.20444836543678072</v>
      </c>
      <c r="E64" s="48">
        <f>IF(6347.24581="","-",6347.24581/3770696.04948*100)</f>
        <v>0.1683308791456506</v>
      </c>
      <c r="F64" s="48">
        <f>IF(OR(3007940.19782="",3324.31294="",7571.91086=""),"-",(7571.91086-3324.31294)/3007940.19782*100)</f>
        <v>0.14121284469280473</v>
      </c>
      <c r="G64" s="48">
        <f>IF(OR(3703581.02097="",6347.24581="",7571.91086=""),"-",(6347.24581-7571.91086)/3703581.02097*100)</f>
        <v>-0.03306705167419962</v>
      </c>
    </row>
    <row r="65" spans="1:7" s="9" customFormat="1" ht="15.75">
      <c r="A65" s="29" t="s">
        <v>71</v>
      </c>
      <c r="B65" s="48">
        <f>IF(6125.59124="","-",6125.59124)</f>
        <v>6125.59124</v>
      </c>
      <c r="C65" s="48">
        <f>IF(OR(5497.69979="",6125.59124=""),"-",6125.59124/5497.69979*100)</f>
        <v>111.42098466602522</v>
      </c>
      <c r="D65" s="48">
        <f>IF(5497.69979="","-",5497.69979/3703581.02097*100)</f>
        <v>0.1484428113998733</v>
      </c>
      <c r="E65" s="48">
        <f>IF(6125.59124="","-",6125.59124/3770696.04948*100)</f>
        <v>0.16245253289096992</v>
      </c>
      <c r="F65" s="48">
        <f>IF(OR(3007940.19782="",6071.9766="",5497.69979=""),"-",(5497.69979-6071.9766)/3007940.19782*100)</f>
        <v>-0.019092028838080175</v>
      </c>
      <c r="G65" s="48">
        <f>IF(OR(3703581.02097="",6125.59124="",5497.69979=""),"-",(6125.59124-5497.69979)/3703581.02097*100)</f>
        <v>0.01695363072779625</v>
      </c>
    </row>
    <row r="66" spans="1:7" s="9" customFormat="1" ht="15.75">
      <c r="A66" s="29" t="s">
        <v>86</v>
      </c>
      <c r="B66" s="48">
        <f>IF(5548.07765="","-",5548.07765)</f>
        <v>5548.07765</v>
      </c>
      <c r="C66" s="48">
        <f>IF(OR(5227.39939="",5548.07765=""),"-",5548.07765/5227.39939*100)</f>
        <v>106.13456589166417</v>
      </c>
      <c r="D66" s="48">
        <f>IF(5227.39939="","-",5227.39939/3703581.02097*100)</f>
        <v>0.1411444588467758</v>
      </c>
      <c r="E66" s="48">
        <f>IF(5548.07765="","-",5548.07765/3770696.04948*100)</f>
        <v>0.14713669776605598</v>
      </c>
      <c r="F66" s="48">
        <f>IF(OR(3007940.19782="",4679.69306="",5227.39939=""),"-",(5227.39939-4679.69306)/3007940.19782*100)</f>
        <v>0.018208684148606057</v>
      </c>
      <c r="G66" s="48">
        <f>IF(OR(3703581.02097="",5548.07765="",5227.39939=""),"-",(5548.07765-5227.39939)/3703581.02097*100)</f>
        <v>0.00865859983038827</v>
      </c>
    </row>
    <row r="67" spans="1:7" s="9" customFormat="1" ht="15.75">
      <c r="A67" s="29" t="s">
        <v>94</v>
      </c>
      <c r="B67" s="48">
        <f>IF(5535.46193="","-",5535.46193)</f>
        <v>5535.46193</v>
      </c>
      <c r="C67" s="48">
        <f>IF(OR(3849.76864="",5535.46193=""),"-",5535.46193/3849.76864*100)</f>
        <v>143.78687260541457</v>
      </c>
      <c r="D67" s="48">
        <f>IF(3849.76864="","-",3849.76864/3703581.02097*100)</f>
        <v>0.10394719646208016</v>
      </c>
      <c r="E67" s="48">
        <f>IF(5535.46193="","-",5535.46193/3770696.04948*100)</f>
        <v>0.14680212505495824</v>
      </c>
      <c r="F67" s="48">
        <f>IF(OR(3007940.19782="",2277.16641="",3849.76864=""),"-",(3849.76864-2277.16641)/3007940.19782*100)</f>
        <v>0.05228169865676655</v>
      </c>
      <c r="G67" s="48">
        <f>IF(OR(3703581.02097="",5535.46193="",3849.76864=""),"-",(5535.46193-3849.76864)/3703581.02097*100)</f>
        <v>0.04551522649175103</v>
      </c>
    </row>
    <row r="68" spans="1:7" s="9" customFormat="1" ht="15.75">
      <c r="A68" s="29" t="s">
        <v>93</v>
      </c>
      <c r="B68" s="48">
        <f>IF(4825.42098="","-",4825.42098)</f>
        <v>4825.42098</v>
      </c>
      <c r="C68" s="48">
        <f>IF(OR(3895.3735="",4825.42098=""),"-",4825.42098/3895.3735*100)</f>
        <v>123.8756945900053</v>
      </c>
      <c r="D68" s="48">
        <f>IF(3895.3735="","-",3895.3735/3703581.02097*100)</f>
        <v>0.10517856847046289</v>
      </c>
      <c r="E68" s="48">
        <f>IF(4825.42098="","-",4825.42098/3770696.04948*100)</f>
        <v>0.12797162424867028</v>
      </c>
      <c r="F68" s="48">
        <f>IF(OR(3007940.19782="",2503.60375="",3895.3735=""),"-",(3895.3735-2503.60375)/3007940.19782*100)</f>
        <v>0.04626986105005289</v>
      </c>
      <c r="G68" s="48">
        <f>IF(OR(3703581.02097="",4825.42098="",3895.3735=""),"-",(4825.42098-3895.3735)/3703581.02097*100)</f>
        <v>0.025112113782147318</v>
      </c>
    </row>
    <row r="69" spans="1:7" s="9" customFormat="1" ht="15.75">
      <c r="A69" s="29" t="s">
        <v>82</v>
      </c>
      <c r="B69" s="48">
        <f>IF(4208.74379="","-",4208.74379)</f>
        <v>4208.74379</v>
      </c>
      <c r="C69" s="48">
        <f>IF(OR(3288.22645="",4208.74379=""),"-",4208.74379/3288.22645*100)</f>
        <v>127.994341448108</v>
      </c>
      <c r="D69" s="48">
        <f>IF(3288.22645="","-",3288.22645/3703581.02097*100)</f>
        <v>0.08878505509618324</v>
      </c>
      <c r="E69" s="48">
        <f>IF(4208.74379="","-",4208.74379/3770696.04948*100)</f>
        <v>0.11161715860339393</v>
      </c>
      <c r="F69" s="48">
        <f>IF(OR(3007940.19782="",1733.94759="",3288.22645=""),"-",(3288.22645-1733.94759)/3007940.19782*100)</f>
        <v>0.05167253195813073</v>
      </c>
      <c r="G69" s="48">
        <f>IF(OR(3703581.02097="",4208.74379="",3288.22645=""),"-",(4208.74379-3288.22645)/3703581.02097*100)</f>
        <v>0.02485479147851635</v>
      </c>
    </row>
    <row r="70" spans="1:7" s="9" customFormat="1" ht="15.75">
      <c r="A70" s="29" t="s">
        <v>76</v>
      </c>
      <c r="B70" s="48">
        <f>IF(3643.89452="","-",3643.89452)</f>
        <v>3643.89452</v>
      </c>
      <c r="C70" s="48">
        <f>IF(OR(5556.42349="",3643.89452=""),"-",3643.89452/5556.42349*100)</f>
        <v>65.57985593715068</v>
      </c>
      <c r="D70" s="48">
        <f>IF(5556.42349="","-",5556.42349/3703581.02097*100)</f>
        <v>0.1500284038215728</v>
      </c>
      <c r="E70" s="48">
        <f>IF(3643.89452="","-",3643.89452/3770696.04948*100)</f>
        <v>0.0966371850762809</v>
      </c>
      <c r="F70" s="48">
        <f>IF(OR(3007940.19782="",3913.0066="",5556.42349=""),"-",(5556.42349-3913.0066)/3007940.19782*100)</f>
        <v>0.05463595623314134</v>
      </c>
      <c r="G70" s="48">
        <f>IF(OR(3703581.02097="",3643.89452="",5556.42349=""),"-",(3643.89452-5556.42349)/3703581.02097*100)</f>
        <v>-0.051639992730578704</v>
      </c>
    </row>
    <row r="71" spans="1:7" s="9" customFormat="1" ht="15.75">
      <c r="A71" s="29" t="s">
        <v>73</v>
      </c>
      <c r="B71" s="48">
        <f>IF(3566.59283="","-",3566.59283)</f>
        <v>3566.59283</v>
      </c>
      <c r="C71" s="48">
        <f>IF(OR(3450.22351="",3566.59283=""),"-",3566.59283/3450.22351*100)</f>
        <v>103.37280525921639</v>
      </c>
      <c r="D71" s="48">
        <f>IF(3450.22351="","-",3450.22351/3703581.02097*100)</f>
        <v>0.09315912060420799</v>
      </c>
      <c r="E71" s="48">
        <f>IF(3566.59283="","-",3566.59283/3770696.04948*100)</f>
        <v>0.09458712087100876</v>
      </c>
      <c r="F71" s="48">
        <f>IF(OR(3007940.19782="",3363.018="",3450.22351=""),"-",(3450.22351-3363.018)/3007940.19782*100)</f>
        <v>0.0028991769870691524</v>
      </c>
      <c r="G71" s="48">
        <f>IF(OR(3703581.02097="",3566.59283="",3450.22351=""),"-",(3566.59283-3450.22351)/3703581.02097*100)</f>
        <v>0.0031420757191784644</v>
      </c>
    </row>
    <row r="72" spans="1:7" s="9" customFormat="1" ht="15.75">
      <c r="A72" s="29" t="s">
        <v>173</v>
      </c>
      <c r="B72" s="48">
        <f>IF(3360.64661="","-",3360.64661)</f>
        <v>3360.64661</v>
      </c>
      <c r="C72" s="48">
        <f>IF(OR(3448.45744="",3360.64661=""),"-",3360.64661/3448.45744*100)</f>
        <v>97.45362001625863</v>
      </c>
      <c r="D72" s="48">
        <f>IF(3448.45744="","-",3448.45744/3703581.02097*100)</f>
        <v>0.09311143513465837</v>
      </c>
      <c r="E72" s="48">
        <f>IF(3360.64661="","-",3360.64661/3770696.04948*100)</f>
        <v>0.08912536481065483</v>
      </c>
      <c r="F72" s="48">
        <f>IF(OR(3007940.19782="",5998.99732="",3448.45744=""),"-",(3448.45744-5998.99732)/3007940.19782*100)</f>
        <v>-0.08479357009319867</v>
      </c>
      <c r="G72" s="48">
        <f>IF(OR(3703581.02097="",3360.64661="",3448.45744=""),"-",(3360.64661-3448.45744)/3703581.02097*100)</f>
        <v>-0.002370970946843278</v>
      </c>
    </row>
    <row r="73" spans="1:7" s="9" customFormat="1" ht="15.75">
      <c r="A73" s="29" t="s">
        <v>83</v>
      </c>
      <c r="B73" s="48">
        <f>IF(3299.54404="","-",3299.54404)</f>
        <v>3299.54404</v>
      </c>
      <c r="C73" s="48">
        <f>IF(OR(3303.22254="",3299.54404=""),"-",3299.54404/3303.22254*100)</f>
        <v>99.88863905003507</v>
      </c>
      <c r="D73" s="48">
        <f>IF(3303.22254="","-",3303.22254/3703581.02097*100)</f>
        <v>0.08918996293848751</v>
      </c>
      <c r="E73" s="48">
        <f>IF(3299.54404="","-",3299.54404/3770696.04948*100)</f>
        <v>0.0875049061685846</v>
      </c>
      <c r="F73" s="48">
        <f>IF(OR(3007940.19782="",1067.07626="",3303.22254=""),"-",(3303.22254-1067.07626)/3007940.19782*100)</f>
        <v>0.0743414474004717</v>
      </c>
      <c r="G73" s="48">
        <f>IF(OR(3703581.02097="",3299.54404="",3303.22254=""),"-",(3299.54404-3303.22254)/3703581.02097*100)</f>
        <v>-9.932279000167666E-05</v>
      </c>
    </row>
    <row r="74" spans="1:7" s="9" customFormat="1" ht="15.75">
      <c r="A74" s="29" t="s">
        <v>89</v>
      </c>
      <c r="B74" s="48">
        <f>IF(3031.7161="","-",3031.7161)</f>
        <v>3031.7161</v>
      </c>
      <c r="C74" s="48">
        <f>IF(OR(4131.11247="",3031.7161=""),"-",3031.7161/4131.11247*100)</f>
        <v>73.38740162646793</v>
      </c>
      <c r="D74" s="48">
        <f>IF(4131.11247="","-",4131.11247/3703581.02097*100)</f>
        <v>0.11154373150227521</v>
      </c>
      <c r="E74" s="48">
        <f>IF(3031.7161="","-",3031.7161/3770696.04948*100)</f>
        <v>0.08040202817244022</v>
      </c>
      <c r="F74" s="48">
        <f>IF(OR(3007940.19782="",4131.79836="",4131.11247=""),"-",(4131.11247-4131.79836)/3007940.19782*100)</f>
        <v>-2.280264748936307E-05</v>
      </c>
      <c r="G74" s="48">
        <f>IF(OR(3703581.02097="",3031.7161="",4131.11247=""),"-",(3031.7161-4131.11247)/3703581.02097*100)</f>
        <v>-0.029684685275551456</v>
      </c>
    </row>
    <row r="75" spans="1:7" s="9" customFormat="1" ht="15.75">
      <c r="A75" s="29" t="s">
        <v>90</v>
      </c>
      <c r="B75" s="48">
        <f>IF(2780.8287="","-",2780.8287)</f>
        <v>2780.8287</v>
      </c>
      <c r="C75" s="48">
        <f>IF(OR(3534.10433="",2780.8287=""),"-",2780.8287/3534.10433*100)</f>
        <v>78.6855293544772</v>
      </c>
      <c r="D75" s="48">
        <f>IF(3534.10433="","-",3534.10433/3703581.02097*100)</f>
        <v>0.09542397776610237</v>
      </c>
      <c r="E75" s="48">
        <f>IF(2780.8287="","-",2780.8287/3770696.04948*100)</f>
        <v>0.07374841842220328</v>
      </c>
      <c r="F75" s="48">
        <f>IF(OR(3007940.19782="",3571.17355="",3534.10433=""),"-",(3534.10433-3571.17355)/3007940.19782*100)</f>
        <v>-0.001232378889276646</v>
      </c>
      <c r="G75" s="48">
        <f>IF(OR(3703581.02097="",2780.8287="",3534.10433=""),"-",(2780.8287-3534.10433)/3703581.02097*100)</f>
        <v>-0.020339115729746088</v>
      </c>
    </row>
    <row r="76" spans="1:7" s="9" customFormat="1" ht="15.75">
      <c r="A76" s="29" t="s">
        <v>47</v>
      </c>
      <c r="B76" s="48">
        <f>IF(2427.16401="","-",2427.16401)</f>
        <v>2427.16401</v>
      </c>
      <c r="C76" s="48">
        <f>IF(OR(3237.87586="",2427.16401=""),"-",2427.16401/3237.87586*100)</f>
        <v>74.9616141861597</v>
      </c>
      <c r="D76" s="48">
        <f>IF(3237.87586="","-",3237.87586/3703581.02097*100)</f>
        <v>0.08742554413328246</v>
      </c>
      <c r="E76" s="48">
        <f>IF(2427.16401="","-",2427.16401/3770696.04948*100)</f>
        <v>0.06436912384743182</v>
      </c>
      <c r="F76" s="48">
        <f>IF(OR(3007940.19782="",1643.92418="",3237.87586=""),"-",(3237.87586-1643.92418)/3007940.19782*100)</f>
        <v>0.0529914684193261</v>
      </c>
      <c r="G76" s="48">
        <f>IF(OR(3703581.02097="",2427.16401="",3237.87586=""),"-",(2427.16401-3237.87586)/3703581.02097*100)</f>
        <v>-0.021889945039940496</v>
      </c>
    </row>
    <row r="77" spans="1:7" s="9" customFormat="1" ht="15.75">
      <c r="A77" s="29" t="s">
        <v>95</v>
      </c>
      <c r="B77" s="48">
        <f>IF(2309.67168="","-",2309.67168)</f>
        <v>2309.67168</v>
      </c>
      <c r="C77" s="48" t="s">
        <v>20</v>
      </c>
      <c r="D77" s="48">
        <f>IF(1152.93236="","-",1152.93236/3703581.02097*100)</f>
        <v>0.031130204887431814</v>
      </c>
      <c r="E77" s="48">
        <f>IF(2309.67168="","-",2309.67168/3770696.04948*100)</f>
        <v>0.061253191710281624</v>
      </c>
      <c r="F77" s="48">
        <f>IF(OR(3007940.19782="",1103.9834="",1152.93236=""),"-",(1152.93236-1103.9834)/3007940.19782*100)</f>
        <v>0.001627324906109358</v>
      </c>
      <c r="G77" s="48">
        <f>IF(OR(3703581.02097="",2309.67168="",1152.93236=""),"-",(2309.67168-1152.93236)/3703581.02097*100)</f>
        <v>0.031232996212326412</v>
      </c>
    </row>
    <row r="78" spans="1:7" s="9" customFormat="1" ht="15.75">
      <c r="A78" s="29" t="s">
        <v>66</v>
      </c>
      <c r="B78" s="48">
        <f>IF(2107.08386="","-",2107.08386)</f>
        <v>2107.08386</v>
      </c>
      <c r="C78" s="48">
        <f>IF(OR(2105.93029="",2107.08386=""),"-",2107.08386/2105.93029*100)</f>
        <v>100.05477721677106</v>
      </c>
      <c r="D78" s="48">
        <f>IF(2105.93029="","-",2105.93029/3703581.02097*100)</f>
        <v>0.05686200134615763</v>
      </c>
      <c r="E78" s="48">
        <f>IF(2107.08386="","-",2107.08386/3770696.04948*100)</f>
        <v>0.05588050143396148</v>
      </c>
      <c r="F78" s="48">
        <f>IF(OR(3007940.19782="",1416.86226="",2105.93029=""),"-",(2105.93029-1416.86226)/3007940.19782*100)</f>
        <v>0.022908302182982253</v>
      </c>
      <c r="G78" s="48">
        <f>IF(OR(3703581.02097="",2107.08386="",2105.93029=""),"-",(2107.08386-2105.93029)/3703581.02097*100)</f>
        <v>3.114742173773938E-05</v>
      </c>
    </row>
    <row r="79" spans="1:7" s="9" customFormat="1" ht="15.75">
      <c r="A79" s="29" t="s">
        <v>151</v>
      </c>
      <c r="B79" s="48">
        <f>IF(2022.03647="","-",2022.03647)</f>
        <v>2022.03647</v>
      </c>
      <c r="C79" s="48" t="s">
        <v>276</v>
      </c>
      <c r="D79" s="48">
        <f>IF(658.62223="","-",658.62223/3703581.02097*100)</f>
        <v>0.017783389272998842</v>
      </c>
      <c r="E79" s="48">
        <f>IF(2022.03647="","-",2022.03647/3770696.04948*100)</f>
        <v>0.05362501892134345</v>
      </c>
      <c r="F79" s="48">
        <f>IF(OR(3007940.19782="",465.67483="",658.62223=""),"-",(658.62223-465.67483)/3007940.19782*100)</f>
        <v>0.006414602263031636</v>
      </c>
      <c r="G79" s="48">
        <f>IF(OR(3703581.02097="",2022.03647="",658.62223=""),"-",(2022.03647-658.62223)/3703581.02097*100)</f>
        <v>0.03681340389963739</v>
      </c>
    </row>
    <row r="80" spans="1:7" s="9" customFormat="1" ht="15.75">
      <c r="A80" s="29" t="s">
        <v>46</v>
      </c>
      <c r="B80" s="48">
        <f>IF(1929.75033="","-",1929.75033)</f>
        <v>1929.75033</v>
      </c>
      <c r="C80" s="48">
        <f>IF(OR(1341.84906="",1929.75033=""),"-",1929.75033/1341.84906*100)</f>
        <v>143.81277205649346</v>
      </c>
      <c r="D80" s="48">
        <f>IF(1341.84906="","-",1341.84906/3703581.02097*100)</f>
        <v>0.03623112475202603</v>
      </c>
      <c r="E80" s="48">
        <f>IF(1929.75033="","-",1929.75033/3770696.04948*100)</f>
        <v>0.051177562568749696</v>
      </c>
      <c r="F80" s="48">
        <f>IF(OR(3007940.19782="",596.89138="",1341.84906=""),"-",(1341.84906-596.89138)/3007940.19782*100)</f>
        <v>0.02476637270049142</v>
      </c>
      <c r="G80" s="48">
        <f>IF(OR(3703581.02097="",1929.75033="",1341.84906=""),"-",(1929.75033-1341.84906)/3703581.02097*100)</f>
        <v>0.015873860101108944</v>
      </c>
    </row>
    <row r="81" spans="1:7" s="9" customFormat="1" ht="15.75">
      <c r="A81" s="29" t="s">
        <v>97</v>
      </c>
      <c r="B81" s="48">
        <f>IF(1925.23501="","-",1925.23501)</f>
        <v>1925.23501</v>
      </c>
      <c r="C81" s="48">
        <f>IF(OR(3223.2364="",1925.23501=""),"-",1925.23501/3223.2364*100)</f>
        <v>59.729873055541326</v>
      </c>
      <c r="D81" s="48">
        <f>IF(3223.2364="","-",3223.2364/3703581.02097*100)</f>
        <v>0.08703026561994331</v>
      </c>
      <c r="E81" s="48">
        <f>IF(1925.23501="","-",1925.23501/3770696.04948*100)</f>
        <v>0.05105781491630705</v>
      </c>
      <c r="F81" s="48">
        <f>IF(OR(3007940.19782="",1149.46315="",3223.2364=""),"-",(3223.2364-1149.46315)/3007940.19782*100)</f>
        <v>0.06894330051850645</v>
      </c>
      <c r="G81" s="48">
        <f>IF(OR(3703581.02097="",1925.23501="",3223.2364=""),"-",(1925.23501-3223.2364)/3703581.02097*100)</f>
        <v>-0.03504719844525075</v>
      </c>
    </row>
    <row r="82" spans="1:7" s="9" customFormat="1" ht="15.75">
      <c r="A82" s="29" t="s">
        <v>96</v>
      </c>
      <c r="B82" s="48">
        <f>IF(1888.47527="","-",1888.47527)</f>
        <v>1888.47527</v>
      </c>
      <c r="C82" s="48">
        <f>IF(OR(1807.3851="",1888.47527=""),"-",1888.47527/1807.3851*100)</f>
        <v>104.48660166557752</v>
      </c>
      <c r="D82" s="48">
        <f>IF(1807.3851="","-",1807.3851/3703581.02097*100)</f>
        <v>0.04880101420129403</v>
      </c>
      <c r="E82" s="48">
        <f>IF(1888.47527="","-",1888.47527/3770696.04948*100)</f>
        <v>0.05008293549039655</v>
      </c>
      <c r="F82" s="48">
        <f>IF(OR(3007940.19782="",2430.66609="",1807.3851=""),"-",(1807.3851-2430.66609)/3007940.19782*100)</f>
        <v>-0.020721189551963906</v>
      </c>
      <c r="G82" s="48">
        <f>IF(OR(3703581.02097="",1888.47527="",1807.3851=""),"-",(1888.47527-1807.3851)/3703581.02097*100)</f>
        <v>0.0021895071159739802</v>
      </c>
    </row>
    <row r="83" spans="1:7" s="9" customFormat="1" ht="15.75">
      <c r="A83" s="29" t="s">
        <v>100</v>
      </c>
      <c r="B83" s="48">
        <f>IF(1809.42854="","-",1809.42854)</f>
        <v>1809.42854</v>
      </c>
      <c r="C83" s="48">
        <f>IF(OR(1307.20084="",1809.42854=""),"-",1809.42854/1307.20084*100)</f>
        <v>138.4200870005561</v>
      </c>
      <c r="D83" s="48">
        <f>IF(1307.20084="","-",1307.20084/3703581.02097*100)</f>
        <v>0.035295591823116985</v>
      </c>
      <c r="E83" s="48">
        <f>IF(1809.42854="","-",1809.42854/3770696.04948*100)</f>
        <v>0.04798659229638863</v>
      </c>
      <c r="F83" s="48">
        <f>IF(OR(3007940.19782="",1265.49422="",1307.20084=""),"-",(1307.20084-1265.49422)/3007940.19782*100)</f>
        <v>0.0013865508373546369</v>
      </c>
      <c r="G83" s="48">
        <f>IF(OR(3703581.02097="",1809.42854="",1307.20084=""),"-",(1809.42854-1307.20084)/3703581.02097*100)</f>
        <v>0.013560597085802713</v>
      </c>
    </row>
    <row r="84" spans="1:7" s="9" customFormat="1" ht="15.75">
      <c r="A84" s="29" t="s">
        <v>45</v>
      </c>
      <c r="B84" s="48">
        <f>IF(1641.65914="","-",1641.65914)</f>
        <v>1641.65914</v>
      </c>
      <c r="C84" s="48" t="s">
        <v>114</v>
      </c>
      <c r="D84" s="48">
        <f>IF(1001.71952="","-",1001.71952/3703581.02097*100)</f>
        <v>0.02704732296467058</v>
      </c>
      <c r="E84" s="48">
        <f>IF(1641.65914="","-",1641.65914/3770696.04948*100)</f>
        <v>0.043537297052261587</v>
      </c>
      <c r="F84" s="48">
        <f>IF(OR(3007940.19782="",468.78064="",1001.71952=""),"-",(1001.71952-468.78064)/3007940.19782*100)</f>
        <v>0.017717735225794933</v>
      </c>
      <c r="G84" s="48">
        <f>IF(OR(3703581.02097="",1641.65914="",1001.71952=""),"-",(1641.65914-1001.71952)/3703581.02097*100)</f>
        <v>0.017278942093519916</v>
      </c>
    </row>
    <row r="85" spans="1:7" s="9" customFormat="1" ht="15.75">
      <c r="A85" s="29" t="s">
        <v>269</v>
      </c>
      <c r="B85" s="48">
        <f>IF(1418.03688="","-",1418.03688)</f>
        <v>1418.03688</v>
      </c>
      <c r="C85" s="48">
        <f>IF(OR(1320.03167="",1418.03688=""),"-",1418.03688/1320.03167*100)</f>
        <v>107.42445899044226</v>
      </c>
      <c r="D85" s="48">
        <f>IF(1320.03167="","-",1320.03167/3703581.02097*100)</f>
        <v>0.03564203570884139</v>
      </c>
      <c r="E85" s="48">
        <f>IF(1418.03688="","-",1418.03688/3770696.04948*100)</f>
        <v>0.037606767063485674</v>
      </c>
      <c r="F85" s="48">
        <f>IF(OR(3007940.19782="",688.16165="",1320.03167=""),"-",(1320.03167-688.16165)/3007940.19782*100)</f>
        <v>0.02100673479007152</v>
      </c>
      <c r="G85" s="48">
        <f>IF(OR(3703581.02097="",1418.03688="",1320.03167=""),"-",(1418.03688-1320.03167)/3703581.02097*100)</f>
        <v>0.0026462283245617135</v>
      </c>
    </row>
    <row r="86" spans="1:7" s="9" customFormat="1" ht="15.75">
      <c r="A86" s="29" t="s">
        <v>75</v>
      </c>
      <c r="B86" s="48">
        <f>IF(1261.89534="","-",1261.89534)</f>
        <v>1261.89534</v>
      </c>
      <c r="C86" s="48">
        <f>IF(OR(1302.43895="",1261.89534=""),"-",1261.89534/1302.43895*100)</f>
        <v>96.88710092707224</v>
      </c>
      <c r="D86" s="48">
        <f>IF(1302.43895="","-",1302.43895/3703581.02097*100)</f>
        <v>0.03516701653414565</v>
      </c>
      <c r="E86" s="48">
        <f>IF(1261.89534="","-",1261.89534/3770696.04948*100)</f>
        <v>0.033465846184394056</v>
      </c>
      <c r="F86" s="48">
        <f>IF(OR(3007940.19782="",1057.88765="",1302.43895=""),"-",(1302.43895-1057.88765)/3007940.19782*100)</f>
        <v>0.008130191556907888</v>
      </c>
      <c r="G86" s="48">
        <f>IF(OR(3703581.02097="",1261.89534="",1302.43895=""),"-",(1261.89534-1302.43895)/3703581.02097*100)</f>
        <v>-0.0010947137316677689</v>
      </c>
    </row>
    <row r="87" spans="1:7" s="9" customFormat="1" ht="15.75">
      <c r="A87" s="29" t="s">
        <v>81</v>
      </c>
      <c r="B87" s="48">
        <f>IF(1019.22986="","-",1019.22986)</f>
        <v>1019.22986</v>
      </c>
      <c r="C87" s="48">
        <f>IF(OR(1424.45718="",1019.22986=""),"-",1019.22986/1424.45718*100)</f>
        <v>71.55215855628599</v>
      </c>
      <c r="D87" s="48">
        <f>IF(1424.45718="","-",1424.45718/3703581.02097*100)</f>
        <v>0.03846161787563439</v>
      </c>
      <c r="E87" s="48">
        <f>IF(1019.22986="","-",1019.22986/3770696.04948*100)</f>
        <v>0.027030284239976263</v>
      </c>
      <c r="F87" s="48">
        <f>IF(OR(3007940.19782="",1201.44956="",1424.45718=""),"-",(1424.45718-1201.44956)/3007940.19782*100)</f>
        <v>0.0074139645516099195</v>
      </c>
      <c r="G87" s="48">
        <f>IF(OR(3703581.02097="",1019.22986="",1424.45718=""),"-",(1019.22986-1424.45718)/3703581.02097*100)</f>
        <v>-0.01094150006994764</v>
      </c>
    </row>
    <row r="88" spans="1:7" s="9" customFormat="1" ht="15.75">
      <c r="A88" s="29" t="s">
        <v>109</v>
      </c>
      <c r="B88" s="48">
        <f>IF(912.82402="","-",912.82402)</f>
        <v>912.82402</v>
      </c>
      <c r="C88" s="48">
        <f>IF(OR(874.95651="",912.82402=""),"-",912.82402/874.95651*100)</f>
        <v>104.32793053908473</v>
      </c>
      <c r="D88" s="48">
        <f>IF(874.95651="","-",874.95651/3703581.02097*100)</f>
        <v>0.023624608319513456</v>
      </c>
      <c r="E88" s="48">
        <f>IF(912.82402="","-",912.82402/3770696.04948*100)</f>
        <v>0.024208369171678092</v>
      </c>
      <c r="F88" s="48">
        <f>IF(OR(3007940.19782="",31.40523="",874.95651=""),"-",(874.95651-31.40523)/3007940.19782*100)</f>
        <v>0.028044150632095765</v>
      </c>
      <c r="G88" s="48">
        <f>IF(OR(3703581.02097="",912.82402="",874.95651=""),"-",(912.82402-874.95651)/3703581.02097*100)</f>
        <v>0.0010224566381993774</v>
      </c>
    </row>
    <row r="89" spans="1:7" s="9" customFormat="1" ht="15.75">
      <c r="A89" s="29" t="s">
        <v>98</v>
      </c>
      <c r="B89" s="48">
        <f>IF(871.14162="","-",871.14162)</f>
        <v>871.14162</v>
      </c>
      <c r="C89" s="48">
        <f>IF(OR(919.70882="",871.14162=""),"-",871.14162/919.70882*100)</f>
        <v>94.71928517549718</v>
      </c>
      <c r="D89" s="48">
        <f>IF(919.70882="","-",919.70882/3703581.02097*100)</f>
        <v>0.024832960715386758</v>
      </c>
      <c r="E89" s="48">
        <f>IF(871.14162="","-",871.14162/3770696.04948*100)</f>
        <v>0.02310293931329032</v>
      </c>
      <c r="F89" s="48">
        <f>IF(OR(3007940.19782="",690.54367="",919.70882=""),"-",(919.70882-690.54367)/3007940.19782*100)</f>
        <v>0.007618673741123145</v>
      </c>
      <c r="G89" s="48">
        <f>IF(OR(3703581.02097="",871.14162="",919.70882=""),"-",(871.14162-919.70882)/3703581.02097*100)</f>
        <v>-0.0013113578378603902</v>
      </c>
    </row>
    <row r="90" spans="1:7" s="9" customFormat="1" ht="15.75">
      <c r="A90" s="29" t="s">
        <v>105</v>
      </c>
      <c r="B90" s="48">
        <f>IF(788.23691="","-",788.23691)</f>
        <v>788.23691</v>
      </c>
      <c r="C90" s="48">
        <f>IF(OR(818.35621="",788.23691=""),"-",788.23691/818.35621*100)</f>
        <v>96.31953669661772</v>
      </c>
      <c r="D90" s="48">
        <f>IF(818.35621="","-",818.35621/3703581.02097*100)</f>
        <v>0.022096349596954827</v>
      </c>
      <c r="E90" s="48">
        <f>IF(788.23691="","-",788.23691/3770696.04948*100)</f>
        <v>0.02090428132250814</v>
      </c>
      <c r="F90" s="48">
        <f>IF(OR(3007940.19782="",439.61138="",818.35621=""),"-",(818.35621-439.61138)/3007940.19782*100)</f>
        <v>0.012591501329530913</v>
      </c>
      <c r="G90" s="48">
        <f>IF(OR(3703581.02097="",788.23691="",818.35621=""),"-",(788.23691-818.35621)/3703581.02097*100)</f>
        <v>-0.0008132480383029817</v>
      </c>
    </row>
    <row r="91" spans="1:7" s="9" customFormat="1" ht="15.75">
      <c r="A91" s="29" t="s">
        <v>87</v>
      </c>
      <c r="B91" s="48">
        <f>IF(742.36264="","-",742.36264)</f>
        <v>742.36264</v>
      </c>
      <c r="C91" s="48">
        <f>IF(OR(662.98541="",742.36264=""),"-",742.36264/662.98541*100)</f>
        <v>111.97269635239786</v>
      </c>
      <c r="D91" s="48">
        <f>IF(662.98541="","-",662.98541/3703581.02097*100)</f>
        <v>0.017901199035369245</v>
      </c>
      <c r="E91" s="48">
        <f>IF(742.36264="","-",742.36264/3770696.04948*100)</f>
        <v>0.01968768180353269</v>
      </c>
      <c r="F91" s="48">
        <f>IF(OR(3007940.19782="",468.08473="",662.98541=""),"-",(662.98541-468.08473)/3007940.19782*100)</f>
        <v>0.00647953972426892</v>
      </c>
      <c r="G91" s="48">
        <f>IF(OR(3703581.02097="",742.36264="",662.98541=""),"-",(742.36264-662.98541)/3703581.02097*100)</f>
        <v>0.002143256203943136</v>
      </c>
    </row>
    <row r="92" spans="1:7" s="9" customFormat="1" ht="15.75">
      <c r="A92" s="29" t="s">
        <v>102</v>
      </c>
      <c r="B92" s="48">
        <f>IF(633.0139="","-",633.0139)</f>
        <v>633.0139</v>
      </c>
      <c r="C92" s="48">
        <f>IF(OR(481.04754="",633.0139=""),"-",633.0139/481.04754*100)</f>
        <v>131.59071554549473</v>
      </c>
      <c r="D92" s="48">
        <f>IF(481.04754="","-",481.04754/3703581.02097*100)</f>
        <v>0.012988713822548143</v>
      </c>
      <c r="E92" s="48">
        <f>IF(633.0139="","-",633.0139/3770696.04948*100)</f>
        <v>0.016787720136904064</v>
      </c>
      <c r="F92" s="48">
        <f>IF(OR(3007940.19782="",636.3605="",481.04754=""),"-",(481.04754-636.3605)/3007940.19782*100)</f>
        <v>-0.005163432441661001</v>
      </c>
      <c r="G92" s="48">
        <f>IF(OR(3703581.02097="",633.0139="",481.04754=""),"-",(633.0139-481.04754)/3703581.02097*100)</f>
        <v>0.0041032276366995395</v>
      </c>
    </row>
    <row r="93" spans="1:7" s="9" customFormat="1" ht="15.75">
      <c r="A93" s="29" t="s">
        <v>167</v>
      </c>
      <c r="B93" s="48">
        <f>IF(625.41813="","-",625.41813)</f>
        <v>625.41813</v>
      </c>
      <c r="C93" s="48" t="s">
        <v>142</v>
      </c>
      <c r="D93" s="48">
        <f>IF(411.05289="","-",411.05289/3703581.02097*100)</f>
        <v>0.011098795670260285</v>
      </c>
      <c r="E93" s="48">
        <f>IF(625.41813="","-",625.41813/3770696.04948*100)</f>
        <v>0.01658627801851726</v>
      </c>
      <c r="F93" s="48">
        <f>IF(OR(3007940.19782="",579.63207="",411.05289=""),"-",(411.05289-579.63207)/3007940.19782*100)</f>
        <v>-0.005604472459996962</v>
      </c>
      <c r="G93" s="48">
        <f>IF(OR(3703581.02097="",625.41813="",411.05289=""),"-",(625.41813-411.05289)/3703581.02097*100)</f>
        <v>0.005788053205431318</v>
      </c>
    </row>
    <row r="94" spans="1:7" ht="15.75">
      <c r="A94" s="29" t="s">
        <v>106</v>
      </c>
      <c r="B94" s="48">
        <f>IF(587.01339="","-",587.01339)</f>
        <v>587.01339</v>
      </c>
      <c r="C94" s="48">
        <f>IF(OR(527.62566="",587.01339=""),"-",587.01339/527.62566*100)</f>
        <v>111.25565614075705</v>
      </c>
      <c r="D94" s="48">
        <f>IF(527.62566="","-",527.62566/3703581.02097*100)</f>
        <v>0.014246364721401727</v>
      </c>
      <c r="E94" s="48">
        <f>IF(587.01339="","-",587.01339/3770696.04948*100)</f>
        <v>0.015567772694936586</v>
      </c>
      <c r="F94" s="48">
        <f>IF(OR(3007940.19782="",177.41364="",527.62566=""),"-",(527.62566-177.41364)/3007940.19782*100)</f>
        <v>0.011642918308476203</v>
      </c>
      <c r="G94" s="48">
        <f>IF(OR(3703581.02097="",587.01339="",527.62566=""),"-",(587.01339-527.62566)/3703581.02097*100)</f>
        <v>0.0016035218255990996</v>
      </c>
    </row>
    <row r="95" spans="1:7" ht="15.75">
      <c r="A95" s="29" t="s">
        <v>99</v>
      </c>
      <c r="B95" s="48">
        <f>IF(456.59416="","-",456.59416)</f>
        <v>456.59416</v>
      </c>
      <c r="C95" s="48">
        <f>IF(OR(980.28577="",456.59416=""),"-",456.59416/980.28577*100)</f>
        <v>46.57765867600016</v>
      </c>
      <c r="D95" s="48">
        <f>IF(980.28577="","-",980.28577/3703581.02097*100)</f>
        <v>0.02646859254460848</v>
      </c>
      <c r="E95" s="48">
        <f>IF(456.59416="","-",456.59416/3770696.04948*100)</f>
        <v>0.012109015258945808</v>
      </c>
      <c r="F95" s="48">
        <f>IF(OR(3007940.19782="",422.53671="",980.28577=""),"-",(980.28577-422.53671)/3007940.19782*100)</f>
        <v>0.01854255814009293</v>
      </c>
      <c r="G95" s="48">
        <f>IF(OR(3703581.02097="",456.59416="",980.28577=""),"-",(456.59416-980.28577)/3703581.02097*100)</f>
        <v>-0.014140141852839514</v>
      </c>
    </row>
    <row r="96" spans="1:7" ht="15.75">
      <c r="A96" s="29" t="s">
        <v>121</v>
      </c>
      <c r="B96" s="48">
        <f>IF(407.93866="","-",407.93866)</f>
        <v>407.93866</v>
      </c>
      <c r="C96" s="48" t="s">
        <v>247</v>
      </c>
      <c r="D96" s="48">
        <f>IF(41.85625="","-",41.85625/3703581.02097*100)</f>
        <v>0.0011301561856756001</v>
      </c>
      <c r="E96" s="48">
        <f>IF(407.93866="","-",407.93866/3770696.04948*100)</f>
        <v>0.010818656678950747</v>
      </c>
      <c r="F96" s="48" t="str">
        <f>IF(OR(3007940.19782="",""="",41.85625=""),"-",(41.85625-"")/3007940.19782*100)</f>
        <v>-</v>
      </c>
      <c r="G96" s="48">
        <f>IF(OR(3703581.02097="",407.93866="",41.85625=""),"-",(407.93866-41.85625)/3703581.02097*100)</f>
        <v>0.009884552489258623</v>
      </c>
    </row>
    <row r="97" spans="1:7" ht="15.75">
      <c r="A97" s="29" t="s">
        <v>101</v>
      </c>
      <c r="B97" s="48">
        <f>IF(389.01676="","-",389.01676)</f>
        <v>389.01676</v>
      </c>
      <c r="C97" s="48">
        <f>IF(OR(826.19052="",389.01676=""),"-",389.01676/826.19052*100)</f>
        <v>47.08559957816993</v>
      </c>
      <c r="D97" s="48">
        <f>IF(826.19052="","-",826.19052/3703581.02097*100)</f>
        <v>0.02230788297385792</v>
      </c>
      <c r="E97" s="48">
        <f>IF(389.01676="","-",389.01676/3770696.04948*100)</f>
        <v>0.01031684216641242</v>
      </c>
      <c r="F97" s="48">
        <f>IF(OR(3007940.19782="",722.81582="",826.19052=""),"-",(826.19052-722.81582)/3007940.19782*100)</f>
        <v>0.003436727235299446</v>
      </c>
      <c r="G97" s="48">
        <f>IF(OR(3703581.02097="",389.01676="",826.19052=""),"-",(389.01676-826.19052)/3703581.02097*100)</f>
        <v>-0.011804082522420434</v>
      </c>
    </row>
    <row r="98" spans="1:7" ht="15.75">
      <c r="A98" s="29" t="s">
        <v>72</v>
      </c>
      <c r="B98" s="48">
        <f>IF(362.93697="","-",362.93697)</f>
        <v>362.93697</v>
      </c>
      <c r="C98" s="48" t="s">
        <v>142</v>
      </c>
      <c r="D98" s="48">
        <f>IF(240.47866="","-",240.47866/3703581.02097*100)</f>
        <v>0.006493138900928284</v>
      </c>
      <c r="E98" s="48">
        <f>IF(362.93697="","-",362.93697/3770696.04948*100)</f>
        <v>0.009625198245561347</v>
      </c>
      <c r="F98" s="48">
        <f>IF(OR(3007940.19782="",89.79033="",240.47866=""),"-",(240.47866-89.79033)/3007940.19782*100)</f>
        <v>0.00500968503659784</v>
      </c>
      <c r="G98" s="48">
        <f>IF(OR(3703581.02097="",362.93697="",240.47866=""),"-",(362.93697-240.47866)/3703581.02097*100)</f>
        <v>0.003306483895090463</v>
      </c>
    </row>
    <row r="99" spans="1:7" ht="15.75">
      <c r="A99" s="29" t="s">
        <v>152</v>
      </c>
      <c r="B99" s="48">
        <f>IF(353.61115="","-",353.61115)</f>
        <v>353.61115</v>
      </c>
      <c r="C99" s="48">
        <f>IF(OR(975.74485="",353.61115=""),"-",353.61115/975.74485*100)</f>
        <v>36.24012465963823</v>
      </c>
      <c r="D99" s="48">
        <f>IF(975.74485="","-",975.74485/3703581.02097*100)</f>
        <v>0.02634598364326978</v>
      </c>
      <c r="E99" s="48">
        <f>IF(353.61115="","-",353.61115/3770696.04948*100)</f>
        <v>0.009377874677773748</v>
      </c>
      <c r="F99" s="48">
        <f>IF(OR(3007940.19782="",877.64584="",975.74485=""),"-",(975.74485-877.64584)/3007940.19782*100)</f>
        <v>0.0032613351180019183</v>
      </c>
      <c r="G99" s="48">
        <f>IF(OR(3703581.02097="",353.61115="",975.74485=""),"-",(353.61115-975.74485)/3703581.02097*100)</f>
        <v>-0.016798166328140917</v>
      </c>
    </row>
    <row r="100" spans="1:7" ht="15.75">
      <c r="A100" s="29" t="s">
        <v>68</v>
      </c>
      <c r="B100" s="48">
        <f>IF(305.84723="","-",305.84723)</f>
        <v>305.84723</v>
      </c>
      <c r="C100" s="48">
        <f>IF(OR(387.82032="",305.84723=""),"-",305.84723/387.82032*100)</f>
        <v>78.86312661492313</v>
      </c>
      <c r="D100" s="48">
        <f>IF(387.82032="","-",387.82032/3703581.02097*100)</f>
        <v>0.010471495501357399</v>
      </c>
      <c r="E100" s="48">
        <f>IF(305.84723="","-",305.84723/3770696.04948*100)</f>
        <v>0.008111161069112905</v>
      </c>
      <c r="F100" s="48">
        <f>IF(OR(3007940.19782="",472.13211="",387.82032=""),"-",(387.82032-472.13211)/3007940.19782*100)</f>
        <v>-0.0028029742765865117</v>
      </c>
      <c r="G100" s="48">
        <f>IF(OR(3703581.02097="",305.84723="",387.82032=""),"-",(305.84723-387.82032)/3703581.02097*100)</f>
        <v>-0.002213346745645934</v>
      </c>
    </row>
    <row r="101" spans="1:7" ht="15.75">
      <c r="A101" s="29" t="s">
        <v>103</v>
      </c>
      <c r="B101" s="48">
        <f>IF(302.53222="","-",302.53222)</f>
        <v>302.53222</v>
      </c>
      <c r="C101" s="48">
        <f>IF(OR(392.17804="",302.53222=""),"-",302.53222/392.17804*100)</f>
        <v>77.14155030200058</v>
      </c>
      <c r="D101" s="48">
        <f>IF(392.17804="","-",392.17804/3703581.02097*100)</f>
        <v>0.010589157838844449</v>
      </c>
      <c r="E101" s="48">
        <f>IF(302.53222="","-",302.53222/3770696.04948*100)</f>
        <v>0.008023246001006124</v>
      </c>
      <c r="F101" s="48">
        <f>IF(OR(3007940.19782="",452.00982="",392.17804=""),"-",(392.17804-452.00982)/3007940.19782*100)</f>
        <v>-0.0019891279767916587</v>
      </c>
      <c r="G101" s="48">
        <f>IF(OR(3703581.02097="",302.53222="",392.17804=""),"-",(302.53222-392.17804)/3703581.02097*100)</f>
        <v>-0.0024205173180340198</v>
      </c>
    </row>
    <row r="102" spans="1:7" ht="15.75">
      <c r="A102" s="29" t="s">
        <v>111</v>
      </c>
      <c r="B102" s="48">
        <f>IF(260.26326="","-",260.26326)</f>
        <v>260.26326</v>
      </c>
      <c r="C102" s="48">
        <f>IF(OR(472.45919="",260.26326=""),"-",260.26326/472.45919*100)</f>
        <v>55.086929307058256</v>
      </c>
      <c r="D102" s="48">
        <f>IF(472.45919="","-",472.45919/3703581.02097*100)</f>
        <v>0.012756820691241658</v>
      </c>
      <c r="E102" s="48">
        <f>IF(260.26326="","-",260.26326/3770696.04948*100)</f>
        <v>0.006902260393963383</v>
      </c>
      <c r="F102" s="48">
        <f>IF(OR(3007940.19782="",285.63783="",472.45919=""),"-",(472.45919-285.63783)/3007940.19782*100)</f>
        <v>0.006210939969331785</v>
      </c>
      <c r="G102" s="48">
        <f>IF(OR(3703581.02097="",260.26326="",472.45919=""),"-",(260.26326-472.45919)/3703581.02097*100)</f>
        <v>-0.005729479895229186</v>
      </c>
    </row>
    <row r="103" spans="1:7" ht="15.75">
      <c r="A103" s="29" t="s">
        <v>116</v>
      </c>
      <c r="B103" s="48">
        <f>IF(192.31928="","-",192.31928)</f>
        <v>192.31928</v>
      </c>
      <c r="C103" s="48" t="s">
        <v>277</v>
      </c>
      <c r="D103" s="48">
        <f>IF(56.53527="","-",56.53527/3703581.02097*100)</f>
        <v>0.0015265028543966594</v>
      </c>
      <c r="E103" s="48">
        <f>IF(192.31928="","-",192.31928/3770696.04948*100)</f>
        <v>0.00510036548892669</v>
      </c>
      <c r="F103" s="48">
        <f>IF(OR(3007940.19782="",63.43256="",56.53527=""),"-",(56.53527-63.43256)/3007940.19782*100)</f>
        <v>-0.00022930276356553916</v>
      </c>
      <c r="G103" s="48">
        <f>IF(OR(3703581.02097="",192.31928="",56.53527=""),"-",(192.31928-56.53527)/3703581.02097*100)</f>
        <v>0.00366628971342004</v>
      </c>
    </row>
    <row r="104" spans="1:7" ht="15.75">
      <c r="A104" s="29" t="s">
        <v>154</v>
      </c>
      <c r="B104" s="48">
        <f>IF(145.57731="","-",145.57731)</f>
        <v>145.57731</v>
      </c>
      <c r="C104" s="48">
        <f>IF(OR(118.30146="",145.57731=""),"-",145.57731/118.30146*100)</f>
        <v>123.05622432723993</v>
      </c>
      <c r="D104" s="48">
        <f>IF(118.30146="","-",118.30146/3703581.02097*100)</f>
        <v>0.003194245227258882</v>
      </c>
      <c r="E104" s="48">
        <f>IF(145.57731="","-",145.57731/3770696.04948*100)</f>
        <v>0.00386075430344156</v>
      </c>
      <c r="F104" s="48">
        <f>IF(OR(3007940.19782="",58.34258="",118.30146=""),"-",(118.30146-58.34258)/3007940.19782*100)</f>
        <v>0.0019933534597348416</v>
      </c>
      <c r="G104" s="48">
        <f>IF(OR(3703581.02097="",145.57731="",118.30146=""),"-",(145.57731-118.30146)/3703581.02097*100)</f>
        <v>0.0007364723451589626</v>
      </c>
    </row>
    <row r="105" spans="1:7" ht="15.75">
      <c r="A105" s="29" t="s">
        <v>153</v>
      </c>
      <c r="B105" s="48">
        <f>IF(143.74689="","-",143.74689)</f>
        <v>143.74689</v>
      </c>
      <c r="C105" s="48" t="s">
        <v>278</v>
      </c>
      <c r="D105" s="48">
        <f>IF(17.6066="","-",17.6066/3703581.02097*100)</f>
        <v>0.00047539394710983474</v>
      </c>
      <c r="E105" s="48">
        <f>IF(143.74689="","-",143.74689/3770696.04948*100)</f>
        <v>0.003812211011275319</v>
      </c>
      <c r="F105" s="48">
        <f>IF(OR(3007940.19782="",10.63513="",17.6066=""),"-",(17.6066-10.63513)/3007940.19782*100)</f>
        <v>0.0002317689030204976</v>
      </c>
      <c r="G105" s="48">
        <f>IF(OR(3703581.02097="",143.74689="",17.6066=""),"-",(143.74689-17.6066)/3703581.02097*100)</f>
        <v>0.003405900648204606</v>
      </c>
    </row>
    <row r="106" spans="1:7" ht="15.75">
      <c r="A106" s="29" t="s">
        <v>161</v>
      </c>
      <c r="B106" s="48">
        <f>IF(139.07698="","-",139.07698)</f>
        <v>139.07698</v>
      </c>
      <c r="C106" s="48" t="s">
        <v>142</v>
      </c>
      <c r="D106" s="48">
        <f>IF(92.09193="","-",92.09193/3703581.02097*100)</f>
        <v>0.002486564475802404</v>
      </c>
      <c r="E106" s="48">
        <f>IF(139.07698="","-",139.07698/3770696.04948*100)</f>
        <v>0.0036883635852637733</v>
      </c>
      <c r="F106" s="48">
        <f>IF(OR(3007940.19782="",216.38946="",92.09193=""),"-",(92.09193-216.38946)/3007940.19782*100)</f>
        <v>-0.004132313870138923</v>
      </c>
      <c r="G106" s="48">
        <f>IF(OR(3703581.02097="",139.07698="",92.09193=""),"-",(139.07698-92.09193)/3703581.02097*100)</f>
        <v>0.0012686383728063872</v>
      </c>
    </row>
    <row r="107" spans="1:7" ht="15.75">
      <c r="A107" s="29" t="s">
        <v>232</v>
      </c>
      <c r="B107" s="48">
        <f>IF(122.74016="","-",122.74016)</f>
        <v>122.74016</v>
      </c>
      <c r="C107" s="48">
        <f>IF(OR(314.62829="",122.74016=""),"-",122.74016/314.62829*100)</f>
        <v>39.01116457137405</v>
      </c>
      <c r="D107" s="48">
        <f>IF(314.62829="","-",314.62829/3703581.02097*100)</f>
        <v>0.00849524522937522</v>
      </c>
      <c r="E107" s="48">
        <f>IF(122.74016="","-",122.74016/3770696.04948*100)</f>
        <v>0.0032551061764028036</v>
      </c>
      <c r="F107" s="48">
        <f>IF(OR(3007940.19782="",34.10485="",314.62829=""),"-",(314.62829-34.10485)/3007940.19782*100)</f>
        <v>0.009326097646599122</v>
      </c>
      <c r="G107" s="48">
        <f>IF(OR(3703581.02097="",122.74016="",314.62829=""),"-",(122.74016-314.62829)/3703581.02097*100)</f>
        <v>-0.00518115113220185</v>
      </c>
    </row>
    <row r="108" spans="1:7" ht="15.75">
      <c r="A108" s="29" t="s">
        <v>270</v>
      </c>
      <c r="B108" s="48">
        <f>IF(117.76482="","-",117.76482)</f>
        <v>117.76482</v>
      </c>
      <c r="C108" s="48" t="s">
        <v>252</v>
      </c>
      <c r="D108" s="48">
        <f>IF(29.92275="","-",29.92275/3703581.02097*100)</f>
        <v>0.0008079410125112632</v>
      </c>
      <c r="E108" s="48">
        <f>IF(117.76482="","-",117.76482/3770696.04948*100)</f>
        <v>0.003123158654387972</v>
      </c>
      <c r="F108" s="48">
        <f>IF(OR(3007940.19782="",5.98921="",29.92275=""),"-",(29.92275-5.98921)/3007940.19782*100)</f>
        <v>0.0007956787178596767</v>
      </c>
      <c r="G108" s="48">
        <f>IF(OR(3703581.02097="",117.76482="",29.92275=""),"-",(117.76482-29.92275)/3703581.02097*100)</f>
        <v>0.002371814454783911</v>
      </c>
    </row>
    <row r="109" spans="1:7" ht="15.75">
      <c r="A109" s="29" t="s">
        <v>160</v>
      </c>
      <c r="B109" s="48">
        <f>IF(99.96311="","-",99.96311)</f>
        <v>99.96311</v>
      </c>
      <c r="C109" s="48">
        <f>IF(OR(138.13696="",99.96311=""),"-",99.96311/138.13696*100)</f>
        <v>72.36521637655846</v>
      </c>
      <c r="D109" s="48">
        <f>IF(138.13696="","-",138.13696/3703581.02097*100)</f>
        <v>0.003729821467867354</v>
      </c>
      <c r="E109" s="48">
        <f>IF(99.96311="","-",99.96311/3770696.04948*100)</f>
        <v>0.002651051919546405</v>
      </c>
      <c r="F109" s="48">
        <f>IF(OR(3007940.19782="",380.89392="",138.13696=""),"-",(138.13696-380.89392)/3007940.19782*100)</f>
        <v>-0.008070538110296798</v>
      </c>
      <c r="G109" s="48">
        <f>IF(OR(3703581.02097="",99.96311="",138.13696=""),"-",(99.96311-138.13696)/3703581.02097*100)</f>
        <v>-0.0010307280921858144</v>
      </c>
    </row>
    <row r="110" spans="1:7" ht="15.75">
      <c r="A110" s="29" t="s">
        <v>271</v>
      </c>
      <c r="B110" s="48">
        <f>IF(91.79719="","-",91.79719)</f>
        <v>91.79719</v>
      </c>
      <c r="C110" s="48">
        <f>IF(OR(80.34004="",91.79719=""),"-",91.79719/80.34004*100)</f>
        <v>114.26082187661346</v>
      </c>
      <c r="D110" s="48">
        <f>IF(80.34004="","-",80.34004/3703581.02097*100)</f>
        <v>0.0021692529350676457</v>
      </c>
      <c r="E110" s="48">
        <f>IF(91.79719="","-",91.79719/3770696.04948*100)</f>
        <v>0.0024344892506692325</v>
      </c>
      <c r="F110" s="48">
        <f>IF(OR(3007940.19782="",76.51369="",80.34004=""),"-",(80.34004-76.51369)/3007940.19782*100)</f>
        <v>0.00012720831360853337</v>
      </c>
      <c r="G110" s="48">
        <f>IF(OR(3703581.02097="",91.79719="",80.34004=""),"-",(91.79719-80.34004)/3703581.02097*100)</f>
        <v>0.00030935329712320625</v>
      </c>
    </row>
    <row r="111" spans="1:7" ht="15.75">
      <c r="A111" s="29" t="s">
        <v>272</v>
      </c>
      <c r="B111" s="48">
        <f>IF(88.87126="","-",88.87126)</f>
        <v>88.87126</v>
      </c>
      <c r="C111" s="48" t="s">
        <v>114</v>
      </c>
      <c r="D111" s="48">
        <f>IF(54.59364="","-",54.59364/3703581.02097*100)</f>
        <v>0.001474077107828505</v>
      </c>
      <c r="E111" s="48">
        <f>IF(88.87126="","-",88.87126/3770696.04948*100)</f>
        <v>0.0023568927018727975</v>
      </c>
      <c r="F111" s="48">
        <f>IF(OR(3007940.19782="",43.23141="",54.59364=""),"-",(54.59364-43.23141)/3007940.19782*100)</f>
        <v>0.0003777412199961543</v>
      </c>
      <c r="G111" s="48">
        <f>IF(OR(3703581.02097="",88.87126="",54.59364=""),"-",(88.87126-54.59364)/3703581.02097*100)</f>
        <v>0.0009255263974493098</v>
      </c>
    </row>
    <row r="112" spans="1:7" ht="15.75">
      <c r="A112" s="29" t="s">
        <v>273</v>
      </c>
      <c r="B112" s="48">
        <f>IF(88.83409="","-",88.83409)</f>
        <v>88.83409</v>
      </c>
      <c r="C112" s="48">
        <f>IF(OR(60.6802="",88.83409=""),"-",88.83409/60.6802*100)</f>
        <v>146.39716085312838</v>
      </c>
      <c r="D112" s="48">
        <f>IF(60.6802="","-",60.6802/3703581.02097*100)</f>
        <v>0.0016384196715671507</v>
      </c>
      <c r="E112" s="48">
        <f>IF(88.83409="","-",88.83409/3770696.04948*100)</f>
        <v>0.0023559069422275686</v>
      </c>
      <c r="F112" s="48">
        <f>IF(OR(3007940.19782="",37.97437="",60.6802=""),"-",(60.6802-37.97437)/3007940.19782*100)</f>
        <v>0.0007548630792745154</v>
      </c>
      <c r="G112" s="48">
        <f>IF(OR(3703581.02097="",88.83409="",60.6802=""),"-",(88.83409-60.6802)/3703581.02097*100)</f>
        <v>0.0007601802104663085</v>
      </c>
    </row>
    <row r="113" spans="1:7" ht="15.75">
      <c r="A113" s="29" t="s">
        <v>274</v>
      </c>
      <c r="B113" s="48">
        <f>IF(86.69123="","-",86.69123)</f>
        <v>86.69123</v>
      </c>
      <c r="C113" s="48" t="s">
        <v>279</v>
      </c>
      <c r="D113" s="48">
        <f>IF(17.76498="","-",17.76498/3703581.02097*100)</f>
        <v>0.000479670348762809</v>
      </c>
      <c r="E113" s="48">
        <f>IF(86.69123="","-",86.69123/3770696.04948*100)</f>
        <v>0.00229907764673727</v>
      </c>
      <c r="F113" s="48">
        <f>IF(OR(3007940.19782="",115.49561="",17.76498=""),"-",(17.76498-115.49561)/3007940.19782*100)</f>
        <v>-0.003249088198988468</v>
      </c>
      <c r="G113" s="48">
        <f>IF(OR(3703581.02097="",86.69123="",17.76498=""),"-",(86.69123-17.76498)/3703581.02097*100)</f>
        <v>0.0018610703967250493</v>
      </c>
    </row>
    <row r="114" spans="1:7" ht="15.75">
      <c r="A114" s="30" t="s">
        <v>275</v>
      </c>
      <c r="B114" s="49">
        <f>IF(80.6278="","-",80.6278)</f>
        <v>80.6278</v>
      </c>
      <c r="C114" s="49">
        <f>IF(OR(70.16857="",80.6278=""),"-",80.6278/70.16857*100)</f>
        <v>114.90586169847839</v>
      </c>
      <c r="D114" s="49">
        <f>IF(70.16857="","-",70.16857/3703581.02097*100)</f>
        <v>0.0018946141478396023</v>
      </c>
      <c r="E114" s="49">
        <f>IF(80.6278="","-",80.6278/3770696.04948*100)</f>
        <v>0.0021382736487370554</v>
      </c>
      <c r="F114" s="49">
        <f>IF(OR(3007940.19782="",57.08404="",70.16857=""),"-",(70.16857-57.08404)/3007940.19782*100)</f>
        <v>0.00043499967218374203</v>
      </c>
      <c r="G114" s="49">
        <f>IF(OR(3703581.02097="",80.6278="",70.16857=""),"-",(80.6278-70.16857)/3703581.02097*100)</f>
        <v>0.0002824085645967758</v>
      </c>
    </row>
    <row r="115" ht="15.75">
      <c r="A115" s="50" t="s">
        <v>21</v>
      </c>
    </row>
  </sheetData>
  <sheetProtection/>
  <mergeCells count="9"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136"/>
  <sheetViews>
    <sheetView zoomScale="95" zoomScaleNormal="95" zoomScalePageLayoutView="0" workbookViewId="0" topLeftCell="A1">
      <selection activeCell="J64" sqref="J64"/>
    </sheetView>
  </sheetViews>
  <sheetFormatPr defaultColWidth="9.00390625" defaultRowHeight="15.75"/>
  <cols>
    <col min="1" max="1" width="44.00390625" style="0" customWidth="1"/>
    <col min="2" max="2" width="13.75390625" style="0" customWidth="1"/>
    <col min="3" max="3" width="14.125" style="0" customWidth="1"/>
    <col min="4" max="4" width="17.75390625" style="0" customWidth="1"/>
  </cols>
  <sheetData>
    <row r="1" spans="1:4" ht="15.75">
      <c r="A1" s="80" t="s">
        <v>132</v>
      </c>
      <c r="B1" s="80"/>
      <c r="C1" s="80"/>
      <c r="D1" s="80"/>
    </row>
    <row r="2" ht="15.75">
      <c r="A2" s="4"/>
    </row>
    <row r="3" spans="1:4" ht="32.25" customHeight="1">
      <c r="A3" s="81"/>
      <c r="B3" s="79" t="s">
        <v>256</v>
      </c>
      <c r="C3" s="79"/>
      <c r="D3" s="83" t="s">
        <v>288</v>
      </c>
    </row>
    <row r="4" spans="1:4" ht="21" customHeight="1">
      <c r="A4" s="82"/>
      <c r="B4" s="19">
        <v>2018</v>
      </c>
      <c r="C4" s="18">
        <v>2019</v>
      </c>
      <c r="D4" s="84"/>
    </row>
    <row r="5" spans="1:4" ht="17.25" customHeight="1">
      <c r="A5" s="25" t="s">
        <v>159</v>
      </c>
      <c r="B5" s="32">
        <v>-1951348.89</v>
      </c>
      <c r="C5" s="32">
        <f>IF(-1983092.70094="","-",-1983092.70094)</f>
        <v>-1983092.70094</v>
      </c>
      <c r="D5" s="39">
        <f>IF(-1951348.88592="","-",-1983092.70094/-1951348.88592*100)</f>
        <v>101.62676265884836</v>
      </c>
    </row>
    <row r="6" spans="1:4" ht="15.75">
      <c r="A6" s="26" t="s">
        <v>162</v>
      </c>
      <c r="B6" s="27"/>
      <c r="C6" s="27"/>
      <c r="D6" s="63"/>
    </row>
    <row r="7" spans="1:4" ht="15.75">
      <c r="A7" s="24" t="s">
        <v>291</v>
      </c>
      <c r="B7" s="33">
        <f>IF(-660033.0377="","-",-660033.0377)</f>
        <v>-660033.0377</v>
      </c>
      <c r="C7" s="33">
        <f>IF(-713017.35946="","-",-713017.35946)</f>
        <v>-713017.35946</v>
      </c>
      <c r="D7" s="40">
        <f>IF(-660033.0377="","-",-713017.35946/-660033.0377*100)</f>
        <v>108.02752570456671</v>
      </c>
    </row>
    <row r="8" spans="1:4" ht="15.75">
      <c r="A8" s="29" t="s">
        <v>4</v>
      </c>
      <c r="B8" s="34">
        <f>IF(-168145.23134="","-",-168145.23134)</f>
        <v>-168145.23134</v>
      </c>
      <c r="C8" s="34">
        <f>IF(-158049.78162="","-",-158049.78162)</f>
        <v>-158049.78162</v>
      </c>
      <c r="D8" s="41">
        <f>IF(OR(-168145.23134="",-158049.78162="",-168145.23134=0),"-",-158049.78162/-168145.23134*100)</f>
        <v>93.99599403471254</v>
      </c>
    </row>
    <row r="9" spans="1:4" ht="15.75">
      <c r="A9" s="29" t="s">
        <v>3</v>
      </c>
      <c r="B9" s="34">
        <f>IF(-56473.94602="","-",-56473.94602)</f>
        <v>-56473.94602</v>
      </c>
      <c r="C9" s="34">
        <f>IF(-78882.91005="","-",-78882.91005)</f>
        <v>-78882.91005</v>
      </c>
      <c r="D9" s="41">
        <f>IF(OR(-56473.94602="",-78882.91005="",-56473.94602=0),"-",-78882.91005/-56473.94602*100)</f>
        <v>139.68018105563928</v>
      </c>
    </row>
    <row r="10" spans="1:4" ht="15.75">
      <c r="A10" s="29" t="s">
        <v>163</v>
      </c>
      <c r="B10" s="34">
        <f>IF(-58556.23883="","-",-58556.23883)</f>
        <v>-58556.23883</v>
      </c>
      <c r="C10" s="34">
        <f>IF(-73585.28273="","-",-73585.28273)</f>
        <v>-73585.28273</v>
      </c>
      <c r="D10" s="41">
        <f>IF(OR(-58556.23883="",-73585.28273="",-58556.23883=0),"-",-73585.28273/-58556.23883*100)</f>
        <v>125.66599938843785</v>
      </c>
    </row>
    <row r="11" spans="1:4" ht="15.75">
      <c r="A11" s="29" t="s">
        <v>50</v>
      </c>
      <c r="B11" s="34">
        <f>IF(-72546.19795="","-",-72546.19795)</f>
        <v>-72546.19795</v>
      </c>
      <c r="C11" s="34">
        <f>IF(-69454.48371="","-",-69454.48371)</f>
        <v>-69454.48371</v>
      </c>
      <c r="D11" s="41">
        <f>IF(OR(-72546.19795="",-69454.48371="",-72546.19795=0),"-",-69454.48371/-72546.19795*100)</f>
        <v>95.73828218795028</v>
      </c>
    </row>
    <row r="12" spans="1:4" ht="15.75">
      <c r="A12" s="29" t="s">
        <v>5</v>
      </c>
      <c r="B12" s="34">
        <f>IF(-68539.83087="","-",-68539.83087)</f>
        <v>-68539.83087</v>
      </c>
      <c r="C12" s="34">
        <f>IF(-58019.32869="","-",-58019.32869)</f>
        <v>-58019.32869</v>
      </c>
      <c r="D12" s="41">
        <f>IF(OR(-68539.83087="",-58019.32869="",-68539.83087=0),"-",-58019.32869/-68539.83087*100)</f>
        <v>84.65052795365906</v>
      </c>
    </row>
    <row r="13" spans="1:4" ht="15.75">
      <c r="A13" s="29" t="s">
        <v>8</v>
      </c>
      <c r="B13" s="34">
        <f>IF(-42780.63097="","-",-42780.63097)</f>
        <v>-42780.63097</v>
      </c>
      <c r="C13" s="34">
        <f>IF(-44334.78671="","-",-44334.78671)</f>
        <v>-44334.78671</v>
      </c>
      <c r="D13" s="41">
        <f>IF(OR(-42780.63097="",-44334.78671="",-42780.63097=0),"-",-44334.78671/-42780.63097*100)</f>
        <v>103.6328490364947</v>
      </c>
    </row>
    <row r="14" spans="1:4" ht="15.75">
      <c r="A14" s="29" t="s">
        <v>2</v>
      </c>
      <c r="B14" s="34">
        <f>IF(-52390.0979999999="","-",-52390.0979999999)</f>
        <v>-52390.0979999999</v>
      </c>
      <c r="C14" s="34">
        <f>IF(-39719.93179="","-",-39719.93179)</f>
        <v>-39719.93179</v>
      </c>
      <c r="D14" s="41">
        <f>IF(OR(-52390.0979999999="",-39719.93179="",-52390.0979999999=0),"-",-39719.93179/-52390.0979999999*100)</f>
        <v>75.81572340254084</v>
      </c>
    </row>
    <row r="15" spans="1:4" ht="15.75">
      <c r="A15" s="29" t="s">
        <v>7</v>
      </c>
      <c r="B15" s="34">
        <f>IF(-27827.51838="","-",-27827.51838)</f>
        <v>-27827.51838</v>
      </c>
      <c r="C15" s="34">
        <f>IF(-37949.23805="","-",-37949.23805)</f>
        <v>-37949.23805</v>
      </c>
      <c r="D15" s="41">
        <f>IF(OR(-27827.51838="",-37949.23805="",-27827.51838=0),"-",-37949.23805/-27827.51838*100)</f>
        <v>136.37305896911963</v>
      </c>
    </row>
    <row r="16" spans="1:4" ht="15.75">
      <c r="A16" s="29" t="s">
        <v>48</v>
      </c>
      <c r="B16" s="34">
        <f>IF(-32757.48308="","-",-32757.48308)</f>
        <v>-32757.48308</v>
      </c>
      <c r="C16" s="34">
        <f>IF(-33247.29012="","-",-33247.29012)</f>
        <v>-33247.29012</v>
      </c>
      <c r="D16" s="41">
        <f>IF(OR(-32757.48308="",-33247.29012="",-32757.48308=0),"-",-33247.29012/-32757.48308*100)</f>
        <v>101.49525236357077</v>
      </c>
    </row>
    <row r="17" spans="1:4" ht="15.75">
      <c r="A17" s="29" t="s">
        <v>49</v>
      </c>
      <c r="B17" s="34">
        <f>IF(-21375.0662="","-",-21375.0662)</f>
        <v>-21375.0662</v>
      </c>
      <c r="C17" s="34">
        <f>IF(-18249.11603="","-",-18249.11603)</f>
        <v>-18249.11603</v>
      </c>
      <c r="D17" s="41">
        <f>IF(OR(-21375.0662="",-18249.11603="",-21375.0662=0),"-",-18249.11603/-21375.0662*100)</f>
        <v>85.37571701181444</v>
      </c>
    </row>
    <row r="18" spans="1:4" ht="15.75">
      <c r="A18" s="29" t="s">
        <v>58</v>
      </c>
      <c r="B18" s="34">
        <f>IF(-14916.22166="","-",-14916.22166)</f>
        <v>-14916.22166</v>
      </c>
      <c r="C18" s="34">
        <f>IF(-15902.73802="","-",-15902.73802)</f>
        <v>-15902.73802</v>
      </c>
      <c r="D18" s="41">
        <f>IF(OR(-14916.22166="",-15902.73802="",-14916.22166=0),"-",-15902.73802/-14916.22166*100)</f>
        <v>106.61371480316284</v>
      </c>
    </row>
    <row r="19" spans="1:4" ht="15.75">
      <c r="A19" s="29" t="s">
        <v>10</v>
      </c>
      <c r="B19" s="34">
        <f>IF(-14417.38362="","-",-14417.38362)</f>
        <v>-14417.38362</v>
      </c>
      <c r="C19" s="34">
        <f>IF(-15019.31925="","-",-15019.31925)</f>
        <v>-15019.31925</v>
      </c>
      <c r="D19" s="41">
        <f>IF(OR(-14417.38362="",-15019.31925="",-14417.38362=0),"-",-15019.31925/-14417.38362*100)</f>
        <v>104.17506841647042</v>
      </c>
    </row>
    <row r="20" spans="1:4" ht="15.75">
      <c r="A20" s="29" t="s">
        <v>60</v>
      </c>
      <c r="B20" s="34">
        <f>IF(-14152.45956="","-",-14152.45956)</f>
        <v>-14152.45956</v>
      </c>
      <c r="C20" s="34">
        <f>IF(-14280.75967="","-",-14280.75967)</f>
        <v>-14280.75967</v>
      </c>
      <c r="D20" s="41">
        <f>IF(OR(-14152.45956="",-14280.75967="",-14152.45956=0),"-",-14280.75967/-14152.45956*100)</f>
        <v>100.90655698012112</v>
      </c>
    </row>
    <row r="21" spans="1:4" ht="15.75">
      <c r="A21" s="29" t="s">
        <v>52</v>
      </c>
      <c r="B21" s="34">
        <f>IF(-6526.05863="","-",-6526.05863)</f>
        <v>-6526.05863</v>
      </c>
      <c r="C21" s="34">
        <f>IF(-13190.23841="","-",-13190.23841)</f>
        <v>-13190.23841</v>
      </c>
      <c r="D21" s="41" t="s">
        <v>20</v>
      </c>
    </row>
    <row r="22" spans="1:4" ht="15.75">
      <c r="A22" s="29" t="s">
        <v>59</v>
      </c>
      <c r="B22" s="34">
        <f>IF(-1862.4432="","-",-1862.4432)</f>
        <v>-1862.4432</v>
      </c>
      <c r="C22" s="34">
        <f>IF(-12120.2744="","-",-12120.2744)</f>
        <v>-12120.2744</v>
      </c>
      <c r="D22" s="41" t="s">
        <v>295</v>
      </c>
    </row>
    <row r="23" spans="1:4" ht="15.75">
      <c r="A23" s="29" t="s">
        <v>57</v>
      </c>
      <c r="B23" s="34">
        <f>IF(-8717.51237="","-",-8717.51237)</f>
        <v>-8717.51237</v>
      </c>
      <c r="C23" s="34">
        <f>IF(-8655.95986="","-",-8655.95986)</f>
        <v>-8655.95986</v>
      </c>
      <c r="D23" s="41">
        <f>IF(OR(-8717.51237="",-8655.95986="",-8717.51237=0),"-",-8655.95986/-8717.51237*100)</f>
        <v>99.29392116251165</v>
      </c>
    </row>
    <row r="24" spans="1:4" ht="15.75">
      <c r="A24" s="29" t="s">
        <v>56</v>
      </c>
      <c r="B24" s="34">
        <f>IF(-9377.55642="","-",-9377.55642)</f>
        <v>-9377.55642</v>
      </c>
      <c r="C24" s="34">
        <f>IF(-7696.55035="","-",-7696.55035)</f>
        <v>-7696.55035</v>
      </c>
      <c r="D24" s="41">
        <f>IF(OR(-9377.55642="",-7696.55035="",-9377.55642=0),"-",-7696.55035/-9377.55642*100)</f>
        <v>82.07415669166403</v>
      </c>
    </row>
    <row r="25" spans="1:4" ht="15.75">
      <c r="A25" s="29" t="s">
        <v>6</v>
      </c>
      <c r="B25" s="34">
        <f>IF(-7664.76749="","-",-7664.76749)</f>
        <v>-7664.76749</v>
      </c>
      <c r="C25" s="34">
        <f>IF(-7037.675="","-",-7037.675)</f>
        <v>-7037.675</v>
      </c>
      <c r="D25" s="41">
        <f>IF(OR(-7664.76749="",-7037.675="",-7664.76749=0),"-",-7037.675/-7664.76749*100)</f>
        <v>91.81850603011573</v>
      </c>
    </row>
    <row r="26" spans="1:4" ht="15.75">
      <c r="A26" s="29" t="s">
        <v>51</v>
      </c>
      <c r="B26" s="34">
        <f>IF(-1830.72848="","-",-1830.72848)</f>
        <v>-1830.72848</v>
      </c>
      <c r="C26" s="34">
        <f>IF(-5737.24375="","-",-5737.24375)</f>
        <v>-5737.24375</v>
      </c>
      <c r="D26" s="41" t="s">
        <v>276</v>
      </c>
    </row>
    <row r="27" spans="1:4" ht="15.75">
      <c r="A27" s="29" t="s">
        <v>61</v>
      </c>
      <c r="B27" s="34">
        <f>IF(-4137.62949="","-",-4137.62949)</f>
        <v>-4137.62949</v>
      </c>
      <c r="C27" s="34">
        <f>IF(-4677.17054="","-",-4677.17054)</f>
        <v>-4677.17054</v>
      </c>
      <c r="D27" s="41">
        <f>IF(OR(-4137.62949="",-4677.17054="",-4137.62949=0),"-",-4677.17054/-4137.62949*100)</f>
        <v>113.03985896523568</v>
      </c>
    </row>
    <row r="28" spans="1:4" ht="15.75">
      <c r="A28" s="29" t="s">
        <v>165</v>
      </c>
      <c r="B28" s="34">
        <f>IF(-1817.56889="","-",-1817.56889)</f>
        <v>-1817.56889</v>
      </c>
      <c r="C28" s="34">
        <f>IF(-3018.35619="","-",-3018.35619)</f>
        <v>-3018.35619</v>
      </c>
      <c r="D28" s="41" t="s">
        <v>113</v>
      </c>
    </row>
    <row r="29" spans="1:4" ht="15.75">
      <c r="A29" s="29" t="s">
        <v>164</v>
      </c>
      <c r="B29" s="34">
        <f>IF(18698.44348="","-",18698.44348)</f>
        <v>18698.44348</v>
      </c>
      <c r="C29" s="34">
        <f>IF(-2332.59807="","-",-2332.59807)</f>
        <v>-2332.59807</v>
      </c>
      <c r="D29" s="41" t="s">
        <v>22</v>
      </c>
    </row>
    <row r="30" spans="1:4" ht="15.75">
      <c r="A30" s="29" t="s">
        <v>53</v>
      </c>
      <c r="B30" s="34">
        <f>IF(-3401.49802="","-",-3401.49802)</f>
        <v>-3401.49802</v>
      </c>
      <c r="C30" s="34">
        <f>IF(-1347.09657="","-",-1347.09657)</f>
        <v>-1347.09657</v>
      </c>
      <c r="D30" s="41">
        <f>IF(OR(-3401.49802="",-1347.09657="",-3401.49802=0),"-",-1347.09657/-3401.49802*100)</f>
        <v>39.60303848714279</v>
      </c>
    </row>
    <row r="31" spans="1:4" ht="15.75">
      <c r="A31" s="29" t="s">
        <v>62</v>
      </c>
      <c r="B31" s="34">
        <f>IF(-631.61755="","-",-631.61755)</f>
        <v>-631.61755</v>
      </c>
      <c r="C31" s="34">
        <f>IF(-1161.65726="","-",-1161.65726)</f>
        <v>-1161.65726</v>
      </c>
      <c r="D31" s="41" t="s">
        <v>112</v>
      </c>
    </row>
    <row r="32" spans="1:4" ht="15.75">
      <c r="A32" s="29" t="s">
        <v>54</v>
      </c>
      <c r="B32" s="34">
        <f>IF(-997.86725="","-",-997.86725)</f>
        <v>-997.86725</v>
      </c>
      <c r="C32" s="34">
        <f>IF(-792.53376="","-",-792.53376)</f>
        <v>-792.53376</v>
      </c>
      <c r="D32" s="41">
        <f>IF(OR(-997.86725="",-792.53376="",-997.86725=0),"-",-792.53376/-997.86725*100)</f>
        <v>79.42276490184442</v>
      </c>
    </row>
    <row r="33" spans="1:4" ht="15.75">
      <c r="A33" s="29" t="s">
        <v>63</v>
      </c>
      <c r="B33" s="34">
        <f>IF(511.89023="","-",511.89023)</f>
        <v>511.89023</v>
      </c>
      <c r="C33" s="34">
        <f>IF(388.3214="","-",388.3214)</f>
        <v>388.3214</v>
      </c>
      <c r="D33" s="41">
        <f>IF(OR(511.89023="",388.3214="",511.89023=0),"-",388.3214/511.89023*100)</f>
        <v>75.86028746827225</v>
      </c>
    </row>
    <row r="34" spans="1:4" ht="15.75">
      <c r="A34" s="29" t="s">
        <v>9</v>
      </c>
      <c r="B34" s="34">
        <f>IF(7369.0124="","-",7369.0124)</f>
        <v>7369.0124</v>
      </c>
      <c r="C34" s="34">
        <f>IF(3326.61746="","-",3326.61746)</f>
        <v>3326.61746</v>
      </c>
      <c r="D34" s="41">
        <f>IF(OR(7369.0124="",3326.61746="",7369.0124=0),"-",3326.61746/7369.0124*100)</f>
        <v>45.143328297289884</v>
      </c>
    </row>
    <row r="35" spans="1:4" ht="15.75">
      <c r="A35" s="29" t="s">
        <v>55</v>
      </c>
      <c r="B35" s="34">
        <f>IF(5231.17046="","-",5231.17046)</f>
        <v>5231.17046</v>
      </c>
      <c r="C35" s="34">
        <f>IF(7730.02228="","-",7730.02228)</f>
        <v>7730.02228</v>
      </c>
      <c r="D35" s="41">
        <f>IF(OR(5231.17046="",7730.02228="",5231.17046=0),"-",7730.02228/5231.17046*100)</f>
        <v>147.76850303593432</v>
      </c>
    </row>
    <row r="36" spans="1:4" ht="15.75">
      <c r="A36" s="24" t="s">
        <v>240</v>
      </c>
      <c r="B36" s="33">
        <f>IF(-612463.0847="","-",-612463.0847)</f>
        <v>-612463.0847</v>
      </c>
      <c r="C36" s="33">
        <f>IF(-655649.14927="","-",-655649.14927)</f>
        <v>-655649.14927</v>
      </c>
      <c r="D36" s="40">
        <f>IF(-612463.0847="","-",-655649.14927/-612463.0847*100)</f>
        <v>107.05121102787014</v>
      </c>
    </row>
    <row r="37" spans="1:4" ht="15.75">
      <c r="A37" s="29" t="s">
        <v>12</v>
      </c>
      <c r="B37" s="34">
        <f>IF(-310663.95696="","-",-310663.95696)</f>
        <v>-310663.95696</v>
      </c>
      <c r="C37" s="34">
        <f>IF(-327818.80623="","-",-327818.80623)</f>
        <v>-327818.80623</v>
      </c>
      <c r="D37" s="41">
        <f>IF(OR(-310663.95696="",-327818.80623="",-310663.95696=0),"-",-327818.80623/-310663.95696*100)</f>
        <v>105.52199535403741</v>
      </c>
    </row>
    <row r="38" spans="1:4" ht="15.75">
      <c r="A38" s="29" t="s">
        <v>166</v>
      </c>
      <c r="B38" s="34">
        <f>IF(-289799.55115="","-",-289799.55115)</f>
        <v>-289799.55115</v>
      </c>
      <c r="C38" s="34">
        <f>IF(-294952.59401="","-",-294952.59401)</f>
        <v>-294952.59401</v>
      </c>
      <c r="D38" s="41">
        <f>IF(OR(-289799.55115="",-294952.59401="",-289799.55115=0),"-",-294952.59401/-289799.55115*100)</f>
        <v>101.77814038688169</v>
      </c>
    </row>
    <row r="39" spans="1:4" ht="15.75">
      <c r="A39" s="29" t="s">
        <v>11</v>
      </c>
      <c r="B39" s="34">
        <f>IF(-12317.28856="","-",-12317.28856)</f>
        <v>-12317.28856</v>
      </c>
      <c r="C39" s="34">
        <f>IF(-31734.27787="","-",-31734.27787)</f>
        <v>-31734.27787</v>
      </c>
      <c r="D39" s="41" t="s">
        <v>267</v>
      </c>
    </row>
    <row r="40" spans="1:4" ht="15.75">
      <c r="A40" s="29" t="s">
        <v>15</v>
      </c>
      <c r="B40" s="34">
        <f>IF(-486.73866="","-",-486.73866)</f>
        <v>-486.73866</v>
      </c>
      <c r="C40" s="34">
        <f>IF(-3282.30446="","-",-3282.30446)</f>
        <v>-3282.30446</v>
      </c>
      <c r="D40" s="41" t="s">
        <v>296</v>
      </c>
    </row>
    <row r="41" spans="1:4" ht="15.75">
      <c r="A41" s="29" t="s">
        <v>16</v>
      </c>
      <c r="B41" s="34">
        <f>IF(-10734.25248="","-",-10734.25248)</f>
        <v>-10734.25248</v>
      </c>
      <c r="C41" s="34">
        <f>IF(-1626.53506="","-",-1626.53506)</f>
        <v>-1626.53506</v>
      </c>
      <c r="D41" s="41">
        <f>IF(OR(-10734.25248="",-1626.53506="",-10734.25248=0),"-",-1626.53506/-10734.25248*100)</f>
        <v>15.1527557510926</v>
      </c>
    </row>
    <row r="42" spans="1:4" ht="15.75">
      <c r="A42" s="29" t="s">
        <v>13</v>
      </c>
      <c r="B42" s="34">
        <f>IF(7824.1422="","-",7824.1422)</f>
        <v>7824.1422</v>
      </c>
      <c r="C42" s="34">
        <f>IF(-538.78441="","-",-538.78441)</f>
        <v>-538.78441</v>
      </c>
      <c r="D42" s="41" t="s">
        <v>22</v>
      </c>
    </row>
    <row r="43" spans="1:4" ht="15.75">
      <c r="A43" s="29" t="s">
        <v>18</v>
      </c>
      <c r="B43" s="34">
        <f>IF(254.36944="","-",254.36944)</f>
        <v>254.36944</v>
      </c>
      <c r="C43" s="34">
        <f>IF(123.79277="","-",123.79277)</f>
        <v>123.79277</v>
      </c>
      <c r="D43" s="41">
        <f>IF(OR(254.36944="",123.79277="",254.36944=0),"-",123.79277/254.36944*100)</f>
        <v>48.666526136158495</v>
      </c>
    </row>
    <row r="44" spans="1:4" ht="15.75">
      <c r="A44" s="29" t="s">
        <v>143</v>
      </c>
      <c r="B44" s="34">
        <f>IF(540.93451="","-",540.93451)</f>
        <v>540.93451</v>
      </c>
      <c r="C44" s="34">
        <f>IF(492.59423="","-",492.59423)</f>
        <v>492.59423</v>
      </c>
      <c r="D44" s="41">
        <f>IF(OR(540.93451="",492.59423="",540.93451=0),"-",492.59423/540.93451*100)</f>
        <v>91.06356146513927</v>
      </c>
    </row>
    <row r="45" spans="1:4" ht="15.75">
      <c r="A45" s="29" t="s">
        <v>17</v>
      </c>
      <c r="B45" s="34">
        <f>IF(597.76851="","-",597.76851)</f>
        <v>597.76851</v>
      </c>
      <c r="C45" s="34">
        <f>IF(940.08014="","-",940.08014)</f>
        <v>940.08014</v>
      </c>
      <c r="D45" s="41" t="s">
        <v>114</v>
      </c>
    </row>
    <row r="46" spans="1:4" ht="15.75">
      <c r="A46" s="29" t="s">
        <v>14</v>
      </c>
      <c r="B46" s="34">
        <f>IF(2321.48845="","-",2321.48845)</f>
        <v>2321.48845</v>
      </c>
      <c r="C46" s="34">
        <f>IF(2747.68563="","-",2747.68563)</f>
        <v>2747.68563</v>
      </c>
      <c r="D46" s="41">
        <f>IF(OR(2321.48845="",2747.68563="",2321.48845=0),"-",2747.68563/2321.48845*100)</f>
        <v>118.35878959466717</v>
      </c>
    </row>
    <row r="47" spans="1:4" ht="15.75">
      <c r="A47" s="24" t="s">
        <v>231</v>
      </c>
      <c r="B47" s="33">
        <f>IF(-678852.76352="","-",-678852.76352)</f>
        <v>-678852.76352</v>
      </c>
      <c r="C47" s="33">
        <f>IF(-614426.19221="","-",-614426.19221)</f>
        <v>-614426.19221</v>
      </c>
      <c r="D47" s="40">
        <f>IF(-678852.76352="","-",-614426.19221/-678852.76352*100)</f>
        <v>90.50949266584198</v>
      </c>
    </row>
    <row r="48" spans="1:4" ht="15.75">
      <c r="A48" s="29" t="s">
        <v>67</v>
      </c>
      <c r="B48" s="34">
        <f>IF(-375358.60906="","-",-375358.60906)</f>
        <v>-375358.60906</v>
      </c>
      <c r="C48" s="34">
        <f>IF(-370158.83972="","-",-370158.83972)</f>
        <v>-370158.83972</v>
      </c>
      <c r="D48" s="41">
        <f>IF(OR(-375358.60906="",-370158.83972="",-375358.60906=0),"-",-370158.83972/-375358.60906*100)</f>
        <v>98.61471957363077</v>
      </c>
    </row>
    <row r="49" spans="1:4" ht="15.75">
      <c r="A49" s="29" t="s">
        <v>64</v>
      </c>
      <c r="B49" s="34">
        <f>IF(-156467.27058="","-",-156467.27058)</f>
        <v>-156467.27058</v>
      </c>
      <c r="C49" s="34">
        <f>IF(-108939.01848="","-",-108939.01848)</f>
        <v>-108939.01848</v>
      </c>
      <c r="D49" s="41">
        <f>IF(OR(-156467.27058="",-108939.01848="",-156467.27058=0),"-",-108939.01848/-156467.27058*100)</f>
        <v>69.62415722865228</v>
      </c>
    </row>
    <row r="50" spans="1:4" ht="15.75">
      <c r="A50" s="29" t="s">
        <v>19</v>
      </c>
      <c r="B50" s="34">
        <f>IF(-34761.98524="","-",-34761.98524)</f>
        <v>-34761.98524</v>
      </c>
      <c r="C50" s="34">
        <f>IF(-35405.29586="","-",-35405.29586)</f>
        <v>-35405.29586</v>
      </c>
      <c r="D50" s="41">
        <f>IF(OR(-34761.98524="",-35405.29586="",-34761.98524=0),"-",-35405.29586/-34761.98524*100)</f>
        <v>101.85061530737822</v>
      </c>
    </row>
    <row r="51" spans="1:4" ht="15.75">
      <c r="A51" s="29" t="s">
        <v>84</v>
      </c>
      <c r="B51" s="34">
        <f>IF(-35303.49301="","-",-35303.49301)</f>
        <v>-35303.49301</v>
      </c>
      <c r="C51" s="34">
        <f>IF(-30691.74262="","-",-30691.74262)</f>
        <v>-30691.74262</v>
      </c>
      <c r="D51" s="41">
        <f>IF(OR(-35303.49301="",-30691.74262="",-35303.49301=0),"-",-30691.74262/-35303.49301*100)</f>
        <v>86.93684393016385</v>
      </c>
    </row>
    <row r="52" spans="1:4" ht="15.75">
      <c r="A52" s="29" t="s">
        <v>80</v>
      </c>
      <c r="B52" s="34">
        <f>IF(-23159.9049="","-",-23159.9049)</f>
        <v>-23159.9049</v>
      </c>
      <c r="C52" s="34">
        <f>IF(-30411.2925="","-",-30411.2925)</f>
        <v>-30411.2925</v>
      </c>
      <c r="D52" s="41">
        <f>IF(OR(-23159.9049="",-30411.2925="",-23159.9049=0),"-",-30411.2925/-23159.9049*100)</f>
        <v>131.31009229662249</v>
      </c>
    </row>
    <row r="53" spans="1:4" ht="15.75">
      <c r="A53" s="29" t="s">
        <v>44</v>
      </c>
      <c r="B53" s="34">
        <f>IF(-24870.04406="","-",-24870.04406)</f>
        <v>-24870.04406</v>
      </c>
      <c r="C53" s="34">
        <f>IF(-24401.80102="","-",-24401.80102)</f>
        <v>-24401.80102</v>
      </c>
      <c r="D53" s="41">
        <f>IF(OR(-24870.04406="",-24401.80102="",-24870.04406=0),"-",-24401.80102/-24870.04406*100)</f>
        <v>98.11724081038882</v>
      </c>
    </row>
    <row r="54" spans="1:4" ht="15.75">
      <c r="A54" s="29" t="s">
        <v>77</v>
      </c>
      <c r="B54" s="34">
        <f>IF(-19637.62658="","-",-19637.62658)</f>
        <v>-19637.62658</v>
      </c>
      <c r="C54" s="34">
        <f>IF(-24081.27049="","-",-24081.27049)</f>
        <v>-24081.27049</v>
      </c>
      <c r="D54" s="41">
        <f>IF(OR(-19637.62658="",-24081.27049="",-19637.62658=0),"-",-24081.27049/-19637.62658*100)</f>
        <v>122.62821269106747</v>
      </c>
    </row>
    <row r="55" spans="1:4" ht="15.75">
      <c r="A55" s="29" t="s">
        <v>78</v>
      </c>
      <c r="B55" s="34">
        <f>IF(-12593.83768="","-",-12593.83768)</f>
        <v>-12593.83768</v>
      </c>
      <c r="C55" s="34">
        <f>IF(-13018.74934="","-",-13018.74934)</f>
        <v>-13018.74934</v>
      </c>
      <c r="D55" s="41">
        <f>IF(OR(-12593.83768="",-13018.74934="",-12593.83768=0),"-",-13018.74934/-12593.83768*100)</f>
        <v>103.37396487708264</v>
      </c>
    </row>
    <row r="56" spans="1:4" ht="15.75">
      <c r="A56" s="29" t="s">
        <v>88</v>
      </c>
      <c r="B56" s="34">
        <f>IF(-9788.76453="","-",-9788.76453)</f>
        <v>-9788.76453</v>
      </c>
      <c r="C56" s="34">
        <f>IF(-11065.80593="","-",-11065.80593)</f>
        <v>-11065.80593</v>
      </c>
      <c r="D56" s="41">
        <f>IF(OR(-9788.76453="",-11065.80593="",-9788.76453=0),"-",-11065.80593/-9788.76453*100)</f>
        <v>113.04599161708511</v>
      </c>
    </row>
    <row r="57" spans="1:4" ht="15.75">
      <c r="A57" s="29" t="s">
        <v>74</v>
      </c>
      <c r="B57" s="34">
        <f>IF(-3305.45539="","-",-3305.45539)</f>
        <v>-3305.45539</v>
      </c>
      <c r="C57" s="34">
        <f>IF(-7996.51679="","-",-7996.51679)</f>
        <v>-7996.51679</v>
      </c>
      <c r="D57" s="41" t="s">
        <v>230</v>
      </c>
    </row>
    <row r="58" spans="1:4" ht="15.75">
      <c r="A58" s="29" t="s">
        <v>91</v>
      </c>
      <c r="B58" s="34">
        <f>IF(-4885.0684="","-",-4885.0684)</f>
        <v>-4885.0684</v>
      </c>
      <c r="C58" s="34">
        <f>IF(-6093.53857="","-",-6093.53857)</f>
        <v>-6093.53857</v>
      </c>
      <c r="D58" s="41">
        <f>IF(OR(-4885.0684="",-6093.53857="",-4885.0684=0),"-",-6093.53857/-4885.0684*100)</f>
        <v>124.73803990134509</v>
      </c>
    </row>
    <row r="59" spans="1:4" ht="15.75">
      <c r="A59" s="29" t="s">
        <v>79</v>
      </c>
      <c r="B59" s="34">
        <f>IF(-5857.70625="","-",-5857.70625)</f>
        <v>-5857.70625</v>
      </c>
      <c r="C59" s="34">
        <f>IF(-5791.82239="","-",-5791.82239)</f>
        <v>-5791.82239</v>
      </c>
      <c r="D59" s="41">
        <f>IF(OR(-5857.70625="",-5791.82239="",-5857.70625=0),"-",-5791.82239/-5857.70625*100)</f>
        <v>98.87526179722653</v>
      </c>
    </row>
    <row r="60" spans="1:4" ht="15.75">
      <c r="A60" s="29" t="s">
        <v>92</v>
      </c>
      <c r="B60" s="34">
        <f>IF(-7571.72078="","-",-7571.72078)</f>
        <v>-7571.72078</v>
      </c>
      <c r="C60" s="34">
        <f>IF(-5676.53903="","-",-5676.53903)</f>
        <v>-5676.53903</v>
      </c>
      <c r="D60" s="41">
        <f>IF(OR(-7571.72078="",-5676.53903="",-7571.72078=0),"-",-5676.53903/-7571.72078*100)</f>
        <v>74.97026362876524</v>
      </c>
    </row>
    <row r="61" spans="1:4" ht="15.75">
      <c r="A61" s="29" t="s">
        <v>86</v>
      </c>
      <c r="B61" s="34">
        <f>IF(-4938.78569="","-",-4938.78569)</f>
        <v>-4938.78569</v>
      </c>
      <c r="C61" s="34">
        <f>IF(-5450.605="","-",-5450.605)</f>
        <v>-5450.605</v>
      </c>
      <c r="D61" s="41">
        <f>IF(OR(-4938.78569="",-5450.605="",-4938.78569=0),"-",-5450.605/-4938.78569*100)</f>
        <v>110.36326218884788</v>
      </c>
    </row>
    <row r="62" spans="1:4" ht="15.75">
      <c r="A62" s="29" t="s">
        <v>93</v>
      </c>
      <c r="B62" s="34">
        <f>IF(-3576.68067="","-",-3576.68067)</f>
        <v>-3576.68067</v>
      </c>
      <c r="C62" s="34">
        <f>IF(-4821.10632="","-",-4821.10632)</f>
        <v>-4821.10632</v>
      </c>
      <c r="D62" s="41">
        <f>IF(OR(-3576.68067="",-4821.10632="",-3576.68067=0),"-",-4821.10632/-3576.68067*100)</f>
        <v>134.79275240973635</v>
      </c>
    </row>
    <row r="63" spans="1:4" ht="15.75">
      <c r="A63" s="29" t="s">
        <v>71</v>
      </c>
      <c r="B63" s="34">
        <f>IF(-4318.47561="","-",-4318.47561)</f>
        <v>-4318.47561</v>
      </c>
      <c r="C63" s="34">
        <f>IF(-4132.08176="","-",-4132.08176)</f>
        <v>-4132.08176</v>
      </c>
      <c r="D63" s="41">
        <f>IF(OR(-4318.47561="",-4132.08176="",-4318.47561=0),"-",-4132.08176/-4318.47561*100)</f>
        <v>95.68380449878238</v>
      </c>
    </row>
    <row r="64" spans="1:4" ht="15.75">
      <c r="A64" s="29" t="s">
        <v>82</v>
      </c>
      <c r="B64" s="34">
        <f>IF(-2891.38784="","-",-2891.38784)</f>
        <v>-2891.38784</v>
      </c>
      <c r="C64" s="34">
        <f>IF(-3723.67393="","-",-3723.67393)</f>
        <v>-3723.67393</v>
      </c>
      <c r="D64" s="41">
        <f>IF(OR(-2891.38784="",-3723.67393="",-2891.38784=0),"-",-3723.67393/-2891.38784*100)</f>
        <v>128.78500346740063</v>
      </c>
    </row>
    <row r="65" spans="1:4" ht="15.75">
      <c r="A65" s="29" t="s">
        <v>94</v>
      </c>
      <c r="B65" s="34">
        <f>IF(-2540.75798="","-",-2540.75798)</f>
        <v>-2540.75798</v>
      </c>
      <c r="C65" s="34">
        <f>IF(-3679.56094="","-",-3679.56094)</f>
        <v>-3679.56094</v>
      </c>
      <c r="D65" s="41">
        <f>IF(OR(-2540.75798="",-3679.56094="",-2540.75798=0),"-",-3679.56094/-2540.75798*100)</f>
        <v>144.82138672649177</v>
      </c>
    </row>
    <row r="66" spans="1:4" ht="15.75">
      <c r="A66" s="29" t="s">
        <v>89</v>
      </c>
      <c r="B66" s="34">
        <f>IF(-4125.32391="","-",-4125.32391)</f>
        <v>-4125.32391</v>
      </c>
      <c r="C66" s="34">
        <f>IF(-3031.7161="","-",-3031.7161)</f>
        <v>-3031.7161</v>
      </c>
      <c r="D66" s="41">
        <f>IF(OR(-4125.32391="",-3031.7161="",-4125.32391=0),"-",-3031.7161/-4125.32391*100)</f>
        <v>73.49037714713656</v>
      </c>
    </row>
    <row r="67" spans="1:4" ht="15.75">
      <c r="A67" s="29" t="s">
        <v>69</v>
      </c>
      <c r="B67" s="34">
        <f>IF(-2287.63106="","-",-2287.63106)</f>
        <v>-2287.63106</v>
      </c>
      <c r="C67" s="34">
        <f>IF(-2801.11679="","-",-2801.11679)</f>
        <v>-2801.11679</v>
      </c>
      <c r="D67" s="41">
        <f>IF(OR(-2287.63106="",-2801.11679="",-2287.63106=0),"-",-2801.11679/-2287.63106*100)</f>
        <v>122.44617757550466</v>
      </c>
    </row>
    <row r="68" spans="1:4" ht="15.75">
      <c r="A68" s="29" t="s">
        <v>90</v>
      </c>
      <c r="B68" s="34">
        <f>IF(-3534.10433="","-",-3534.10433)</f>
        <v>-3534.10433</v>
      </c>
      <c r="C68" s="34">
        <f>IF(-2780.8287="","-",-2780.8287)</f>
        <v>-2780.8287</v>
      </c>
      <c r="D68" s="41">
        <f>IF(OR(-3534.10433="",-2780.8287="",-3534.10433=0),"-",-2780.8287/-3534.10433*100)</f>
        <v>78.6855293544772</v>
      </c>
    </row>
    <row r="69" spans="1:4" ht="15.75">
      <c r="A69" s="29" t="s">
        <v>173</v>
      </c>
      <c r="B69" s="34">
        <f>IF(-1930.08434="","-",-1930.08434)</f>
        <v>-1930.08434</v>
      </c>
      <c r="C69" s="34">
        <f>IF(-2550.28628="","-",-2550.28628)</f>
        <v>-2550.28628</v>
      </c>
      <c r="D69" s="41">
        <f>IF(OR(-1930.08434="",-2550.28628="",-1930.08434=0),"-",-2550.28628/-1930.08434*100)</f>
        <v>132.1334113306157</v>
      </c>
    </row>
    <row r="70" spans="1:4" ht="15.75">
      <c r="A70" s="29" t="s">
        <v>70</v>
      </c>
      <c r="B70" s="34">
        <f>IF(-7821.10561="","-",-7821.10561)</f>
        <v>-7821.10561</v>
      </c>
      <c r="C70" s="34">
        <f>IF(-2394.30193="","-",-2394.30193)</f>
        <v>-2394.30193</v>
      </c>
      <c r="D70" s="41">
        <f>IF(OR(-7821.10561="",-2394.30193="",-7821.10561=0),"-",-2394.30193/-7821.10561*100)</f>
        <v>30.613343552587573</v>
      </c>
    </row>
    <row r="71" spans="1:4" ht="15.75">
      <c r="A71" s="29" t="s">
        <v>95</v>
      </c>
      <c r="B71" s="34">
        <f>IF(-1037.08116="","-",-1037.08116)</f>
        <v>-1037.08116</v>
      </c>
      <c r="C71" s="34">
        <f>IF(-2179.86804="","-",-2179.86804)</f>
        <v>-2179.86804</v>
      </c>
      <c r="D71" s="41" t="s">
        <v>287</v>
      </c>
    </row>
    <row r="72" spans="1:4" ht="15.75">
      <c r="A72" s="29" t="s">
        <v>151</v>
      </c>
      <c r="B72" s="34">
        <f>IF(-658.62223="","-",-658.62223)</f>
        <v>-658.62223</v>
      </c>
      <c r="C72" s="34">
        <f>IF(-2022.03647="","-",-2022.03647)</f>
        <v>-2022.03647</v>
      </c>
      <c r="D72" s="41" t="s">
        <v>276</v>
      </c>
    </row>
    <row r="73" spans="1:4" ht="15.75">
      <c r="A73" s="29" t="s">
        <v>97</v>
      </c>
      <c r="B73" s="34">
        <f>IF(-3217.4794="","-",-3217.4794)</f>
        <v>-3217.4794</v>
      </c>
      <c r="C73" s="34">
        <f>IF(-1921.23865="","-",-1921.23865)</f>
        <v>-1921.23865</v>
      </c>
      <c r="D73" s="41">
        <f>IF(OR(-3217.4794="",-1921.23865="",-3217.4794=0),"-",-1921.23865/-3217.4794*100)</f>
        <v>59.71253926287764</v>
      </c>
    </row>
    <row r="74" spans="1:4" ht="15.75">
      <c r="A74" s="29" t="s">
        <v>96</v>
      </c>
      <c r="B74" s="34">
        <f>IF(-1664.55491="","-",-1664.55491)</f>
        <v>-1664.55491</v>
      </c>
      <c r="C74" s="34">
        <f>IF(-1696.66277="","-",-1696.66277)</f>
        <v>-1696.66277</v>
      </c>
      <c r="D74" s="41">
        <f>IF(OR(-1664.55491="",-1696.66277="",-1664.55491=0),"-",-1696.66277/-1664.55491*100)</f>
        <v>101.92891564027767</v>
      </c>
    </row>
    <row r="75" spans="1:4" ht="15.75">
      <c r="A75" s="29" t="s">
        <v>83</v>
      </c>
      <c r="B75" s="34">
        <f>IF(6704.89544="","-",6704.89544)</f>
        <v>6704.89544</v>
      </c>
      <c r="C75" s="34">
        <f>IF(-1695.23543="","-",-1695.23543)</f>
        <v>-1695.23543</v>
      </c>
      <c r="D75" s="41" t="s">
        <v>22</v>
      </c>
    </row>
    <row r="76" spans="1:4" ht="15.75">
      <c r="A76" s="29" t="s">
        <v>46</v>
      </c>
      <c r="B76" s="34">
        <f>IF(-981.63129="","-",-981.63129)</f>
        <v>-981.63129</v>
      </c>
      <c r="C76" s="34">
        <f>IF(-1261.89274="","-",-1261.89274)</f>
        <v>-1261.89274</v>
      </c>
      <c r="D76" s="41">
        <f>IF(OR(-981.63129="",-1261.89274="",-981.63129=0),"-",-1261.89274/-981.63129*100)</f>
        <v>128.55058236784606</v>
      </c>
    </row>
    <row r="77" spans="1:4" ht="15.75">
      <c r="A77" s="29" t="s">
        <v>75</v>
      </c>
      <c r="B77" s="34">
        <f>IF(-1277.97815="","-",-1277.97815)</f>
        <v>-1277.97815</v>
      </c>
      <c r="C77" s="34">
        <f>IF(-1239.62662="","-",-1239.62662)</f>
        <v>-1239.62662</v>
      </c>
      <c r="D77" s="41">
        <f>IF(OR(-1277.97815="",-1239.62662="",-1277.97815=0),"-",-1239.62662/-1277.97815*100)</f>
        <v>96.99904650169489</v>
      </c>
    </row>
    <row r="78" spans="1:4" ht="15.75">
      <c r="A78" s="29" t="s">
        <v>47</v>
      </c>
      <c r="B78" s="34">
        <f>IF(-2455.74531="","-",-2455.74531)</f>
        <v>-2455.74531</v>
      </c>
      <c r="C78" s="34">
        <f>IF(-1124.40603="","-",-1124.40603)</f>
        <v>-1124.40603</v>
      </c>
      <c r="D78" s="41">
        <f>IF(OR(-2455.74531="",-1124.40603="",-2455.74531=0),"-",-1124.40603/-2455.74531*100)</f>
        <v>45.78675261727366</v>
      </c>
    </row>
    <row r="79" spans="1:4" ht="15.75">
      <c r="A79" s="29" t="s">
        <v>81</v>
      </c>
      <c r="B79" s="34">
        <f>IF(-1236.03067="","-",-1236.03067)</f>
        <v>-1236.03067</v>
      </c>
      <c r="C79" s="34">
        <f>IF(-1019.22986="","-",-1019.22986)</f>
        <v>-1019.22986</v>
      </c>
      <c r="D79" s="41">
        <f>IF(OR(-1236.03067="",-1019.22986="",-1236.03067=0),"-",-1019.22986/-1236.03067*100)</f>
        <v>82.45991662973864</v>
      </c>
    </row>
    <row r="80" spans="1:4" ht="15.75">
      <c r="A80" s="29" t="s">
        <v>98</v>
      </c>
      <c r="B80" s="34">
        <f>IF(-919.70882="","-",-919.70882)</f>
        <v>-919.70882</v>
      </c>
      <c r="C80" s="34">
        <f>IF(-870.04398="","-",-870.04398)</f>
        <v>-870.04398</v>
      </c>
      <c r="D80" s="41">
        <f>IF(OR(-919.70882="",-870.04398="",-919.70882=0),"-",-870.04398/-919.70882*100)</f>
        <v>94.59993870668764</v>
      </c>
    </row>
    <row r="81" spans="1:4" ht="15.75">
      <c r="A81" s="29" t="s">
        <v>105</v>
      </c>
      <c r="B81" s="34">
        <f>IF(-818.35621="","-",-818.35621)</f>
        <v>-818.35621</v>
      </c>
      <c r="C81" s="34">
        <f>IF(-788.23691="","-",-788.23691)</f>
        <v>-788.23691</v>
      </c>
      <c r="D81" s="41">
        <f>IF(OR(-818.35621="",-788.23691="",-818.35621=0),"-",-788.23691/-818.35621*100)</f>
        <v>96.31953669661772</v>
      </c>
    </row>
    <row r="82" spans="1:4" ht="15.75">
      <c r="A82" s="29" t="s">
        <v>100</v>
      </c>
      <c r="B82" s="34">
        <f>IF(-1276.68239="","-",-1276.68239)</f>
        <v>-1276.68239</v>
      </c>
      <c r="C82" s="34">
        <f>IF(-633.89178="","-",-633.89178)</f>
        <v>-633.89178</v>
      </c>
      <c r="D82" s="41">
        <f>IF(OR(-1276.68239="",-633.89178="",-1276.68239=0),"-",-633.89178/-1276.68239*100)</f>
        <v>49.65148614605705</v>
      </c>
    </row>
    <row r="83" spans="1:4" ht="15.75">
      <c r="A83" s="29" t="s">
        <v>167</v>
      </c>
      <c r="B83" s="34">
        <f>IF(-411.05289="","-",-411.05289)</f>
        <v>-411.05289</v>
      </c>
      <c r="C83" s="34">
        <f>IF(-625.41813="","-",-625.41813)</f>
        <v>-625.41813</v>
      </c>
      <c r="D83" s="41" t="s">
        <v>142</v>
      </c>
    </row>
    <row r="84" spans="1:4" ht="15.75">
      <c r="A84" s="29" t="s">
        <v>106</v>
      </c>
      <c r="B84" s="34">
        <f>IF(-441.9441="","-",-441.9441)</f>
        <v>-441.9441</v>
      </c>
      <c r="C84" s="34">
        <f>IF(-537.2184="","-",-537.2184)</f>
        <v>-537.2184</v>
      </c>
      <c r="D84" s="41">
        <f>IF(OR(-441.9441="",-537.2184="",-441.9441=0),"-",-537.2184/-441.9441*100)</f>
        <v>121.55799794589406</v>
      </c>
    </row>
    <row r="85" spans="1:4" ht="15.75">
      <c r="A85" s="29" t="s">
        <v>102</v>
      </c>
      <c r="B85" s="34">
        <f>IF(-359.38964="","-",-359.38964)</f>
        <v>-359.38964</v>
      </c>
      <c r="C85" s="34">
        <f>IF(-512.44546="","-",-512.44546)</f>
        <v>-512.44546</v>
      </c>
      <c r="D85" s="41">
        <f>IF(OR(-359.38964="",-512.44546="",-359.38964=0),"-",-512.44546/-359.38964*100)</f>
        <v>142.58771065298376</v>
      </c>
    </row>
    <row r="86" spans="1:4" ht="15.75">
      <c r="A86" s="29" t="s">
        <v>170</v>
      </c>
      <c r="B86" s="34">
        <f>IF(-429.27872="","-",-429.27872)</f>
        <v>-429.27872</v>
      </c>
      <c r="C86" s="34">
        <f>IF(-489.67881="","-",-489.67881)</f>
        <v>-489.67881</v>
      </c>
      <c r="D86" s="41">
        <f>IF(OR(-429.27872="",-489.67881="",-429.27872=0),"-",-489.67881/-429.27872*100)</f>
        <v>114.07013373502417</v>
      </c>
    </row>
    <row r="87" spans="1:4" ht="15.75">
      <c r="A87" s="29" t="s">
        <v>109</v>
      </c>
      <c r="B87" s="34">
        <f>IF(-542.89042="","-",-542.89042)</f>
        <v>-542.89042</v>
      </c>
      <c r="C87" s="34">
        <f>IF(-484.70631="","-",-484.70631)</f>
        <v>-484.70631</v>
      </c>
      <c r="D87" s="41">
        <f>IF(OR(-542.89042="",-484.70631="",-542.89042=0),"-",-484.70631/-542.89042*100)</f>
        <v>89.28253145450606</v>
      </c>
    </row>
    <row r="88" spans="1:4" ht="15.75">
      <c r="A88" s="29" t="s">
        <v>87</v>
      </c>
      <c r="B88" s="34">
        <f>IF(-662.98541="","-",-662.98541)</f>
        <v>-662.98541</v>
      </c>
      <c r="C88" s="34">
        <f>IF(-480.15635="","-",-480.15635)</f>
        <v>-480.15635</v>
      </c>
      <c r="D88" s="41">
        <f>IF(OR(-662.98541="",-480.15635="",-662.98541=0),"-",-480.15635/-662.98541*100)</f>
        <v>72.42336599835582</v>
      </c>
    </row>
    <row r="89" spans="1:4" ht="15.75">
      <c r="A89" s="29" t="s">
        <v>101</v>
      </c>
      <c r="B89" s="34">
        <f>IF(-826.19052="","-",-826.19052)</f>
        <v>-826.19052</v>
      </c>
      <c r="C89" s="34">
        <f>IF(-386.40176="","-",-386.40176)</f>
        <v>-386.40176</v>
      </c>
      <c r="D89" s="41">
        <f>IF(OR(-826.19052="",-386.40176="",-826.19052=0),"-",-386.40176/-826.19052*100)</f>
        <v>46.769086626653625</v>
      </c>
    </row>
    <row r="90" spans="1:4" ht="15.75">
      <c r="A90" s="29" t="s">
        <v>99</v>
      </c>
      <c r="B90" s="34">
        <f>IF(-883.66294="","-",-883.66294)</f>
        <v>-883.66294</v>
      </c>
      <c r="C90" s="34">
        <f>IF(-359.81237="","-",-359.81237)</f>
        <v>-359.81237</v>
      </c>
      <c r="D90" s="41">
        <f>IF(OR(-883.66294="",-359.81237="",-883.66294=0),"-",-359.81237/-883.66294*100)</f>
        <v>40.71828224458525</v>
      </c>
    </row>
    <row r="91" spans="1:4" ht="15.75">
      <c r="A91" s="29" t="s">
        <v>152</v>
      </c>
      <c r="B91" s="34">
        <f>IF(-975.74485="","-",-975.74485)</f>
        <v>-975.74485</v>
      </c>
      <c r="C91" s="34">
        <f>IF(-353.61115="","-",-353.61115)</f>
        <v>-353.61115</v>
      </c>
      <c r="D91" s="41">
        <f>IF(OR(-975.74485="",-353.61115="",-975.74485=0),"-",-353.61115/-975.74485*100)</f>
        <v>36.24012465963823</v>
      </c>
    </row>
    <row r="92" spans="1:4" ht="15.75">
      <c r="A92" s="29" t="s">
        <v>103</v>
      </c>
      <c r="B92" s="34">
        <f>IF(-368.52804="","-",-368.52804)</f>
        <v>-368.52804</v>
      </c>
      <c r="C92" s="34">
        <f>IF(-220.65248="","-",-220.65248)</f>
        <v>-220.65248</v>
      </c>
      <c r="D92" s="41">
        <f>IF(OR(-368.52804="",-220.65248="",-368.52804=0),"-",-220.65248/-368.52804*100)</f>
        <v>59.874000361003745</v>
      </c>
    </row>
    <row r="93" spans="1:4" ht="15.75">
      <c r="A93" s="29" t="s">
        <v>111</v>
      </c>
      <c r="B93" s="34">
        <f>IF(-347.52483="","-",-347.52483)</f>
        <v>-347.52483</v>
      </c>
      <c r="C93" s="34">
        <f>IF(-159.27867="","-",-159.27867)</f>
        <v>-159.27867</v>
      </c>
      <c r="D93" s="41">
        <f>IF(OR(-347.52483="",-159.27867="",-347.52483=0),"-",-159.27867/-347.52483*100)</f>
        <v>45.83231362202235</v>
      </c>
    </row>
    <row r="94" spans="1:4" ht="15.75">
      <c r="A94" s="29" t="s">
        <v>121</v>
      </c>
      <c r="B94" s="34">
        <f>IF(368.5925="","-",368.5925)</f>
        <v>368.5925</v>
      </c>
      <c r="C94" s="34">
        <f>IF(-151.48672="","-",-151.48672)</f>
        <v>-151.48672</v>
      </c>
      <c r="D94" s="41" t="s">
        <v>22</v>
      </c>
    </row>
    <row r="95" spans="1:4" ht="15.75">
      <c r="A95" s="29" t="s">
        <v>154</v>
      </c>
      <c r="B95" s="34">
        <f>IF(1620.78206="","-",1620.78206)</f>
        <v>1620.78206</v>
      </c>
      <c r="C95" s="34">
        <f>IF(-145.57731="","-",-145.57731)</f>
        <v>-145.57731</v>
      </c>
      <c r="D95" s="41" t="s">
        <v>22</v>
      </c>
    </row>
    <row r="96" spans="1:4" ht="15.75">
      <c r="A96" s="29" t="s">
        <v>153</v>
      </c>
      <c r="B96" s="34">
        <f>IF(-17.6066="","-",-17.6066)</f>
        <v>-17.6066</v>
      </c>
      <c r="C96" s="34">
        <f>IF(-143.74689="","-",-143.74689)</f>
        <v>-143.74689</v>
      </c>
      <c r="D96" s="41" t="s">
        <v>278</v>
      </c>
    </row>
    <row r="97" spans="1:4" ht="15.75">
      <c r="A97" s="29" t="s">
        <v>161</v>
      </c>
      <c r="B97" s="34">
        <f>IF(-92.09193="","-",-92.09193)</f>
        <v>-92.09193</v>
      </c>
      <c r="C97" s="34">
        <f>IF(-139.07698="","-",-139.07698)</f>
        <v>-139.07698</v>
      </c>
      <c r="D97" s="41" t="s">
        <v>142</v>
      </c>
    </row>
    <row r="98" spans="1:4" ht="15.75">
      <c r="A98" s="29" t="s">
        <v>232</v>
      </c>
      <c r="B98" s="34">
        <f>IF(-314.62829="","-",-314.62829)</f>
        <v>-314.62829</v>
      </c>
      <c r="C98" s="34">
        <f>IF(-122.74016="","-",-122.74016)</f>
        <v>-122.74016</v>
      </c>
      <c r="D98" s="41">
        <f>IF(OR(-314.62829="",-122.74016="",-314.62829=0),"-",-122.74016/-314.62829*100)</f>
        <v>39.01116457137405</v>
      </c>
    </row>
    <row r="99" spans="1:4" ht="15.75">
      <c r="A99" s="29" t="s">
        <v>271</v>
      </c>
      <c r="B99" s="34">
        <f>IF(-80.22854="","-",-80.22854)</f>
        <v>-80.22854</v>
      </c>
      <c r="C99" s="34">
        <f>IF(-91.79719="","-",-91.79719)</f>
        <v>-91.79719</v>
      </c>
      <c r="D99" s="41">
        <f>IF(OR(-80.22854="",-91.79719="",-80.22854=0),"-",-91.79719/-80.22854*100)</f>
        <v>114.41961925269986</v>
      </c>
    </row>
    <row r="100" spans="1:4" ht="15.75">
      <c r="A100" s="29" t="s">
        <v>272</v>
      </c>
      <c r="B100" s="34">
        <f>IF(-54.59364="","-",-54.59364)</f>
        <v>-54.59364</v>
      </c>
      <c r="C100" s="34">
        <f>IF(-88.87126="","-",-88.87126)</f>
        <v>-88.87126</v>
      </c>
      <c r="D100" s="41" t="s">
        <v>114</v>
      </c>
    </row>
    <row r="101" spans="1:4" ht="15.75">
      <c r="A101" s="29" t="s">
        <v>273</v>
      </c>
      <c r="B101" s="34">
        <f>IF(-59.36901="","-",-59.36901)</f>
        <v>-59.36901</v>
      </c>
      <c r="C101" s="34">
        <f>IF(-87.79611="","-",-87.79611)</f>
        <v>-87.79611</v>
      </c>
      <c r="D101" s="41">
        <f>IF(OR(-59.36901="",-87.79611="",-59.36901=0),"-",-87.79611/-59.36901*100)</f>
        <v>147.88205159560516</v>
      </c>
    </row>
    <row r="102" spans="1:4" ht="15.75">
      <c r="A102" s="29" t="s">
        <v>274</v>
      </c>
      <c r="B102" s="34">
        <f>IF(-17.76498="","-",-17.76498)</f>
        <v>-17.76498</v>
      </c>
      <c r="C102" s="34">
        <f>IF(-86.69123="","-",-86.69123)</f>
        <v>-86.69123</v>
      </c>
      <c r="D102" s="41" t="s">
        <v>279</v>
      </c>
    </row>
    <row r="103" spans="1:4" ht="15.75">
      <c r="A103" s="29" t="s">
        <v>275</v>
      </c>
      <c r="B103" s="34">
        <f>IF(-69.35982="","-",-69.35982)</f>
        <v>-69.35982</v>
      </c>
      <c r="C103" s="34">
        <f>IF(-80.6278="","-",-80.6278)</f>
        <v>-80.6278</v>
      </c>
      <c r="D103" s="41">
        <f>IF(OR(-69.35982="",-80.6278="",-69.35982=0),"-",-80.6278/-69.35982*100)</f>
        <v>116.24568806551112</v>
      </c>
    </row>
    <row r="104" spans="1:4" ht="15.75">
      <c r="A104" s="29" t="s">
        <v>292</v>
      </c>
      <c r="B104" s="34">
        <f>IF(-99.90948="","-",-99.90948)</f>
        <v>-99.90948</v>
      </c>
      <c r="C104" s="34">
        <f>IF(-63.86123="","-",-63.86123)</f>
        <v>-63.86123</v>
      </c>
      <c r="D104" s="41">
        <f>IF(OR(-99.90948="",-63.86123="",-99.90948=0),"-",-63.86123/-99.90948*100)</f>
        <v>63.91908955986959</v>
      </c>
    </row>
    <row r="105" spans="1:4" ht="15.75">
      <c r="A105" s="29" t="s">
        <v>270</v>
      </c>
      <c r="B105" s="34">
        <f>IF(-29.92275="","-",-29.92275)</f>
        <v>-29.92275</v>
      </c>
      <c r="C105" s="34">
        <f>IF(-57.18134="","-",-57.18134)</f>
        <v>-57.18134</v>
      </c>
      <c r="D105" s="41" t="s">
        <v>241</v>
      </c>
    </row>
    <row r="106" spans="1:4" ht="15.75">
      <c r="A106" s="29" t="s">
        <v>293</v>
      </c>
      <c r="B106" s="34">
        <f>IF(-29.64183="","-",-29.64183)</f>
        <v>-29.64183</v>
      </c>
      <c r="C106" s="34">
        <f>IF(-53.63812="","-",-53.63812)</f>
        <v>-53.63812</v>
      </c>
      <c r="D106" s="41" t="s">
        <v>112</v>
      </c>
    </row>
    <row r="107" spans="1:4" ht="15.75">
      <c r="A107" s="29" t="s">
        <v>160</v>
      </c>
      <c r="B107" s="34">
        <f>IF(298.80415="","-",298.80415)</f>
        <v>298.80415</v>
      </c>
      <c r="C107" s="34">
        <f>IF(33.51149="","-",33.51149)</f>
        <v>33.51149</v>
      </c>
      <c r="D107" s="41">
        <f>IF(OR(298.80415="",33.51149="",298.80415=0),"-",33.51149/298.80415*100)</f>
        <v>11.215202332363859</v>
      </c>
    </row>
    <row r="108" spans="1:4" ht="15.75">
      <c r="A108" s="29" t="s">
        <v>294</v>
      </c>
      <c r="B108" s="34">
        <f>IF(134.90109="","-",134.90109)</f>
        <v>134.90109</v>
      </c>
      <c r="C108" s="34">
        <f>IF(43.23246="","-",43.23246)</f>
        <v>43.23246</v>
      </c>
      <c r="D108" s="41">
        <f>IF(OR(134.90109="",43.23246="",134.90109=0),"-",43.23246/134.90109*100)</f>
        <v>32.047524597466186</v>
      </c>
    </row>
    <row r="109" spans="1:4" ht="15.75">
      <c r="A109" s="29" t="s">
        <v>260</v>
      </c>
      <c r="B109" s="34">
        <f>IF(77.69399="","-",77.69399)</f>
        <v>77.69399</v>
      </c>
      <c r="C109" s="34">
        <f>IF(80.16918="","-",80.16918)</f>
        <v>80.16918</v>
      </c>
      <c r="D109" s="41">
        <f>IF(OR(77.69399="",80.16918="",77.69399=0),"-",80.16918/77.69399*100)</f>
        <v>103.18581913478764</v>
      </c>
    </row>
    <row r="110" spans="1:4" ht="15.75">
      <c r="A110" s="29" t="s">
        <v>239</v>
      </c>
      <c r="B110" s="34">
        <f>IF(65.856="","-",65.856)</f>
        <v>65.856</v>
      </c>
      <c r="C110" s="34">
        <f>IF(88.5175="","-",88.5175)</f>
        <v>88.5175</v>
      </c>
      <c r="D110" s="41">
        <f>IF(OR(65.856="",88.5175="",65.856=0),"-",88.5175/65.856*100)</f>
        <v>134.41068391642372</v>
      </c>
    </row>
    <row r="111" spans="1:4" ht="15.75">
      <c r="A111" s="29" t="s">
        <v>172</v>
      </c>
      <c r="B111" s="34">
        <f>IF(48.96218="","-",48.96218)</f>
        <v>48.96218</v>
      </c>
      <c r="C111" s="34">
        <f>IF(89.75482="","-",89.75482)</f>
        <v>89.75482</v>
      </c>
      <c r="D111" s="41" t="s">
        <v>112</v>
      </c>
    </row>
    <row r="112" spans="1:4" ht="15.75">
      <c r="A112" s="29" t="s">
        <v>259</v>
      </c>
      <c r="B112" s="34">
        <f>IF(55.6754="","-",55.6754)</f>
        <v>55.6754</v>
      </c>
      <c r="C112" s="34">
        <f>IF(97.79062="","-",97.79062)</f>
        <v>97.79062</v>
      </c>
      <c r="D112" s="41" t="s">
        <v>112</v>
      </c>
    </row>
    <row r="113" spans="1:4" ht="15.75">
      <c r="A113" s="29" t="s">
        <v>116</v>
      </c>
      <c r="B113" s="34">
        <f>IF(249.37911="","-",249.37911)</f>
        <v>249.37911</v>
      </c>
      <c r="C113" s="34">
        <f>IF(108.61484="","-",108.61484)</f>
        <v>108.61484</v>
      </c>
      <c r="D113" s="41">
        <f>IF(OR(249.37911="",108.61484="",249.37911=0),"-",108.61484/249.37911*100)</f>
        <v>43.554105233593944</v>
      </c>
    </row>
    <row r="114" spans="1:4" ht="15.75">
      <c r="A114" s="29" t="s">
        <v>171</v>
      </c>
      <c r="B114" s="34">
        <f>IF(217.64513="","-",217.64513)</f>
        <v>217.64513</v>
      </c>
      <c r="C114" s="34">
        <f>IF(189.60173="","-",189.60173)</f>
        <v>189.60173</v>
      </c>
      <c r="D114" s="41">
        <f>IF(OR(217.64513="",189.60173="",217.64513=0),"-",189.60173/217.64513*100)</f>
        <v>87.11508040634772</v>
      </c>
    </row>
    <row r="115" spans="1:4" ht="15.75">
      <c r="A115" s="29" t="s">
        <v>146</v>
      </c>
      <c r="B115" s="34">
        <f>IF(99.05="","-",99.05)</f>
        <v>99.05</v>
      </c>
      <c r="C115" s="34">
        <f>IF(256.69959="","-",256.69959)</f>
        <v>256.69959</v>
      </c>
      <c r="D115" s="41" t="s">
        <v>267</v>
      </c>
    </row>
    <row r="116" spans="1:4" ht="15.75">
      <c r="A116" s="29" t="s">
        <v>155</v>
      </c>
      <c r="B116" s="34">
        <f>IF(7.147="","-",7.147)</f>
        <v>7.147</v>
      </c>
      <c r="C116" s="34">
        <f>IF(274.91213="","-",274.91213)</f>
        <v>274.91213</v>
      </c>
      <c r="D116" s="41" t="s">
        <v>242</v>
      </c>
    </row>
    <row r="117" spans="1:4" ht="15.75">
      <c r="A117" s="29" t="s">
        <v>156</v>
      </c>
      <c r="B117" s="34">
        <f>IF(337.26516="","-",337.26516)</f>
        <v>337.26516</v>
      </c>
      <c r="C117" s="34">
        <f>IF(303.25887="","-",303.25887)</f>
        <v>303.25887</v>
      </c>
      <c r="D117" s="41">
        <f>IF(OR(337.26516="",303.25887="",337.26516=0),"-",303.25887/337.26516*100)</f>
        <v>89.91704627895749</v>
      </c>
    </row>
    <row r="118" spans="1:4" ht="15.75">
      <c r="A118" s="29" t="s">
        <v>148</v>
      </c>
      <c r="B118" s="34">
        <f>IF(19.60012="","-",19.60012)</f>
        <v>19.60012</v>
      </c>
      <c r="C118" s="34">
        <f>IF(378.20273="","-",378.20273)</f>
        <v>378.20273</v>
      </c>
      <c r="D118" s="41" t="s">
        <v>251</v>
      </c>
    </row>
    <row r="119" spans="1:4" ht="15.75">
      <c r="A119" s="29" t="s">
        <v>149</v>
      </c>
      <c r="B119" s="34">
        <f>IF(95.43029="","-",95.43029)</f>
        <v>95.43029</v>
      </c>
      <c r="C119" s="34">
        <f>IF(390.55589="","-",390.55589)</f>
        <v>390.55589</v>
      </c>
      <c r="D119" s="41" t="s">
        <v>244</v>
      </c>
    </row>
    <row r="120" spans="1:4" ht="15.75">
      <c r="A120" s="29" t="s">
        <v>104</v>
      </c>
      <c r="B120" s="34">
        <f>IF(353.96889="","-",353.96889)</f>
        <v>353.96889</v>
      </c>
      <c r="C120" s="34">
        <f>IF(392.70711="","-",392.70711)</f>
        <v>392.70711</v>
      </c>
      <c r="D120" s="41">
        <f>IF(OR(353.96889="",392.70711="",353.96889=0),"-",392.70711/353.96889*100)</f>
        <v>110.94396177019962</v>
      </c>
    </row>
    <row r="121" spans="1:4" ht="15.75">
      <c r="A121" s="29" t="s">
        <v>45</v>
      </c>
      <c r="B121" s="34">
        <f>IF(3953.7757="","-",3953.7757)</f>
        <v>3953.7757</v>
      </c>
      <c r="C121" s="34">
        <f>IF(470.46615="","-",470.46615)</f>
        <v>470.46615</v>
      </c>
      <c r="D121" s="41">
        <f>IF(OR(3953.7757="",470.46615="",3953.7757=0),"-",470.46615/3953.7757*100)</f>
        <v>11.899161351009365</v>
      </c>
    </row>
    <row r="122" spans="1:4" ht="15.75">
      <c r="A122" s="29" t="s">
        <v>110</v>
      </c>
      <c r="B122" s="34">
        <f>IF(-480.23286="","-",-480.23286)</f>
        <v>-480.23286</v>
      </c>
      <c r="C122" s="34">
        <f>IF(552.5236="","-",552.5236)</f>
        <v>552.5236</v>
      </c>
      <c r="D122" s="41" t="s">
        <v>22</v>
      </c>
    </row>
    <row r="123" spans="1:4" ht="15.75">
      <c r="A123" s="29" t="s">
        <v>147</v>
      </c>
      <c r="B123" s="34" t="str">
        <f>IF(OR(0="",868.25454="",0=0),"-",868.25454/0*100)</f>
        <v>-</v>
      </c>
      <c r="C123" s="34">
        <f>IF(868.25454="","-",868.25454)</f>
        <v>868.25454</v>
      </c>
      <c r="D123" s="64" t="s">
        <v>22</v>
      </c>
    </row>
    <row r="124" spans="1:4" ht="15.75">
      <c r="A124" s="29" t="s">
        <v>118</v>
      </c>
      <c r="B124" s="34">
        <f>IF(394.05053="","-",394.05053)</f>
        <v>394.05053</v>
      </c>
      <c r="C124" s="34">
        <f>IF(935.49798="","-",935.49798)</f>
        <v>935.49798</v>
      </c>
      <c r="D124" s="41" t="s">
        <v>230</v>
      </c>
    </row>
    <row r="125" spans="1:4" ht="15.75">
      <c r="A125" s="29" t="s">
        <v>72</v>
      </c>
      <c r="B125" s="34">
        <f>IF(2195.19259="","-",2195.19259)</f>
        <v>2195.19259</v>
      </c>
      <c r="C125" s="34">
        <f>IF(940.00108="","-",940.00108)</f>
        <v>940.00108</v>
      </c>
      <c r="D125" s="41">
        <f>IF(OR(2195.19259="",940.00108="",2195.19259=0),"-",940.00108/2195.19259*100)</f>
        <v>42.82089345062886</v>
      </c>
    </row>
    <row r="126" spans="1:4" ht="15.75">
      <c r="A126" s="29" t="s">
        <v>85</v>
      </c>
      <c r="B126" s="34">
        <f>IF(963.18942="","-",963.18942)</f>
        <v>963.18942</v>
      </c>
      <c r="C126" s="34">
        <f>IF(983.52684="","-",983.52684)</f>
        <v>983.52684</v>
      </c>
      <c r="D126" s="41">
        <f>IF(OR(963.18942="",983.52684="",963.18942=0),"-",983.52684/963.18942*100)</f>
        <v>102.11146629912109</v>
      </c>
    </row>
    <row r="127" spans="1:4" ht="15.75">
      <c r="A127" s="29" t="s">
        <v>169</v>
      </c>
      <c r="B127" s="34">
        <f>IF(69.65623="","-",69.65623)</f>
        <v>69.65623</v>
      </c>
      <c r="C127" s="34">
        <f>IF(1001.23142="","-",1001.23142)</f>
        <v>1001.23142</v>
      </c>
      <c r="D127" s="41" t="s">
        <v>233</v>
      </c>
    </row>
    <row r="128" spans="1:4" ht="15.75">
      <c r="A128" s="29" t="s">
        <v>76</v>
      </c>
      <c r="B128" s="34">
        <f>IF(-2701.4739="","-",-2701.4739)</f>
        <v>-2701.4739</v>
      </c>
      <c r="C128" s="34">
        <f>IF(1918.91818="","-",1918.91818)</f>
        <v>1918.91818</v>
      </c>
      <c r="D128" s="41" t="s">
        <v>22</v>
      </c>
    </row>
    <row r="129" spans="1:4" ht="15.75">
      <c r="A129" s="29" t="s">
        <v>145</v>
      </c>
      <c r="B129" s="34">
        <f>IF(6.34531="","-",6.34531)</f>
        <v>6.34531</v>
      </c>
      <c r="C129" s="34">
        <f>IF(3019.42341="","-",3019.42341)</f>
        <v>3019.42341</v>
      </c>
      <c r="D129" s="41" t="s">
        <v>297</v>
      </c>
    </row>
    <row r="130" spans="1:4" ht="15.75">
      <c r="A130" s="29" t="s">
        <v>73</v>
      </c>
      <c r="B130" s="34">
        <f>IF(-547.71089="","-",-547.71089)</f>
        <v>-547.71089</v>
      </c>
      <c r="C130" s="34">
        <f>IF(5133.46031="","-",5133.46031)</f>
        <v>5133.46031</v>
      </c>
      <c r="D130" s="41" t="s">
        <v>22</v>
      </c>
    </row>
    <row r="131" spans="1:4" ht="15.75">
      <c r="A131" s="29" t="s">
        <v>65</v>
      </c>
      <c r="B131" s="34">
        <f>IF(9406.80035="","-",9406.80035)</f>
        <v>9406.80035</v>
      </c>
      <c r="C131" s="34">
        <f>IF(7363.67121="","-",7363.67121)</f>
        <v>7363.67121</v>
      </c>
      <c r="D131" s="41">
        <f>IF(OR(9406.80035="",7363.67121="",9406.80035=0),"-",7363.67121/9406.80035*100)</f>
        <v>78.28029655163246</v>
      </c>
    </row>
    <row r="132" spans="1:4" ht="15.75">
      <c r="A132" s="29" t="s">
        <v>144</v>
      </c>
      <c r="B132" s="34">
        <f>IF(2268.91525="","-",2268.91525)</f>
        <v>2268.91525</v>
      </c>
      <c r="C132" s="34">
        <f>IF(8943.96455="","-",8943.96455)</f>
        <v>8943.96455</v>
      </c>
      <c r="D132" s="41" t="s">
        <v>252</v>
      </c>
    </row>
    <row r="133" spans="1:4" ht="15.75">
      <c r="A133" s="29" t="s">
        <v>68</v>
      </c>
      <c r="B133" s="34">
        <f>IF(11001.84143="","-",11001.84143)</f>
        <v>11001.84143</v>
      </c>
      <c r="C133" s="34">
        <f>IF(9214.23333="","-",9214.23333)</f>
        <v>9214.23333</v>
      </c>
      <c r="D133" s="41">
        <f>IF(OR(11001.84143="",9214.23333="",11001.84143=0),"-",9214.23333/11001.84143*100)</f>
        <v>83.75173727622067</v>
      </c>
    </row>
    <row r="134" spans="1:4" ht="15.75">
      <c r="A134" s="43" t="s">
        <v>66</v>
      </c>
      <c r="B134" s="44">
        <f>IF(12013.69607="","-",12013.69607)</f>
        <v>12013.69607</v>
      </c>
      <c r="C134" s="44">
        <f>IF(11040.53228="","-",11040.53228)</f>
        <v>11040.53228</v>
      </c>
      <c r="D134" s="65">
        <f>IF(OR(12013.69607="",11040.53228="",12013.69607=0),"-",11040.53228/12013.69607*100)</f>
        <v>91.89954711414636</v>
      </c>
    </row>
    <row r="135" spans="1:4" ht="15.75">
      <c r="A135" s="30" t="s">
        <v>168</v>
      </c>
      <c r="B135" s="35">
        <f>IF(14239.83498="","-",14239.83498)</f>
        <v>14239.83498</v>
      </c>
      <c r="C135" s="35">
        <f>IF(29898.85555="","-",29898.85555)</f>
        <v>29898.85555</v>
      </c>
      <c r="D135" s="66" t="s">
        <v>287</v>
      </c>
    </row>
    <row r="136" ht="15.75">
      <c r="A136" s="50" t="s">
        <v>21</v>
      </c>
    </row>
  </sheetData>
  <sheetProtection/>
  <mergeCells count="4">
    <mergeCell ref="A1:D1"/>
    <mergeCell ref="A3:A4"/>
    <mergeCell ref="D3:D4"/>
    <mergeCell ref="B3:C3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37"/>
  <sheetViews>
    <sheetView zoomScalePageLayoutView="0" workbookViewId="0" topLeftCell="A1">
      <selection activeCell="H32" sqref="H32"/>
    </sheetView>
  </sheetViews>
  <sheetFormatPr defaultColWidth="9.00390625" defaultRowHeight="15.75"/>
  <cols>
    <col min="1" max="1" width="32.625" style="0" customWidth="1"/>
    <col min="2" max="2" width="13.75390625" style="0" customWidth="1"/>
    <col min="3" max="3" width="14.625" style="0" customWidth="1"/>
    <col min="4" max="5" width="10.50390625" style="0" customWidth="1"/>
  </cols>
  <sheetData>
    <row r="1" spans="1:5" ht="15.75">
      <c r="A1" s="67" t="s">
        <v>133</v>
      </c>
      <c r="B1" s="67"/>
      <c r="C1" s="67"/>
      <c r="D1" s="67"/>
      <c r="E1" s="67"/>
    </row>
    <row r="2" spans="1:5" ht="15.75">
      <c r="A2" s="9"/>
      <c r="B2" s="9"/>
      <c r="C2" s="9"/>
      <c r="D2" s="9"/>
      <c r="E2" s="9"/>
    </row>
    <row r="3" spans="1:6" ht="15.75" customHeight="1">
      <c r="A3" s="68"/>
      <c r="B3" s="79" t="s">
        <v>253</v>
      </c>
      <c r="C3" s="79"/>
      <c r="D3" s="71" t="s">
        <v>117</v>
      </c>
      <c r="E3" s="85"/>
      <c r="F3" s="1"/>
    </row>
    <row r="4" spans="1:6" ht="18" customHeight="1">
      <c r="A4" s="69"/>
      <c r="B4" s="75" t="s">
        <v>141</v>
      </c>
      <c r="C4" s="77" t="s">
        <v>254</v>
      </c>
      <c r="D4" s="79" t="s">
        <v>255</v>
      </c>
      <c r="E4" s="71"/>
      <c r="F4" s="1"/>
    </row>
    <row r="5" spans="1:6" ht="22.5" customHeight="1">
      <c r="A5" s="70"/>
      <c r="B5" s="76"/>
      <c r="C5" s="78"/>
      <c r="D5" s="21">
        <v>2018</v>
      </c>
      <c r="E5" s="20">
        <v>2019</v>
      </c>
      <c r="F5" s="1"/>
    </row>
    <row r="6" spans="1:5" ht="15.75" customHeight="1">
      <c r="A6" s="25" t="s">
        <v>290</v>
      </c>
      <c r="B6" s="56">
        <f>IF(1787603.34854="","-",1787603.34854)</f>
        <v>1787603.34854</v>
      </c>
      <c r="C6" s="32">
        <f>IF(1752232.13505="","-",1787603.34854/1752232.13505*100)</f>
        <v>102.01863741581197</v>
      </c>
      <c r="D6" s="32">
        <v>100</v>
      </c>
      <c r="E6" s="32">
        <v>100</v>
      </c>
    </row>
    <row r="7" spans="1:5" ht="15.75" customHeight="1">
      <c r="A7" s="26" t="s">
        <v>157</v>
      </c>
      <c r="B7" s="28"/>
      <c r="C7" s="57"/>
      <c r="D7" s="28"/>
      <c r="E7" s="28"/>
    </row>
    <row r="8" spans="1:5" ht="15.75">
      <c r="A8" s="58" t="s">
        <v>123</v>
      </c>
      <c r="B8" s="34">
        <f>IF(120718.84288="","-",120718.84288)</f>
        <v>120718.84288</v>
      </c>
      <c r="C8" s="59">
        <v>98.95</v>
      </c>
      <c r="D8" s="34">
        <f>IF(121998.91973="","-",121998.91973/1752232.13505*100)</f>
        <v>6.962486150644576</v>
      </c>
      <c r="E8" s="34">
        <f>IF(120718.84288="","-",120718.84288/1787603.34854*100)</f>
        <v>6.753111252482014</v>
      </c>
    </row>
    <row r="9" spans="1:5" ht="15.75">
      <c r="A9" s="58" t="s">
        <v>124</v>
      </c>
      <c r="B9" s="34">
        <f>IF(80903.02852="","-",80903.02852)</f>
        <v>80903.02852</v>
      </c>
      <c r="C9" s="59">
        <v>123.47</v>
      </c>
      <c r="D9" s="34">
        <f>IF(65524.15099="","-",65524.15099/1752232.13505*100)</f>
        <v>3.7394674871734543</v>
      </c>
      <c r="E9" s="34">
        <f>IF(80903.02852="","-",80903.02852/1787603.34854*100)</f>
        <v>4.525781884783133</v>
      </c>
    </row>
    <row r="10" spans="1:5" ht="15.75">
      <c r="A10" s="58" t="s">
        <v>125</v>
      </c>
      <c r="B10" s="34">
        <f>IF(1555332.81756="","-",1555332.81756)</f>
        <v>1555332.81756</v>
      </c>
      <c r="C10" s="59">
        <v>101.82</v>
      </c>
      <c r="D10" s="34">
        <f>IF(1527565.2067="","-",1527565.2067/1752232.13505*100)</f>
        <v>87.1782440319422</v>
      </c>
      <c r="E10" s="34">
        <f>IF(1555332.81756="","-",1555332.81756/1787603.34854*100)</f>
        <v>87.00659566510079</v>
      </c>
    </row>
    <row r="11" spans="1:5" ht="15.75">
      <c r="A11" s="58" t="s">
        <v>126</v>
      </c>
      <c r="B11" s="34">
        <f>IF(29109.45194="","-",29109.45194)</f>
        <v>29109.45194</v>
      </c>
      <c r="C11" s="59">
        <v>80.36</v>
      </c>
      <c r="D11" s="34">
        <f>IF(36226.03737="","-",36226.03737/1752232.13505*100)</f>
        <v>2.0674222693083006</v>
      </c>
      <c r="E11" s="34">
        <f>IF(29109.45194="","-",29109.45194/1787603.34854*100)</f>
        <v>1.6284066576500171</v>
      </c>
    </row>
    <row r="12" spans="1:5" ht="15.75">
      <c r="A12" s="58" t="s">
        <v>127</v>
      </c>
      <c r="B12" s="34">
        <f>IF(1034.68516="","-",1034.68516)</f>
        <v>1034.68516</v>
      </c>
      <c r="C12" s="59">
        <v>116.22</v>
      </c>
      <c r="D12" s="34">
        <f>IF(890.29753="","-",890.29753/1752232.13505*100)</f>
        <v>0.05080933697033215</v>
      </c>
      <c r="E12" s="34">
        <f>IF(1034.68516="","-",1034.68516/1787603.34854*100)</f>
        <v>0.05788113794064352</v>
      </c>
    </row>
    <row r="13" spans="1:5" ht="15.75">
      <c r="A13" s="58" t="s">
        <v>128</v>
      </c>
      <c r="B13" s="34">
        <f>IF(4.87372="","-",4.87372)</f>
        <v>4.87372</v>
      </c>
      <c r="C13" s="59">
        <v>84.55</v>
      </c>
      <c r="D13" s="34">
        <f>IF(5.76426="","-",5.76426/1752232.13505*100)</f>
        <v>0.0003289666868160432</v>
      </c>
      <c r="E13" s="34">
        <f>IF(4.87372="","-",4.87372/1787603.34854*100)</f>
        <v>0.0002726399010149843</v>
      </c>
    </row>
    <row r="14" spans="1:5" ht="15.75">
      <c r="A14" s="58" t="s">
        <v>129</v>
      </c>
      <c r="B14" s="34">
        <f>IF(499.64876="","-",499.64876)</f>
        <v>499.64876</v>
      </c>
      <c r="C14" s="59" t="s">
        <v>250</v>
      </c>
      <c r="D14" s="34">
        <f>IF(21.75847="","-",21.75847/1752232.13505*100)</f>
        <v>0.0012417572743225098</v>
      </c>
      <c r="E14" s="34">
        <f>IF(499.64876="","-",499.64876/1787603.34854*100)</f>
        <v>0.02795076214240039</v>
      </c>
    </row>
    <row r="15" spans="1:5" ht="15.75">
      <c r="A15" s="24" t="s">
        <v>236</v>
      </c>
      <c r="B15" s="33">
        <f>IF(1173991.97745="","-",1173991.97745)</f>
        <v>1173991.97745</v>
      </c>
      <c r="C15" s="33">
        <f>IF(1213538.32398="","-",1173991.97745/1213538.32398*100)</f>
        <v>96.74123628825323</v>
      </c>
      <c r="D15" s="33">
        <f>IF(1213538.32398="","-",1213538.32398/1752232.13505*100)</f>
        <v>69.2567097535494</v>
      </c>
      <c r="E15" s="33">
        <f>IF(1173991.97745="","-",1173991.97745/1787603.34854*100)</f>
        <v>65.67407576232398</v>
      </c>
    </row>
    <row r="16" spans="1:5" ht="15.75">
      <c r="A16" s="58" t="s">
        <v>123</v>
      </c>
      <c r="B16" s="34">
        <f>IF(48426.85791="","-",48426.85791)</f>
        <v>48426.85791</v>
      </c>
      <c r="C16" s="59">
        <v>65.91</v>
      </c>
      <c r="D16" s="34">
        <f>IF(73477.61778="","-",73477.61778/1752232.13505*100)</f>
        <v>4.193372345491388</v>
      </c>
      <c r="E16" s="34">
        <f>IF(48426.85791="","-",48426.85791/1787603.34854*100)</f>
        <v>2.7090382186603064</v>
      </c>
    </row>
    <row r="17" spans="1:5" ht="15.75">
      <c r="A17" s="58" t="s">
        <v>124</v>
      </c>
      <c r="B17" s="34">
        <f>IF(22937.13777="","-",22937.13777)</f>
        <v>22937.13777</v>
      </c>
      <c r="C17" s="59">
        <v>70.85</v>
      </c>
      <c r="D17" s="34">
        <f>IF(32372.96204="","-",32372.96204/1752232.13505*100)</f>
        <v>1.8475270138266375</v>
      </c>
      <c r="E17" s="34">
        <f>IF(22937.13777="","-",22937.13777/1787603.34854*100)</f>
        <v>1.2831223318491536</v>
      </c>
    </row>
    <row r="18" spans="1:11" ht="15.75">
      <c r="A18" s="58" t="s">
        <v>125</v>
      </c>
      <c r="B18" s="34">
        <f>IF(1098352.61001="","-",1098352.61001)</f>
        <v>1098352.61001</v>
      </c>
      <c r="C18" s="59">
        <v>99.86</v>
      </c>
      <c r="D18" s="34">
        <f>IF(1099877.632="","-",1099877.632/1752232.13505*100)</f>
        <v>62.77008679381485</v>
      </c>
      <c r="E18" s="34">
        <f>IF(1098352.61001="","-",1098352.61001/1787603.34854*100)</f>
        <v>61.44274740294395</v>
      </c>
      <c r="K18" s="23"/>
    </row>
    <row r="19" spans="1:5" ht="15.75">
      <c r="A19" s="58" t="s">
        <v>126</v>
      </c>
      <c r="B19" s="34">
        <f>IF(3446.54166="","-",3446.54166)</f>
        <v>3446.54166</v>
      </c>
      <c r="C19" s="59">
        <v>47.25</v>
      </c>
      <c r="D19" s="34">
        <f>IF(7293.95079="","-",7293.95079/1752232.13505*100)</f>
        <v>0.41626623802284435</v>
      </c>
      <c r="E19" s="34">
        <f>IF(3446.54166="","-",3446.54166/1787603.34854*100)</f>
        <v>0.19280237211543122</v>
      </c>
    </row>
    <row r="20" spans="1:5" ht="15.75">
      <c r="A20" s="58" t="s">
        <v>127</v>
      </c>
      <c r="B20" s="34">
        <f>IF(457.02325="","-",457.02325)</f>
        <v>457.02325</v>
      </c>
      <c r="C20" s="60">
        <v>91.98</v>
      </c>
      <c r="D20" s="34">
        <f>IF(496.87039="","-",496.87039/1752232.13505*100)</f>
        <v>0.028356424931438768</v>
      </c>
      <c r="E20" s="34">
        <f>IF(457.02325="","-",457.02325/1787603.34854*100)</f>
        <v>0.025566256092173213</v>
      </c>
    </row>
    <row r="21" spans="1:5" ht="15.75">
      <c r="A21" s="58" t="s">
        <v>129</v>
      </c>
      <c r="B21" s="34">
        <f>IF(371.80685="","-",371.80685)</f>
        <v>371.80685</v>
      </c>
      <c r="C21" s="60" t="s">
        <v>251</v>
      </c>
      <c r="D21" s="34">
        <f>IF(19.29098="","-",19.29098/1752232.13505*100)</f>
        <v>0.0011009374622301133</v>
      </c>
      <c r="E21" s="34">
        <f>IF(371.80685="","-",371.80685/1787603.34854*100)</f>
        <v>0.0207991806629624</v>
      </c>
    </row>
    <row r="22" spans="1:5" ht="15.75">
      <c r="A22" s="24" t="s">
        <v>237</v>
      </c>
      <c r="B22" s="33">
        <f>IF(261639.93517="","-",261639.93517)</f>
        <v>261639.93517</v>
      </c>
      <c r="C22" s="33">
        <f>IF(277337.18336="","-",261639.93517/277337.18336*100)</f>
        <v>94.34001312055439</v>
      </c>
      <c r="D22" s="33">
        <f>IF(277337.18336="","-",277337.18336/1752232.13505*100)</f>
        <v>15.827650789664705</v>
      </c>
      <c r="E22" s="33">
        <f>IF(261639.93517="","-",261639.93517/1787603.34854*100)</f>
        <v>14.63635293498923</v>
      </c>
    </row>
    <row r="23" spans="1:5" ht="15.75">
      <c r="A23" s="58" t="s">
        <v>123</v>
      </c>
      <c r="B23" s="34">
        <f>IF(4441.19115="","-",4441.19115)</f>
        <v>4441.19115</v>
      </c>
      <c r="C23" s="59">
        <v>130.13</v>
      </c>
      <c r="D23" s="34">
        <f>IF(3412.82899="","-",3412.82899/1752232.13505*100)</f>
        <v>0.19477036870475012</v>
      </c>
      <c r="E23" s="34">
        <f>IF(4441.19115="","-",4441.19115/1787603.34854*100)</f>
        <v>0.2484438817832424</v>
      </c>
    </row>
    <row r="24" spans="1:5" ht="15.75">
      <c r="A24" s="58" t="s">
        <v>124</v>
      </c>
      <c r="B24" s="34">
        <f>IF(10582.58534="","-",10582.58534)</f>
        <v>10582.58534</v>
      </c>
      <c r="C24" s="59">
        <v>86.78</v>
      </c>
      <c r="D24" s="34">
        <f>IF(12194.66904="","-",12194.66904/1752232.13505*100)</f>
        <v>0.6959505419441486</v>
      </c>
      <c r="E24" s="34">
        <f>IF(10582.58534="","-",10582.58534/1787603.34854*100)</f>
        <v>0.5919985184992621</v>
      </c>
    </row>
    <row r="25" spans="1:5" ht="15.75">
      <c r="A25" s="58" t="s">
        <v>125</v>
      </c>
      <c r="B25" s="34">
        <f>IF(239666.03768="","-",239666.03768)</f>
        <v>239666.03768</v>
      </c>
      <c r="C25" s="34">
        <v>94.81</v>
      </c>
      <c r="D25" s="34">
        <f>IF(252788.32459="","-",252788.32459/1752232.13505*100)</f>
        <v>14.42664584979699</v>
      </c>
      <c r="E25" s="34">
        <f>IF(239666.03768="","-",239666.03768/1787603.34854*100)</f>
        <v>13.407115055794893</v>
      </c>
    </row>
    <row r="26" spans="1:5" ht="15.75">
      <c r="A26" s="58" t="s">
        <v>126</v>
      </c>
      <c r="B26" s="34">
        <f>IF(6540.58251="","-",6540.58251)</f>
        <v>6540.58251</v>
      </c>
      <c r="C26" s="34">
        <v>73.34</v>
      </c>
      <c r="D26" s="34">
        <f>IF(8918.7278="","-",8918.7278/1752232.13505*100)</f>
        <v>0.508992365885671</v>
      </c>
      <c r="E26" s="34">
        <f>IF(6540.58251="","-",6540.58251/1787603.34854*100)</f>
        <v>0.3658855593072104</v>
      </c>
    </row>
    <row r="27" spans="1:5" ht="15.75">
      <c r="A27" s="58" t="s">
        <v>127</v>
      </c>
      <c r="B27" s="34">
        <f>IF(389.50733="","-",389.50733)</f>
        <v>389.50733</v>
      </c>
      <c r="C27" s="34" t="s">
        <v>286</v>
      </c>
      <c r="D27" s="34">
        <f>IF(14.40119="","-",14.40119/1752232.13505*100)</f>
        <v>0.0008218768342351546</v>
      </c>
      <c r="E27" s="34">
        <f>IF(389.50733="","-",389.50733/1787603.34854*100)</f>
        <v>0.021789360056755584</v>
      </c>
    </row>
    <row r="28" spans="1:7" ht="15.75">
      <c r="A28" s="58" t="s">
        <v>128</v>
      </c>
      <c r="B28" s="34">
        <f>IF(4.87372="","-",4.87372)</f>
        <v>4.87372</v>
      </c>
      <c r="C28" s="34">
        <v>84.55</v>
      </c>
      <c r="D28" s="34">
        <f>IF(5.76426="","-",5.76426/1752232.13505*100)</f>
        <v>0.0003289666868160432</v>
      </c>
      <c r="E28" s="34">
        <f>IF(4.87372="","-",4.87372/1787603.34854*100)</f>
        <v>0.0002726399010149843</v>
      </c>
      <c r="F28" s="1"/>
      <c r="G28" s="1"/>
    </row>
    <row r="29" spans="1:7" ht="15.75">
      <c r="A29" s="58" t="s">
        <v>129</v>
      </c>
      <c r="B29" s="34">
        <f>IF(15.15744="","-",15.15744)</f>
        <v>15.15744</v>
      </c>
      <c r="C29" s="34" t="s">
        <v>234</v>
      </c>
      <c r="D29" s="34">
        <f>IF(2.46749="","-",2.46749/1752232.13505*100)</f>
        <v>0.00014081981209239667</v>
      </c>
      <c r="E29" s="34">
        <f>IF(15.15744="","-",15.15744/1787603.34854*100)</f>
        <v>0.0008479196468489291</v>
      </c>
      <c r="F29" s="10"/>
      <c r="G29" s="10"/>
    </row>
    <row r="30" spans="1:5" ht="15.75">
      <c r="A30" s="24" t="s">
        <v>289</v>
      </c>
      <c r="B30" s="33">
        <f>IF(351971.43592="","-",351971.43592)</f>
        <v>351971.43592</v>
      </c>
      <c r="C30" s="33">
        <f>IF(261356.62771="","-",351971.43592/261356.62771*100)</f>
        <v>134.67094330224745</v>
      </c>
      <c r="D30" s="33">
        <f>IF(261356.62771="","-",261356.62771/1752232.13505*100)</f>
        <v>14.915639456785911</v>
      </c>
      <c r="E30" s="33">
        <f>IF(351971.43592="","-",351971.43592/1787603.34854*100)</f>
        <v>19.689571302686794</v>
      </c>
    </row>
    <row r="31" spans="1:5" ht="15.75">
      <c r="A31" s="58" t="s">
        <v>123</v>
      </c>
      <c r="B31" s="34">
        <f>IF(67850.79382="","-",67850.79382)</f>
        <v>67850.79382</v>
      </c>
      <c r="C31" s="59" t="s">
        <v>142</v>
      </c>
      <c r="D31" s="34">
        <f>IF(45108.47296="","-",45108.47296/1752232.13505*100)</f>
        <v>2.574343436448438</v>
      </c>
      <c r="E31" s="34">
        <f>IF(67850.79382="","-",67850.79382/1787603.34854*100)</f>
        <v>3.795629152038465</v>
      </c>
    </row>
    <row r="32" spans="1:5" ht="15.75">
      <c r="A32" s="58" t="s">
        <v>124</v>
      </c>
      <c r="B32" s="34">
        <f>IF(47383.30541="","-",47383.30541)</f>
        <v>47383.30541</v>
      </c>
      <c r="C32" s="59" t="s">
        <v>174</v>
      </c>
      <c r="D32" s="34">
        <f>IF(20956.51991="","-",20956.51991/1752232.13505*100)</f>
        <v>1.1959899314026678</v>
      </c>
      <c r="E32" s="34">
        <f>IF(47383.30541="","-",47383.30541/1787603.34854*100)</f>
        <v>2.650661034434717</v>
      </c>
    </row>
    <row r="33" spans="1:5" ht="15.75">
      <c r="A33" s="58" t="s">
        <v>125</v>
      </c>
      <c r="B33" s="34">
        <f>IF(217314.16987="","-",217314.16987)</f>
        <v>217314.16987</v>
      </c>
      <c r="C33" s="59">
        <v>124.25</v>
      </c>
      <c r="D33" s="34">
        <f>IF(174899.25011="","-",174899.25011/1752232.13505*100)</f>
        <v>9.981511388330363</v>
      </c>
      <c r="E33" s="34">
        <f>IF(217314.16987="","-",217314.16987/1787603.34854*100)</f>
        <v>12.156733206361933</v>
      </c>
    </row>
    <row r="34" spans="1:5" ht="15.75">
      <c r="A34" s="58" t="s">
        <v>126</v>
      </c>
      <c r="B34" s="34">
        <f>IF(19122.32777="","-",19122.32777)</f>
        <v>19122.32777</v>
      </c>
      <c r="C34" s="60">
        <v>95.55</v>
      </c>
      <c r="D34" s="34">
        <f>IF(20013.35878="","-",20013.35878/1752232.13505*100)</f>
        <v>1.1421636653997855</v>
      </c>
      <c r="E34" s="34">
        <f>IF(19122.32777="","-",19122.32777/1787603.34854*100)</f>
        <v>1.0697187262273755</v>
      </c>
    </row>
    <row r="35" spans="1:5" ht="15.75">
      <c r="A35" s="58" t="s">
        <v>127</v>
      </c>
      <c r="B35" s="34">
        <f>IF(188.15458="","-",188.15458)</f>
        <v>188.15458</v>
      </c>
      <c r="C35" s="60">
        <v>49.64</v>
      </c>
      <c r="D35" s="34">
        <f>IF(379.02595="","-",379.02595/1752232.13505*100)</f>
        <v>0.02163103520465823</v>
      </c>
      <c r="E35" s="34">
        <f>IF(188.15458="","-",188.15458/1787603.34854*100)</f>
        <v>0.010525521791714737</v>
      </c>
    </row>
    <row r="36" spans="1:5" ht="15.75">
      <c r="A36" s="61" t="s">
        <v>129</v>
      </c>
      <c r="B36" s="35">
        <f>IF(112.68447="","-",112.68447)</f>
        <v>112.68447</v>
      </c>
      <c r="C36" s="62" t="s">
        <v>22</v>
      </c>
      <c r="D36" s="35" t="s">
        <v>122</v>
      </c>
      <c r="E36" s="35">
        <f>IF(112.68447="","-",112.68447/1787603.34854*100)</f>
        <v>0.006303661832589062</v>
      </c>
    </row>
    <row r="37" spans="1:5" ht="15.75">
      <c r="A37" s="37" t="s">
        <v>21</v>
      </c>
      <c r="B37" s="31"/>
      <c r="C37" s="31"/>
      <c r="D37" s="31"/>
      <c r="E37" s="31"/>
    </row>
  </sheetData>
  <sheetProtection/>
  <mergeCells count="7">
    <mergeCell ref="A1:E1"/>
    <mergeCell ref="A3:A5"/>
    <mergeCell ref="B3:C3"/>
    <mergeCell ref="D3:E3"/>
    <mergeCell ref="B4:B5"/>
    <mergeCell ref="C4:C5"/>
    <mergeCell ref="D4:E4"/>
  </mergeCells>
  <printOptions/>
  <pageMargins left="0.7874015748031497" right="0.5905511811023623" top="0.3937007874015748" bottom="0.3937007874015748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37"/>
  <sheetViews>
    <sheetView zoomScale="99" zoomScaleNormal="99" zoomScalePageLayoutView="0" workbookViewId="0" topLeftCell="A1">
      <selection activeCell="G20" sqref="G20"/>
    </sheetView>
  </sheetViews>
  <sheetFormatPr defaultColWidth="9.00390625" defaultRowHeight="15.75"/>
  <cols>
    <col min="1" max="1" width="32.125" style="0" customWidth="1"/>
    <col min="2" max="2" width="13.25390625" style="0" customWidth="1"/>
    <col min="3" max="3" width="13.50390625" style="0" customWidth="1"/>
    <col min="4" max="5" width="11.25390625" style="0" customWidth="1"/>
  </cols>
  <sheetData>
    <row r="1" spans="1:5" ht="15.75">
      <c r="A1" s="67" t="s">
        <v>134</v>
      </c>
      <c r="B1" s="67"/>
      <c r="C1" s="67"/>
      <c r="D1" s="67"/>
      <c r="E1" s="67"/>
    </row>
    <row r="2" spans="1:5" ht="15.75">
      <c r="A2" s="9"/>
      <c r="B2" s="9"/>
      <c r="C2" s="9"/>
      <c r="D2" s="9"/>
      <c r="E2" s="9"/>
    </row>
    <row r="3" spans="1:6" ht="15.75" customHeight="1">
      <c r="A3" s="68"/>
      <c r="B3" s="79" t="s">
        <v>253</v>
      </c>
      <c r="C3" s="79"/>
      <c r="D3" s="71" t="s">
        <v>117</v>
      </c>
      <c r="E3" s="85"/>
      <c r="F3" s="1"/>
    </row>
    <row r="4" spans="1:6" ht="18" customHeight="1">
      <c r="A4" s="69"/>
      <c r="B4" s="75" t="s">
        <v>107</v>
      </c>
      <c r="C4" s="77" t="s">
        <v>254</v>
      </c>
      <c r="D4" s="79" t="s">
        <v>255</v>
      </c>
      <c r="E4" s="71"/>
      <c r="F4" s="1"/>
    </row>
    <row r="5" spans="1:6" ht="22.5" customHeight="1">
      <c r="A5" s="70"/>
      <c r="B5" s="76"/>
      <c r="C5" s="78"/>
      <c r="D5" s="21">
        <v>2018</v>
      </c>
      <c r="E5" s="20">
        <v>2019</v>
      </c>
      <c r="F5" s="1"/>
    </row>
    <row r="6" spans="1:5" ht="15.75" customHeight="1">
      <c r="A6" s="25" t="s">
        <v>158</v>
      </c>
      <c r="B6" s="56">
        <f>IF(3770696.04948="","-",3770696.04948)</f>
        <v>3770696.04948</v>
      </c>
      <c r="C6" s="32">
        <f>IF(3703581.02097="","-",3770696.04948/3703581.02097*100)</f>
        <v>101.81216579656254</v>
      </c>
      <c r="D6" s="32">
        <v>100</v>
      </c>
      <c r="E6" s="32">
        <v>100</v>
      </c>
    </row>
    <row r="7" spans="1:5" ht="15.75" customHeight="1">
      <c r="A7" s="26" t="s">
        <v>157</v>
      </c>
      <c r="B7" s="28"/>
      <c r="C7" s="57"/>
      <c r="D7" s="28"/>
      <c r="E7" s="28"/>
    </row>
    <row r="8" spans="1:5" ht="15.75">
      <c r="A8" s="58" t="s">
        <v>123</v>
      </c>
      <c r="B8" s="34">
        <f>IF(77780.12079="","-",77780.12079)</f>
        <v>77780.12079</v>
      </c>
      <c r="C8" s="59">
        <v>69.52</v>
      </c>
      <c r="D8" s="34">
        <f>IF(111886.74679="","-",111886.74679/3703581.02097*100)</f>
        <v>3.0210422333543523</v>
      </c>
      <c r="E8" s="34">
        <f>IF(77780.12079="","-",77780.12079/3770696.04948*100)</f>
        <v>2.0627523345650283</v>
      </c>
    </row>
    <row r="9" spans="1:5" ht="15.75">
      <c r="A9" s="58" t="s">
        <v>124</v>
      </c>
      <c r="B9" s="34">
        <f>IF(179603.05977="","-",179603.05977)</f>
        <v>179603.05977</v>
      </c>
      <c r="C9" s="59">
        <v>86.85</v>
      </c>
      <c r="D9" s="34">
        <f>IF(206798.10444="","-",206798.10444/3703581.02097*100)</f>
        <v>5.583733777365501</v>
      </c>
      <c r="E9" s="34">
        <f>IF(179603.05977="","-",179603.05977/3770696.04948*100)</f>
        <v>4.763127481324522</v>
      </c>
    </row>
    <row r="10" spans="1:5" ht="15.75">
      <c r="A10" s="58" t="s">
        <v>125</v>
      </c>
      <c r="B10" s="34">
        <f>IF(3193529.17375="","-",3193529.17375)</f>
        <v>3193529.17375</v>
      </c>
      <c r="C10" s="59">
        <v>103.34</v>
      </c>
      <c r="D10" s="34">
        <f>IF(3090183.44728="","-",3090183.44728/3703581.02097*100)</f>
        <v>83.43771689570475</v>
      </c>
      <c r="E10" s="34">
        <f>IF(3193529.17375="","-",3193529.17375/3770696.04948*100)</f>
        <v>84.6933598424197</v>
      </c>
    </row>
    <row r="11" spans="1:5" ht="15.75">
      <c r="A11" s="58" t="s">
        <v>126</v>
      </c>
      <c r="B11" s="34">
        <f>IF(100116.07052="","-",100116.07052)</f>
        <v>100116.07052</v>
      </c>
      <c r="C11" s="59">
        <v>106.18</v>
      </c>
      <c r="D11" s="34">
        <f>IF(94286.24674="","-",94286.24674/3703581.02097*100)</f>
        <v>2.545812990350232</v>
      </c>
      <c r="E11" s="34">
        <f>IF(100116.07052="","-",100116.07052/3770696.04948*100)</f>
        <v>2.6551084788127266</v>
      </c>
    </row>
    <row r="12" spans="1:5" ht="15.75">
      <c r="A12" s="58" t="s">
        <v>127</v>
      </c>
      <c r="B12" s="34">
        <f>IF(6949.37987="","-",6949.37987)</f>
        <v>6949.37987</v>
      </c>
      <c r="C12" s="59">
        <v>76.46</v>
      </c>
      <c r="D12" s="34">
        <f>IF(9088.40824="","-",9088.40824/3703581.02097*100)</f>
        <v>0.24539515103195092</v>
      </c>
      <c r="E12" s="34">
        <f>IF(6949.37987="","-",6949.37987/3770696.04948*100)</f>
        <v>0.1842996565835201</v>
      </c>
    </row>
    <row r="13" spans="1:5" ht="15.75">
      <c r="A13" s="58" t="s">
        <v>128</v>
      </c>
      <c r="B13" s="34">
        <f>IF(186563.36877="","-",186563.36877)</f>
        <v>186563.36877</v>
      </c>
      <c r="C13" s="59">
        <v>111.15</v>
      </c>
      <c r="D13" s="34">
        <f>IF(167853.74022="","-",167853.74022/3703581.02097*100)</f>
        <v>4.5322011121019745</v>
      </c>
      <c r="E13" s="34">
        <f>IF(186563.36877="","-",186563.36877/3770696.04948*100)</f>
        <v>4.947716981742087</v>
      </c>
    </row>
    <row r="14" spans="1:5" ht="15.75">
      <c r="A14" s="58" t="s">
        <v>129</v>
      </c>
      <c r="B14" s="34">
        <f>IF(26154.87601="","-",26154.87601)</f>
        <v>26154.87601</v>
      </c>
      <c r="C14" s="59">
        <v>111.37</v>
      </c>
      <c r="D14" s="34">
        <f>IF(23484.32726="","-",23484.32726/3703581.02097*100)</f>
        <v>0.6340978400912437</v>
      </c>
      <c r="E14" s="34">
        <f>IF(26154.87601="","-",26154.87601/3770696.04948*100)</f>
        <v>0.6936352245524245</v>
      </c>
    </row>
    <row r="15" spans="1:5" ht="15.75">
      <c r="A15" s="24" t="s">
        <v>236</v>
      </c>
      <c r="B15" s="33">
        <f>IF(1887009.33691="","-",1887009.33691)</f>
        <v>1887009.33691</v>
      </c>
      <c r="C15" s="33">
        <f>IF(1873571.36168="","-",1887009.33691/1873571.36168*100)</f>
        <v>100.71723850528707</v>
      </c>
      <c r="D15" s="33">
        <f>IF(1873571.36168="","-",1873571.36168/3703581.02097*100)</f>
        <v>50.58810246276981</v>
      </c>
      <c r="E15" s="33">
        <f>IF(1887009.33691="","-",1887009.33691/3770696.04948*100)</f>
        <v>50.0440585013536</v>
      </c>
    </row>
    <row r="16" spans="1:5" ht="15.75">
      <c r="A16" s="58" t="s">
        <v>123</v>
      </c>
      <c r="B16" s="34">
        <f>IF(55787.82365="","-",55787.82365)</f>
        <v>55787.82365</v>
      </c>
      <c r="C16" s="59">
        <v>93.18</v>
      </c>
      <c r="D16" s="34">
        <f>IF(59873.15704="","-",59873.15704/3703581.02097*100)</f>
        <v>1.616628789838617</v>
      </c>
      <c r="E16" s="34">
        <f>IF(55787.82365="","-",55787.82365/3770696.04948*100)</f>
        <v>1.4795099609710904</v>
      </c>
    </row>
    <row r="17" spans="1:5" ht="15.75">
      <c r="A17" s="58" t="s">
        <v>124</v>
      </c>
      <c r="B17" s="34">
        <f>IF(26533.98504="","-",26533.98504)</f>
        <v>26533.98504</v>
      </c>
      <c r="C17" s="59">
        <v>88.56</v>
      </c>
      <c r="D17" s="34">
        <f>IF(29962.47473="","-",29962.47473/3703581.02097*100)</f>
        <v>0.8090136157505358</v>
      </c>
      <c r="E17" s="34">
        <f>IF(26533.98504="","-",26533.98504/3770696.04948*100)</f>
        <v>0.7036893107218012</v>
      </c>
    </row>
    <row r="18" spans="1:5" ht="15.75">
      <c r="A18" s="58" t="s">
        <v>125</v>
      </c>
      <c r="B18" s="34">
        <f>IF(1750532.51791="","-",1750532.51791)</f>
        <v>1750532.51791</v>
      </c>
      <c r="C18" s="59">
        <v>101.01</v>
      </c>
      <c r="D18" s="34">
        <f>IF(1733099.21388="","-",1733099.21388/3703581.02097*100)</f>
        <v>46.79522883574142</v>
      </c>
      <c r="E18" s="34">
        <f>IF(1750532.51791="","-",1750532.51791/3770696.04948*100)</f>
        <v>46.4246519724497</v>
      </c>
    </row>
    <row r="19" spans="1:5" ht="15.75">
      <c r="A19" s="58" t="s">
        <v>126</v>
      </c>
      <c r="B19" s="34">
        <f>IF(29473.8972="","-",29473.8972)</f>
        <v>29473.8972</v>
      </c>
      <c r="C19" s="59">
        <v>113.89</v>
      </c>
      <c r="D19" s="34">
        <f>IF(25878.65389="","-",25878.65389/3703581.02097*100)</f>
        <v>0.6987468005552679</v>
      </c>
      <c r="E19" s="34">
        <f>IF(29473.8972="","-",29473.8972/3770696.04948*100)</f>
        <v>0.78165667063153</v>
      </c>
    </row>
    <row r="20" spans="1:5" ht="15.75">
      <c r="A20" s="58" t="s">
        <v>127</v>
      </c>
      <c r="B20" s="34">
        <f>IF(2969.19327="","-",2969.19327)</f>
        <v>2969.19327</v>
      </c>
      <c r="C20" s="59">
        <v>76.02</v>
      </c>
      <c r="D20" s="34">
        <f>IF(3906.04232="","-",3906.04232/3703581.02097*100)</f>
        <v>0.1054666361525142</v>
      </c>
      <c r="E20" s="34">
        <f>IF(2969.19327="","-",2969.19327/3770696.04948*100)</f>
        <v>0.07874390380549152</v>
      </c>
    </row>
    <row r="21" spans="1:5" ht="15.75">
      <c r="A21" s="58" t="s">
        <v>129</v>
      </c>
      <c r="B21" s="34">
        <f>IF(21711.91984="","-",21711.91984)</f>
        <v>21711.91984</v>
      </c>
      <c r="C21" s="59">
        <v>104.12</v>
      </c>
      <c r="D21" s="34">
        <f>IF(20851.81982="","-",20851.81982/3703581.02097*100)</f>
        <v>0.5630177847314578</v>
      </c>
      <c r="E21" s="34">
        <f>IF(21711.91984="","-",21711.91984/3770696.04948*100)</f>
        <v>0.5758066827739721</v>
      </c>
    </row>
    <row r="22" spans="1:5" ht="15.75">
      <c r="A22" s="24" t="s">
        <v>237</v>
      </c>
      <c r="B22" s="33">
        <f>IF(917289.08444="","-",917289.08444)</f>
        <v>917289.08444</v>
      </c>
      <c r="C22" s="33">
        <f>IF(889800.26806="","-",917289.08444/889800.26806*100)</f>
        <v>103.08932435364768</v>
      </c>
      <c r="D22" s="33">
        <f>IF(889800.26806="","-",889800.26806/3703581.02097*100)</f>
        <v>24.025403063194055</v>
      </c>
      <c r="E22" s="33">
        <f>IF(917289.08444="","-",917289.08444/3770696.04948*100)</f>
        <v>24.326784031465472</v>
      </c>
    </row>
    <row r="23" spans="1:5" ht="15.75">
      <c r="A23" s="58" t="s">
        <v>123</v>
      </c>
      <c r="B23" s="34">
        <f>IF(16870.67592="","-",16870.67592)</f>
        <v>16870.67592</v>
      </c>
      <c r="C23" s="59">
        <v>48.68</v>
      </c>
      <c r="D23" s="34">
        <f>IF(34657.60976="","-",34657.60976/3703581.02097*100)</f>
        <v>0.9357864608271179</v>
      </c>
      <c r="E23" s="34">
        <f>IF(16870.67592="","-",16870.67592/3770696.04948*100)</f>
        <v>0.4474154293695075</v>
      </c>
    </row>
    <row r="24" spans="1:5" ht="15.75">
      <c r="A24" s="58" t="s">
        <v>124</v>
      </c>
      <c r="B24" s="34">
        <f>IF(152775.44756="","-",152775.44756)</f>
        <v>152775.44756</v>
      </c>
      <c r="C24" s="59">
        <v>86.7</v>
      </c>
      <c r="D24" s="34">
        <f>IF(176205.60222="","-",176205.60222/3703581.02097*100)</f>
        <v>4.757708855896724</v>
      </c>
      <c r="E24" s="34">
        <f>IF(152775.44756="","-",152775.44756/3770696.04948*100)</f>
        <v>4.051651089221806</v>
      </c>
    </row>
    <row r="25" spans="1:5" ht="15.75">
      <c r="A25" s="58" t="s">
        <v>125</v>
      </c>
      <c r="B25" s="34">
        <f>IF(546155.87595="","-",546155.87595)</f>
        <v>546155.87595</v>
      </c>
      <c r="C25" s="59">
        <v>109.38</v>
      </c>
      <c r="D25" s="34">
        <f>IF(499330.3975="","-",499330.3975/3703581.02097*100)</f>
        <v>13.482367326993728</v>
      </c>
      <c r="E25" s="34">
        <f>IF(546155.87595="","-",546155.87595/3770696.04948*100)</f>
        <v>14.484219061499745</v>
      </c>
    </row>
    <row r="26" spans="1:5" ht="15.75">
      <c r="A26" s="58" t="s">
        <v>126</v>
      </c>
      <c r="B26" s="34">
        <f>IF(11840.57359="","-",11840.57359)</f>
        <v>11840.57359</v>
      </c>
      <c r="C26" s="59">
        <v>117.34</v>
      </c>
      <c r="D26" s="34">
        <f>IF(10090.6391="","-",10090.6391/3703581.02097*100)</f>
        <v>0.2724562806339572</v>
      </c>
      <c r="E26" s="34">
        <f>IF(11840.57359="","-",11840.57359/3770696.04948*100)</f>
        <v>0.31401559379555083</v>
      </c>
    </row>
    <row r="27" spans="1:5" ht="15.75">
      <c r="A27" s="58" t="s">
        <v>127</v>
      </c>
      <c r="B27" s="34">
        <f>IF(350.70892="","-",350.70892)</f>
        <v>350.70892</v>
      </c>
      <c r="C27" s="59">
        <v>92.65</v>
      </c>
      <c r="D27" s="34">
        <f>IF(378.54028="","-",378.54028/3703581.02097*100)</f>
        <v>0.010220926121412541</v>
      </c>
      <c r="E27" s="34">
        <f>IF(350.70892="","-",350.70892/3770696.04948*100)</f>
        <v>0.009300906660147393</v>
      </c>
    </row>
    <row r="28" spans="1:7" ht="15.75">
      <c r="A28" s="58" t="s">
        <v>128</v>
      </c>
      <c r="B28" s="34">
        <f>IF(186563.36877="","-",186563.36877)</f>
        <v>186563.36877</v>
      </c>
      <c r="C28" s="59">
        <v>111.15</v>
      </c>
      <c r="D28" s="34">
        <f>IF(167853.74022="","-",167853.74022/3703581.02097*100)</f>
        <v>4.5322011121019745</v>
      </c>
      <c r="E28" s="34">
        <f>IF(186563.36877="","-",186563.36877/3770696.04948*100)</f>
        <v>4.947716981742087</v>
      </c>
      <c r="F28" s="1"/>
      <c r="G28" s="1"/>
    </row>
    <row r="29" spans="1:7" ht="15.75">
      <c r="A29" s="58" t="s">
        <v>129</v>
      </c>
      <c r="B29" s="34">
        <f>IF(2732.43373="","-",2732.43373)</f>
        <v>2732.43373</v>
      </c>
      <c r="C29" s="59" t="s">
        <v>287</v>
      </c>
      <c r="D29" s="34">
        <f>IF(1283.73898="","-",1283.73898/3703581.02097*100)</f>
        <v>0.03466210061914017</v>
      </c>
      <c r="E29" s="34">
        <f>IF(2732.43373="","-",2732.43373/3770696.04948*100)</f>
        <v>0.07246496917662769</v>
      </c>
      <c r="F29" s="1"/>
      <c r="G29" s="1"/>
    </row>
    <row r="30" spans="1:7" ht="15.75">
      <c r="A30" s="24" t="s">
        <v>238</v>
      </c>
      <c r="B30" s="33">
        <f>IF(966397.62813="","-",966397.62813)</f>
        <v>966397.62813</v>
      </c>
      <c r="C30" s="33">
        <f>IF(940209.39123="","-",966397.62813/940209.39123*100)</f>
        <v>102.78536219104768</v>
      </c>
      <c r="D30" s="33">
        <f>IF(940209.39123="","-",940209.39123/3703581.02097*100)</f>
        <v>25.38649447403613</v>
      </c>
      <c r="E30" s="33">
        <f>IF(966397.62813="","-",966397.62813/3770696.04948*100)</f>
        <v>25.629157467180935</v>
      </c>
      <c r="F30" s="10"/>
      <c r="G30" s="10"/>
    </row>
    <row r="31" spans="1:5" ht="15.75">
      <c r="A31" s="58" t="s">
        <v>123</v>
      </c>
      <c r="B31" s="34">
        <f>IF(5121.62122="","-",5121.62122)</f>
        <v>5121.62122</v>
      </c>
      <c r="C31" s="59">
        <v>29.51</v>
      </c>
      <c r="D31" s="34">
        <f>IF(17355.97999="","-",17355.97999/3703581.02097*100)</f>
        <v>0.4686269826886174</v>
      </c>
      <c r="E31" s="34">
        <f>IF(5121.62122="","-",5121.62122/3770696.04948*100)</f>
        <v>0.1358269442244304</v>
      </c>
    </row>
    <row r="32" spans="1:5" ht="15.75">
      <c r="A32" s="58" t="s">
        <v>124</v>
      </c>
      <c r="B32" s="34">
        <f>IF(293.62717="","-",293.62717)</f>
        <v>293.62717</v>
      </c>
      <c r="C32" s="59">
        <v>46.61</v>
      </c>
      <c r="D32" s="34">
        <f>IF(630.02749="","-",630.02749/3703581.02097*100)</f>
        <v>0.017011305718242133</v>
      </c>
      <c r="E32" s="34">
        <f>IF(293.62717="","-",293.62717/3770696.04948*100)</f>
        <v>0.007787081380916205</v>
      </c>
    </row>
    <row r="33" spans="1:5" ht="15.75">
      <c r="A33" s="58" t="s">
        <v>125</v>
      </c>
      <c r="B33" s="34">
        <f>IF(896840.77989="","-",896840.77989)</f>
        <v>896840.77989</v>
      </c>
      <c r="C33" s="59">
        <v>104.56</v>
      </c>
      <c r="D33" s="34">
        <f>IF(857753.8359="","-",857753.8359/3703581.02097*100)</f>
        <v>23.160120732969595</v>
      </c>
      <c r="E33" s="34">
        <f>IF(896840.77989="","-",896840.77989/3770696.04948*100)</f>
        <v>23.78448880847024</v>
      </c>
    </row>
    <row r="34" spans="1:5" ht="15.75">
      <c r="A34" s="58" t="s">
        <v>126</v>
      </c>
      <c r="B34" s="34">
        <f>IF(58801.59973="","-",58801.59973)</f>
        <v>58801.59973</v>
      </c>
      <c r="C34" s="59">
        <v>100.83</v>
      </c>
      <c r="D34" s="34">
        <f>IF(58316.95375="","-",58316.95375/3703581.02097*100)</f>
        <v>1.5746099091610066</v>
      </c>
      <c r="E34" s="34">
        <f>IF(58801.59973="","-",58801.59973/3770696.04948*100)</f>
        <v>1.5594362143856455</v>
      </c>
    </row>
    <row r="35" spans="1:5" ht="15.75">
      <c r="A35" s="58" t="s">
        <v>127</v>
      </c>
      <c r="B35" s="34">
        <f>IF(3629.47768="","-",3629.47768)</f>
        <v>3629.47768</v>
      </c>
      <c r="C35" s="59">
        <v>75.55</v>
      </c>
      <c r="D35" s="34">
        <f>IF(4803.82564="","-",4803.82564/3703581.02097*100)</f>
        <v>0.12970758875802416</v>
      </c>
      <c r="E35" s="34">
        <f>IF(3629.47768="","-",3629.47768/3770696.04948*100)</f>
        <v>0.09625484611788121</v>
      </c>
    </row>
    <row r="36" spans="1:5" ht="15.75">
      <c r="A36" s="61" t="s">
        <v>129</v>
      </c>
      <c r="B36" s="35">
        <f>IF(1710.52244="","-",1710.52244)</f>
        <v>1710.52244</v>
      </c>
      <c r="C36" s="62">
        <v>126.82</v>
      </c>
      <c r="D36" s="35">
        <f>IF(1348.76846="","-",1348.76846/3703581.02097*100)</f>
        <v>0.03641795474064574</v>
      </c>
      <c r="E36" s="35">
        <f>IF(1710.52244="","-",1710.52244/3770696.04948*100)</f>
        <v>0.04536357260182482</v>
      </c>
    </row>
    <row r="37" ht="17.25" customHeight="1">
      <c r="A37" s="38" t="s">
        <v>21</v>
      </c>
    </row>
  </sheetData>
  <sheetProtection/>
  <mergeCells count="7">
    <mergeCell ref="A1:E1"/>
    <mergeCell ref="A3:A5"/>
    <mergeCell ref="B3:C3"/>
    <mergeCell ref="D3:E3"/>
    <mergeCell ref="B4:B5"/>
    <mergeCell ref="C4:C5"/>
    <mergeCell ref="D4:E4"/>
  </mergeCells>
  <printOptions/>
  <pageMargins left="0.7874015748031497" right="0.5905511811023623" top="0.3937007874015748" bottom="0.3937007874015748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78"/>
  <sheetViews>
    <sheetView zoomScalePageLayoutView="0" workbookViewId="0" topLeftCell="A1">
      <selection activeCell="I20" sqref="I20"/>
    </sheetView>
  </sheetViews>
  <sheetFormatPr defaultColWidth="9.00390625" defaultRowHeight="15.75"/>
  <cols>
    <col min="1" max="1" width="26.75390625" style="0" customWidth="1"/>
    <col min="2" max="2" width="12.375" style="0" customWidth="1"/>
    <col min="3" max="3" width="9.875" style="0" customWidth="1"/>
    <col min="4" max="4" width="8.625" style="0" customWidth="1"/>
    <col min="5" max="5" width="8.75390625" style="0" customWidth="1"/>
    <col min="6" max="6" width="9.375" style="0" customWidth="1"/>
    <col min="7" max="7" width="10.125" style="0" customWidth="1"/>
  </cols>
  <sheetData>
    <row r="1" spans="1:7" ht="15.75">
      <c r="A1" s="80" t="s">
        <v>135</v>
      </c>
      <c r="B1" s="80"/>
      <c r="C1" s="80"/>
      <c r="D1" s="80"/>
      <c r="E1" s="80"/>
      <c r="F1" s="80"/>
      <c r="G1" s="80"/>
    </row>
    <row r="2" spans="1:7" ht="15.75">
      <c r="A2" s="80" t="s">
        <v>23</v>
      </c>
      <c r="B2" s="80"/>
      <c r="C2" s="80"/>
      <c r="D2" s="80"/>
      <c r="E2" s="80"/>
      <c r="F2" s="80"/>
      <c r="G2" s="80"/>
    </row>
    <row r="3" ht="15.75">
      <c r="A3" s="6"/>
    </row>
    <row r="4" spans="1:7" ht="57" customHeight="1">
      <c r="A4" s="86"/>
      <c r="B4" s="71" t="s">
        <v>253</v>
      </c>
      <c r="C4" s="72"/>
      <c r="D4" s="89" t="s">
        <v>0</v>
      </c>
      <c r="E4" s="90"/>
      <c r="F4" s="83" t="s">
        <v>115</v>
      </c>
      <c r="G4" s="91"/>
    </row>
    <row r="5" spans="1:8" ht="26.25" customHeight="1">
      <c r="A5" s="87"/>
      <c r="B5" s="92" t="s">
        <v>120</v>
      </c>
      <c r="C5" s="77" t="s">
        <v>254</v>
      </c>
      <c r="D5" s="79" t="s">
        <v>255</v>
      </c>
      <c r="E5" s="79"/>
      <c r="F5" s="79" t="s">
        <v>255</v>
      </c>
      <c r="G5" s="71"/>
      <c r="H5" s="1"/>
    </row>
    <row r="6" spans="1:7" ht="21" customHeight="1">
      <c r="A6" s="88"/>
      <c r="B6" s="93"/>
      <c r="C6" s="78"/>
      <c r="D6" s="22">
        <v>2018</v>
      </c>
      <c r="E6" s="22">
        <v>2019</v>
      </c>
      <c r="F6" s="22" t="s">
        <v>119</v>
      </c>
      <c r="G6" s="18" t="s">
        <v>140</v>
      </c>
    </row>
    <row r="7" spans="1:7" ht="16.5" customHeight="1">
      <c r="A7" s="46" t="s">
        <v>108</v>
      </c>
      <c r="B7" s="32">
        <f>IF(1787603.34854="","-",1787603.34854)</f>
        <v>1787603.34854</v>
      </c>
      <c r="C7" s="32">
        <f>IF(1752232.13505="","-",1787603.34854/1752232.13505*100)</f>
        <v>102.01863741581197</v>
      </c>
      <c r="D7" s="32">
        <v>100</v>
      </c>
      <c r="E7" s="32">
        <v>100</v>
      </c>
      <c r="F7" s="32">
        <f>IF(1427663.68281="","-",(1752232.13505-1427663.68281)/1427663.68281*100)</f>
        <v>22.734237492206006</v>
      </c>
      <c r="G7" s="32">
        <f>IF(1752232.13505="","-",(1787603.34854-1752232.13505)/1752232.13505*100)</f>
        <v>2.0186374158119564</v>
      </c>
    </row>
    <row r="8" spans="1:7" ht="16.5" customHeight="1">
      <c r="A8" s="47" t="s">
        <v>157</v>
      </c>
      <c r="B8" s="36"/>
      <c r="C8" s="36"/>
      <c r="D8" s="36"/>
      <c r="E8" s="36"/>
      <c r="F8" s="36"/>
      <c r="G8" s="36"/>
    </row>
    <row r="9" spans="1:7" ht="15.75">
      <c r="A9" s="51" t="s">
        <v>175</v>
      </c>
      <c r="B9" s="33">
        <f>IF(399298.1295="","-",399298.1295)</f>
        <v>399298.1295</v>
      </c>
      <c r="C9" s="33">
        <f>IF(386126.84622="","-",399298.1295/386126.84622*100)</f>
        <v>103.41112859904476</v>
      </c>
      <c r="D9" s="33">
        <f>IF(386126.84622="","-",386126.84622/1752232.13505*100)</f>
        <v>22.036283806025615</v>
      </c>
      <c r="E9" s="33">
        <f>IF(399298.1295="","-",399298.1295/1787603.34854*100)</f>
        <v>22.337065424839416</v>
      </c>
      <c r="F9" s="33">
        <f>IF(1427663.68281="","-",(386126.84622-305895.28399)/1427663.68281*100)</f>
        <v>5.619780288315814</v>
      </c>
      <c r="G9" s="33">
        <f>IF(1752232.13505="","-",(399298.1295-386126.84622)/1752232.13505*100)</f>
        <v>0.7516859790740074</v>
      </c>
    </row>
    <row r="10" spans="1:7" ht="13.5" customHeight="1">
      <c r="A10" s="29" t="s">
        <v>24</v>
      </c>
      <c r="B10" s="34">
        <f>IF(7809.16103="","-",7809.16103)</f>
        <v>7809.16103</v>
      </c>
      <c r="C10" s="34">
        <f>IF(OR(10442.50038="",7809.16103=""),"-",7809.16103/10442.50038*100)</f>
        <v>74.7824826030794</v>
      </c>
      <c r="D10" s="34">
        <f>IF(10442.50038="","-",10442.50038/1752232.13505*100)</f>
        <v>0.5959541644693112</v>
      </c>
      <c r="E10" s="34">
        <f>IF(7809.16103="","-",7809.16103/1787603.34854*100)</f>
        <v>0.4368508839714371</v>
      </c>
      <c r="F10" s="34">
        <f>IF(OR(1427663.68281="",5475.4377="",10442.50038=""),"-",(10442.50038-5475.4377)/1427663.68281*100)</f>
        <v>0.34791546074938146</v>
      </c>
      <c r="G10" s="34">
        <f>IF(OR(1752232.13505="",7809.16103="",10442.50038=""),"-",(7809.16103-10442.50038)/1752232.13505*100)</f>
        <v>-0.15028484510272133</v>
      </c>
    </row>
    <row r="11" spans="1:10" ht="13.5" customHeight="1">
      <c r="A11" s="29" t="s">
        <v>176</v>
      </c>
      <c r="B11" s="34">
        <f>IF(4452.13785="","-",4452.13785)</f>
        <v>4452.13785</v>
      </c>
      <c r="C11" s="34">
        <f>IF(OR(4629.47187="",4452.13785=""),"-",4452.13785/4629.47187*100)</f>
        <v>96.16945463802979</v>
      </c>
      <c r="D11" s="34">
        <f>IF(4629.47187="","-",4629.47187/1752232.13505*100)</f>
        <v>0.2642042556688928</v>
      </c>
      <c r="E11" s="34">
        <f>IF(4452.13785="","-",4452.13785/1787603.34854*100)</f>
        <v>0.2490562491749762</v>
      </c>
      <c r="F11" s="34">
        <f>IF(OR(1427663.68281="",6056.37273="",4629.47187=""),"-",(4629.47187-6056.37273)/1427663.68281*100)</f>
        <v>-0.09994656845171694</v>
      </c>
      <c r="G11" s="34">
        <f>IF(OR(1752232.13505="",4452.13785="",4629.47187=""),"-",(4452.13785-4629.47187)/1752232.13505*100)</f>
        <v>-0.010120463861652669</v>
      </c>
      <c r="J11" s="15"/>
    </row>
    <row r="12" spans="1:10" s="9" customFormat="1" ht="13.5" customHeight="1">
      <c r="A12" s="29" t="s">
        <v>177</v>
      </c>
      <c r="B12" s="34">
        <f>IF(11665.01232="","-",11665.01232)</f>
        <v>11665.01232</v>
      </c>
      <c r="C12" s="34">
        <f>IF(OR(15317.01001="",11665.01232=""),"-",11665.01232/15317.01001*100)</f>
        <v>76.15724160514536</v>
      </c>
      <c r="D12" s="34">
        <f>IF(15317.01001="","-",15317.01001/1752232.13505*100)</f>
        <v>0.8741427407712123</v>
      </c>
      <c r="E12" s="34">
        <f>IF(11665.01232="","-",11665.01232/1787603.34854*100)</f>
        <v>0.6525503730750581</v>
      </c>
      <c r="F12" s="34">
        <f>IF(OR(1427663.68281="",16006.47308="",15317.01001=""),"-",(15317.01001-16006.47308)/1427663.68281*100)</f>
        <v>-0.048293101400671876</v>
      </c>
      <c r="G12" s="34">
        <f>IF(OR(1752232.13505="",11665.01232="",15317.01001=""),"-",(11665.01232-15317.01001)/1752232.13505*100)</f>
        <v>-0.20841974170824062</v>
      </c>
      <c r="J12" s="15"/>
    </row>
    <row r="13" spans="1:10" s="9" customFormat="1" ht="14.25" customHeight="1">
      <c r="A13" s="29" t="s">
        <v>178</v>
      </c>
      <c r="B13" s="34">
        <f>IF(19.96421="","-",19.96421)</f>
        <v>19.96421</v>
      </c>
      <c r="C13" s="34" t="s">
        <v>241</v>
      </c>
      <c r="D13" s="34">
        <f>IF(10.53017="","-",10.53017/1752232.13505*100)</f>
        <v>0.0006009574752890559</v>
      </c>
      <c r="E13" s="34">
        <f>IF(19.96421="","-",19.96421/1787603.34854*100)</f>
        <v>0.001116814309858252</v>
      </c>
      <c r="F13" s="34">
        <f>IF(OR(1427663.68281="",12.93641="",10.53017=""),"-",(10.53017-12.93641)/1427663.68281*100)</f>
        <v>-0.00016854389650536723</v>
      </c>
      <c r="G13" s="34">
        <f>IF(OR(1752232.13505="",19.96421="",10.53017=""),"-",(19.96421-10.53017)/1752232.13505*100)</f>
        <v>0.0005384012660931368</v>
      </c>
      <c r="J13" s="15"/>
    </row>
    <row r="14" spans="1:10" s="9" customFormat="1" ht="15.75">
      <c r="A14" s="29" t="s">
        <v>179</v>
      </c>
      <c r="B14" s="34">
        <f>IF(172285.7573="","-",172285.7573)</f>
        <v>172285.7573</v>
      </c>
      <c r="C14" s="34">
        <f>IF(OR(146415.0344="",172285.7573=""),"-",172285.7573/146415.0344*100)</f>
        <v>117.6694442657591</v>
      </c>
      <c r="D14" s="34">
        <f>IF(146415.0344="","-",146415.0344/1752232.13505*100)</f>
        <v>8.355915376236497</v>
      </c>
      <c r="E14" s="34">
        <f>IF(172285.7573="","-",172285.7573/1787603.34854*100)</f>
        <v>9.63780681216065</v>
      </c>
      <c r="F14" s="34">
        <f>IF(OR(1427663.68281="",112806.20509="",146415.0344=""),"-",(146415.0344-112806.20509)/1427663.68281*100)</f>
        <v>2.354113907545046</v>
      </c>
      <c r="G14" s="34">
        <f>IF(OR(1752232.13505="",172285.7573="",146415.0344=""),"-",(172285.7573-146415.0344)/1752232.13505*100)</f>
        <v>1.4764438102981015</v>
      </c>
      <c r="J14" s="15"/>
    </row>
    <row r="15" spans="1:10" s="9" customFormat="1" ht="15.75">
      <c r="A15" s="29" t="s">
        <v>180</v>
      </c>
      <c r="B15" s="34">
        <f>IF(171550.58303="","-",171550.58303)</f>
        <v>171550.58303</v>
      </c>
      <c r="C15" s="34">
        <f>IF(OR(169978.74891="",171550.58303=""),"-",171550.58303/169978.74891*100)</f>
        <v>100.92472390229925</v>
      </c>
      <c r="D15" s="34">
        <f>IF(169978.74891="","-",169978.74891/1752232.13505*100)</f>
        <v>9.700698070187467</v>
      </c>
      <c r="E15" s="34">
        <f>IF(171550.58303="","-",171550.58303/1787603.34854*100)</f>
        <v>9.596680559482703</v>
      </c>
      <c r="F15" s="34">
        <f>IF(OR(1427663.68281="",122072.81806="",169978.74891=""),"-",(169978.74891-122072.81806)/1427663.68281*100)</f>
        <v>3.355547348217832</v>
      </c>
      <c r="G15" s="34">
        <f>IF(OR(1752232.13505="",171550.58303="",169978.74891=""),"-",(171550.58303-169978.74891)/1752232.13505*100)</f>
        <v>0.08970467374490662</v>
      </c>
      <c r="J15" s="15"/>
    </row>
    <row r="16" spans="1:10" s="9" customFormat="1" ht="15" customHeight="1">
      <c r="A16" s="29" t="s">
        <v>25</v>
      </c>
      <c r="B16" s="34">
        <f>IF(10638.55173="","-",10638.55173)</f>
        <v>10638.55173</v>
      </c>
      <c r="C16" s="34">
        <f>IF(OR(18762.15809="",10638.55173=""),"-",10638.55173/18762.15809*100)</f>
        <v>56.70217508544615</v>
      </c>
      <c r="D16" s="34">
        <f>IF(18762.15809="","-",18762.15809/1752232.13505*100)</f>
        <v>1.0707575620090213</v>
      </c>
      <c r="E16" s="34">
        <f>IF(10638.55173="","-",10638.55173/1787603.34854*100)</f>
        <v>0.5951293243374649</v>
      </c>
      <c r="F16" s="34">
        <f>IF(OR(1427663.68281="",28579.8458="",18762.15809=""),"-",(18762.15809-28579.8458)/1427663.68281*100)</f>
        <v>-0.6876751036123808</v>
      </c>
      <c r="G16" s="34">
        <f>IF(OR(1752232.13505="",10638.55173="",18762.15809=""),"-",(10638.55173-18762.15809)/1752232.13505*100)</f>
        <v>-0.4636147344580115</v>
      </c>
      <c r="J16" s="15"/>
    </row>
    <row r="17" spans="1:10" s="9" customFormat="1" ht="25.5">
      <c r="A17" s="29" t="s">
        <v>181</v>
      </c>
      <c r="B17" s="34">
        <f>IF(6282.24169="","-",6282.24169)</f>
        <v>6282.24169</v>
      </c>
      <c r="C17" s="34">
        <f>IF(OR(6738.6878="",6282.24169=""),"-",6282.24169/6738.6878*100)</f>
        <v>93.22648379703836</v>
      </c>
      <c r="D17" s="34">
        <f>IF(6738.6878="","-",6738.6878/1752232.13505*100)</f>
        <v>0.38457734367528373</v>
      </c>
      <c r="E17" s="34">
        <f>IF(6282.24169="","-",6282.24169/1787603.34854*100)</f>
        <v>0.3514337615853614</v>
      </c>
      <c r="F17" s="34">
        <f>IF(OR(1427663.68281="",5830.98543="",6738.6878=""),"-",(6738.6878-5830.98543)/1427663.68281*100)</f>
        <v>0.06357956575693054</v>
      </c>
      <c r="G17" s="34">
        <f>IF(OR(1752232.13505="",6282.24169="",6738.6878=""),"-",(6282.24169-6738.6878)/1752232.13505*100)</f>
        <v>-0.02604940868676485</v>
      </c>
      <c r="J17" s="15"/>
    </row>
    <row r="18" spans="1:10" s="9" customFormat="1" ht="25.5">
      <c r="A18" s="29" t="s">
        <v>26</v>
      </c>
      <c r="B18" s="34">
        <f>IF(12636.5177="","-",12636.5177)</f>
        <v>12636.5177</v>
      </c>
      <c r="C18" s="34">
        <f>IF(OR(12141.59355="",12636.5177=""),"-",12636.5177/12141.59355*100)</f>
        <v>104.07627012024298</v>
      </c>
      <c r="D18" s="34">
        <f>IF(12141.59355="","-",12141.59355/1752232.13505*100)</f>
        <v>0.6929215203357482</v>
      </c>
      <c r="E18" s="34">
        <f>IF(12636.5177="","-",12636.5177/1787603.34854*100)</f>
        <v>0.7068971822144269</v>
      </c>
      <c r="F18" s="34">
        <f>IF(OR(1427663.68281="",7127.72458="",12141.59355=""),"-",(12141.59355-7127.72458)/1427663.68281*100)</f>
        <v>0.3511939842954784</v>
      </c>
      <c r="G18" s="34">
        <f>IF(OR(1752232.13505="",12636.5177="",12141.59355=""),"-",(12636.5177-12141.59355)/1752232.13505*100)</f>
        <v>0.028245352890179595</v>
      </c>
      <c r="J18" s="15"/>
    </row>
    <row r="19" spans="1:10" s="9" customFormat="1" ht="15.75" customHeight="1">
      <c r="A19" s="29" t="s">
        <v>182</v>
      </c>
      <c r="B19" s="34">
        <f>IF(1958.20264="","-",1958.20264)</f>
        <v>1958.20264</v>
      </c>
      <c r="C19" s="34">
        <f>IF(OR(1691.11104="",1958.20264=""),"-",1958.20264/1691.11104*100)</f>
        <v>115.79385348936046</v>
      </c>
      <c r="D19" s="34">
        <f>IF(1691.11104="","-",1691.11104/1752232.13505*100)</f>
        <v>0.09651181519689138</v>
      </c>
      <c r="E19" s="34">
        <f>IF(1958.20264="","-",1958.20264/1787603.34854*100)</f>
        <v>0.10954346452748227</v>
      </c>
      <c r="F19" s="34">
        <f>IF(OR(1427663.68281="",1926.48511="",1691.11104=""),"-",(1691.11104-1926.48511)/1427663.68281*100)</f>
        <v>-0.016486660887578573</v>
      </c>
      <c r="G19" s="34">
        <f>IF(OR(1752232.13505="",1958.20264="",1691.11104=""),"-",(1958.20264-1691.11104)/1752232.13505*100)</f>
        <v>0.015242934692119348</v>
      </c>
      <c r="J19" s="15"/>
    </row>
    <row r="20" spans="1:10" s="9" customFormat="1" ht="15.75">
      <c r="A20" s="51" t="s">
        <v>183</v>
      </c>
      <c r="B20" s="33">
        <f>IF(138906.60009="","-",138906.60009)</f>
        <v>138906.60009</v>
      </c>
      <c r="C20" s="33">
        <f>IF(143668.71421="","-",138906.60009/143668.71421*100)</f>
        <v>96.68535063727288</v>
      </c>
      <c r="D20" s="33">
        <f>IF(143668.71421="","-",143668.71421/1752232.13505*100)</f>
        <v>8.199182707370015</v>
      </c>
      <c r="E20" s="33">
        <f>IF(138906.60009="","-",138906.60009/1787603.34854*100)</f>
        <v>7.7705493337462155</v>
      </c>
      <c r="F20" s="33">
        <f>IF(1427663.68281="","-",(143668.71421-120111.65953)/1427663.68281*100)</f>
        <v>1.6500423008333316</v>
      </c>
      <c r="G20" s="33">
        <f>IF(1752232.13505="","-",(138906.60009-143668.71421)/1752232.13505*100)</f>
        <v>-0.27177415735867244</v>
      </c>
      <c r="J20" s="15"/>
    </row>
    <row r="21" spans="1:7" s="9" customFormat="1" ht="15.75">
      <c r="A21" s="29" t="s">
        <v>228</v>
      </c>
      <c r="B21" s="34">
        <f>IF(121841.34992="","-",121841.34992)</f>
        <v>121841.34992</v>
      </c>
      <c r="C21" s="34">
        <f>IF(OR(129139.01286="",121841.34992=""),"-",121841.34992/129139.01286*100)</f>
        <v>94.34898658555534</v>
      </c>
      <c r="D21" s="34">
        <f>IF(129139.01286="","-",129139.01286/1752232.13505*100)</f>
        <v>7.369971722172246</v>
      </c>
      <c r="E21" s="34">
        <f>IF(121841.34992="","-",121841.34992/1787603.34854*100)</f>
        <v>6.815905218543712</v>
      </c>
      <c r="F21" s="34">
        <f>IF(OR(1427663.68281="",108344.18408="",129139.01286=""),"-",(129139.01286-108344.18408)/1427663.68281*100)</f>
        <v>1.4565635471703364</v>
      </c>
      <c r="G21" s="34">
        <f>IF(OR(1752232.13505="",121841.34992="",129139.01286=""),"-",(121841.34992-129139.01286)/1752232.13505*100)</f>
        <v>-0.41647809066073144</v>
      </c>
    </row>
    <row r="22" spans="1:7" s="9" customFormat="1" ht="15.75">
      <c r="A22" s="29" t="s">
        <v>184</v>
      </c>
      <c r="B22" s="34">
        <f>IF(17065.25017="","-",17065.25017)</f>
        <v>17065.25017</v>
      </c>
      <c r="C22" s="34">
        <f>IF(OR(14529.70135="",17065.25017=""),"-",17065.25017/14529.70135*100)</f>
        <v>117.4507979133377</v>
      </c>
      <c r="D22" s="34">
        <f>IF(14529.70135="","-",14529.70135/1752232.13505*100)</f>
        <v>0.8292109851977685</v>
      </c>
      <c r="E22" s="34">
        <f>IF(17065.25017="","-",17065.25017/1787603.34854*100)</f>
        <v>0.954644115202503</v>
      </c>
      <c r="F22" s="34">
        <f>IF(OR(1427663.68281="",11767.47545="",14529.70135=""),"-",(14529.70135-11767.47545)/1427663.68281*100)</f>
        <v>0.19347875366299483</v>
      </c>
      <c r="G22" s="34">
        <f>IF(OR(1752232.13505="",17065.25017="",14529.70135=""),"-",(17065.25017-14529.70135)/1752232.13505*100)</f>
        <v>0.1447039333020592</v>
      </c>
    </row>
    <row r="23" spans="1:7" s="9" customFormat="1" ht="25.5">
      <c r="A23" s="51" t="s">
        <v>27</v>
      </c>
      <c r="B23" s="33">
        <f>IF(179241.14086="","-",179241.14086)</f>
        <v>179241.14086</v>
      </c>
      <c r="C23" s="33">
        <f>IF(173127.43513="","-",179241.14086/173127.43513*100)</f>
        <v>103.53133270033676</v>
      </c>
      <c r="D23" s="33">
        <f>IF(173127.43513="","-",173127.43513/1752232.13505*100)</f>
        <v>9.88039379411677</v>
      </c>
      <c r="E23" s="33">
        <f>IF(179241.14086="","-",179241.14086/1787603.34854*100)</f>
        <v>10.026896683002564</v>
      </c>
      <c r="F23" s="33">
        <f>IF(1427663.68281="","-",(173127.43513-162259.23206)/1427663.68281*100)</f>
        <v>0.7612579349646719</v>
      </c>
      <c r="G23" s="33">
        <f>IF(1752232.13505="","-",(179241.14086-173127.43513)/1752232.13505*100)</f>
        <v>0.3489095769736903</v>
      </c>
    </row>
    <row r="24" spans="1:7" s="9" customFormat="1" ht="15.75" customHeight="1">
      <c r="A24" s="29" t="s">
        <v>185</v>
      </c>
      <c r="B24" s="34">
        <f>IF(1065.29047="","-",1065.29047)</f>
        <v>1065.29047</v>
      </c>
      <c r="C24" s="34">
        <f>IF(OR(2207.43996="",1065.29047=""),"-",1065.29047/2207.43996*100)</f>
        <v>48.25909149529031</v>
      </c>
      <c r="D24" s="34">
        <f>IF(2207.43996="","-",2207.43996/1752232.13505*100)</f>
        <v>0.12597873967977483</v>
      </c>
      <c r="E24" s="34">
        <f>IF(1065.29047="","-",1065.29047/1787603.34854*100)</f>
        <v>0.05959322412715668</v>
      </c>
      <c r="F24" s="34">
        <f>IF(OR(1427663.68281="",2568.93325="",2207.43996=""),"-",(2207.43996-2568.93325)/1427663.68281*100)</f>
        <v>-0.025320619579570065</v>
      </c>
      <c r="G24" s="34">
        <f>IF(OR(1752232.13505="",1065.29047="",2207.43996=""),"-",(1065.29047-2207.43996)/1752232.13505*100)</f>
        <v>-0.0651825444330987</v>
      </c>
    </row>
    <row r="25" spans="1:8" s="9" customFormat="1" ht="15.75">
      <c r="A25" s="29" t="s">
        <v>217</v>
      </c>
      <c r="B25" s="34">
        <f>IF(155581.92717="","-",155581.92717)</f>
        <v>155581.92717</v>
      </c>
      <c r="C25" s="34">
        <f>IF(OR(145954.22321="",155581.92717=""),"-",155581.92717/145954.22321*100)</f>
        <v>106.59638600943228</v>
      </c>
      <c r="D25" s="34">
        <f>IF(145954.22321="","-",145954.22321/1752232.13505*100)</f>
        <v>8.32961685215499</v>
      </c>
      <c r="E25" s="34">
        <f>IF(155581.92717="","-",155581.92717/1787603.34854*100)</f>
        <v>8.703380830935977</v>
      </c>
      <c r="F25" s="34">
        <f>IF(OR(1427663.68281="",138726.59308="",145954.22321=""),"-",(145954.22321-138726.59308)/1427663.68281*100)</f>
        <v>0.5062557951865959</v>
      </c>
      <c r="G25" s="34">
        <f>IF(OR(1752232.13505="",155581.92717="",145954.22321=""),"-",(155581.92717-145954.22321)/1752232.13505*100)</f>
        <v>0.549453680674866</v>
      </c>
      <c r="H25" s="7"/>
    </row>
    <row r="26" spans="1:8" s="9" customFormat="1" ht="25.5">
      <c r="A26" s="29" t="s">
        <v>218</v>
      </c>
      <c r="B26" s="34">
        <f>IF(0.55331="","-",0.55331)</f>
        <v>0.55331</v>
      </c>
      <c r="C26" s="34">
        <f>IF(OR(0.93688="",0.55331=""),"-",0.55331/0.93688*100)</f>
        <v>59.058790880368875</v>
      </c>
      <c r="D26" s="34">
        <f>IF(0.93688="","-",0.93688/1752232.13505*100)</f>
        <v>5.3467801512113355E-05</v>
      </c>
      <c r="E26" s="34">
        <f>IF(0.55331="","-",0.55331/1787603.34854*100)</f>
        <v>3.095261599570778E-05</v>
      </c>
      <c r="F26" s="34">
        <f>IF(OR(1427663.68281="",0.44948="",0.93688=""),"-",(0.93688-0.44948)/1427663.68281*100)</f>
        <v>3.4139693113204E-05</v>
      </c>
      <c r="G26" s="34">
        <f>IF(OR(1752232.13505="",0.55331="",0.93688=""),"-",(0.55331-0.93688)/1752232.13505*100)</f>
        <v>-2.189036442874362E-05</v>
      </c>
      <c r="H26" s="8"/>
    </row>
    <row r="27" spans="1:8" s="9" customFormat="1" ht="15.75">
      <c r="A27" s="29" t="s">
        <v>186</v>
      </c>
      <c r="B27" s="34">
        <f>IF(548.21285="","-",548.21285)</f>
        <v>548.21285</v>
      </c>
      <c r="C27" s="34">
        <f>IF(OR(546.80366="",548.21285=""),"-",548.21285/546.80366*100)</f>
        <v>100.25771407601769</v>
      </c>
      <c r="D27" s="34">
        <f>IF(546.80366="","-",546.80366/1752232.13505*100)</f>
        <v>0.03120611984349876</v>
      </c>
      <c r="E27" s="34">
        <f>IF(548.21285="","-",548.21285/1787603.34854*100)</f>
        <v>0.03066747723692424</v>
      </c>
      <c r="F27" s="34">
        <f>IF(OR(1427663.68281="",390.15177="",546.80366=""),"-",(546.80366-390.15177)/1427663.68281*100)</f>
        <v>0.010972604534680734</v>
      </c>
      <c r="G27" s="34">
        <f>IF(OR(1752232.13505="",548.21285="",546.80366=""),"-",(548.21285-546.80366)/1752232.13505*100)</f>
        <v>8.042256341564901E-05</v>
      </c>
      <c r="H27" s="8"/>
    </row>
    <row r="28" spans="1:8" s="9" customFormat="1" ht="15.75">
      <c r="A28" s="29" t="s">
        <v>229</v>
      </c>
      <c r="B28" s="34">
        <f>IF(1794.9982="","-",1794.9982)</f>
        <v>1794.9982</v>
      </c>
      <c r="C28" s="34">
        <f>IF(OR(2121.87908="",1794.9982=""),"-",1794.9982/2121.87908*100)</f>
        <v>84.59474514447825</v>
      </c>
      <c r="D28" s="34">
        <f>IF(2121.87908="","-",2121.87908/1752232.13505*100)</f>
        <v>0.121095774786681</v>
      </c>
      <c r="E28" s="34">
        <f>IF(1794.9982="","-",1794.9982/1787603.34854*100)</f>
        <v>0.10041367406623174</v>
      </c>
      <c r="F28" s="34">
        <f>IF(OR(1427663.68281="",1887.14454="",2121.87908=""),"-",(2121.87908-1887.14454)/1427663.68281*100)</f>
        <v>0.016441865323490176</v>
      </c>
      <c r="G28" s="34">
        <f>IF(OR(1752232.13505="",1794.9982="",2121.87908=""),"-",(1794.9982-2121.87908)/1752232.13505*100)</f>
        <v>-0.018655112725156856</v>
      </c>
      <c r="H28" s="8"/>
    </row>
    <row r="29" spans="1:8" s="9" customFormat="1" ht="38.25">
      <c r="A29" s="29" t="s">
        <v>219</v>
      </c>
      <c r="B29" s="34">
        <f>IF(247.19977="","-",247.19977)</f>
        <v>247.19977</v>
      </c>
      <c r="C29" s="34">
        <f>IF(OR(305.61254="",247.19977=""),"-",247.19977/305.61254*100)</f>
        <v>80.88665798857598</v>
      </c>
      <c r="D29" s="34">
        <f>IF(305.61254="","-",305.61254/1752232.13505*100)</f>
        <v>0.017441327201277435</v>
      </c>
      <c r="E29" s="34">
        <f>IF(247.19977="","-",247.19977/1787603.34854*100)</f>
        <v>0.013828558231438588</v>
      </c>
      <c r="F29" s="34">
        <f>IF(OR(1427663.68281="",297.98782="",305.61254=""),"-",(305.61254-297.98782)/1427663.68281*100)</f>
        <v>0.0005340697596924694</v>
      </c>
      <c r="G29" s="34">
        <f>IF(OR(1752232.13505="",247.19977="",305.61254=""),"-",(247.19977-305.61254)/1752232.13505*100)</f>
        <v>-0.0033336205193116846</v>
      </c>
      <c r="H29" s="8"/>
    </row>
    <row r="30" spans="1:8" s="9" customFormat="1" ht="38.25">
      <c r="A30" s="29" t="s">
        <v>187</v>
      </c>
      <c r="B30" s="34">
        <f>IF(6595.18355="","-",6595.18355)</f>
        <v>6595.18355</v>
      </c>
      <c r="C30" s="34">
        <f>IF(OR(8203.78614="",6595.18355=""),"-",6595.18355/8203.78614*100)</f>
        <v>80.39194875940538</v>
      </c>
      <c r="D30" s="34">
        <f>IF(8203.78614="","-",8203.78614/1752232.13505*100)</f>
        <v>0.46819059962999166</v>
      </c>
      <c r="E30" s="34">
        <f>IF(6595.18355="","-",6595.18355/1787603.34854*100)</f>
        <v>0.36893998634465097</v>
      </c>
      <c r="F30" s="34">
        <f>IF(OR(1427663.68281="",7082.48624="",8203.78614=""),"-",(8203.78614-7082.48624)/1427663.68281*100)</f>
        <v>0.07854089961810899</v>
      </c>
      <c r="G30" s="34">
        <f>IF(OR(1752232.13505="",6595.18355="",8203.78614=""),"-",(6595.18355-8203.78614)/1752232.13505*100)</f>
        <v>-0.09180305267909603</v>
      </c>
      <c r="H30" s="8"/>
    </row>
    <row r="31" spans="1:7" s="9" customFormat="1" ht="27" customHeight="1">
      <c r="A31" s="29" t="s">
        <v>188</v>
      </c>
      <c r="B31" s="34">
        <f>IF(10907.63843="","-",10907.63843)</f>
        <v>10907.63843</v>
      </c>
      <c r="C31" s="34">
        <f>IF(OR(11515.34823="",10907.63843=""),"-",10907.63843/11515.34823*100)</f>
        <v>94.72261031223718</v>
      </c>
      <c r="D31" s="34">
        <f>IF(11515.34823="","-",11515.34823/1752232.13505*100)</f>
        <v>0.6571816598758707</v>
      </c>
      <c r="E31" s="34">
        <f>IF(10907.63843="","-",10907.63843/1787603.34854*100)</f>
        <v>0.6101822554152554</v>
      </c>
      <c r="F31" s="34">
        <f>IF(OR(1427663.68281="",10079.5505="",11515.34823=""),"-",(11515.34823-10079.5505)/1427663.68281*100)</f>
        <v>0.10056974533203719</v>
      </c>
      <c r="G31" s="34">
        <f>IF(OR(1752232.13505="",10907.63843="",11515.34823=""),"-",(10907.63843-11515.34823)/1752232.13505*100)</f>
        <v>-0.034682037148157756</v>
      </c>
    </row>
    <row r="32" spans="1:7" s="9" customFormat="1" ht="25.5">
      <c r="A32" s="29" t="s">
        <v>28</v>
      </c>
      <c r="B32" s="34">
        <f>IF(2500.13711="","-",2500.13711)</f>
        <v>2500.13711</v>
      </c>
      <c r="C32" s="34">
        <f>IF(OR(2271.40543="",2500.13711=""),"-",2500.13711/2271.40543*100)</f>
        <v>110.07005077028455</v>
      </c>
      <c r="D32" s="34">
        <f>IF(2271.40543="","-",2271.40543/1752232.13505*100)</f>
        <v>0.12962925314317358</v>
      </c>
      <c r="E32" s="34">
        <f>IF(2500.13711="","-",2500.13711/1787603.34854*100)</f>
        <v>0.1398597240289325</v>
      </c>
      <c r="F32" s="34">
        <f>IF(OR(1427663.68281="",1225.93538="",2271.40543=""),"-",(2271.40543-1225.93538)/1427663.68281*100)</f>
        <v>0.07322943509652446</v>
      </c>
      <c r="G32" s="34">
        <f>IF(OR(1752232.13505="",2500.13711="",2271.40543=""),"-",(2500.13711-2271.40543)/1752232.13505*100)</f>
        <v>0.013053731604658277</v>
      </c>
    </row>
    <row r="33" spans="1:7" s="9" customFormat="1" ht="25.5">
      <c r="A33" s="51" t="s">
        <v>189</v>
      </c>
      <c r="B33" s="33">
        <f>IF(8358.23613="","-",8358.23613)</f>
        <v>8358.23613</v>
      </c>
      <c r="C33" s="33">
        <f>IF(13474.04542="","-",8358.23613/13474.04542*100)</f>
        <v>62.03212078826434</v>
      </c>
      <c r="D33" s="33">
        <f>IF(13474.04542="","-",13474.04542/1752232.13505*100)</f>
        <v>0.7689646337650073</v>
      </c>
      <c r="E33" s="33">
        <f>IF(8358.23613="","-",8358.23613/1787603.34854*100)</f>
        <v>0.46756659618178004</v>
      </c>
      <c r="F33" s="33">
        <f>IF(1427663.68281="","-",(13474.04542-10104.82043)/1427663.68281*100)</f>
        <v>0.23599570617139476</v>
      </c>
      <c r="G33" s="33">
        <f>IF(1752232.13505="","-",(8358.23613-13474.04542)/1752232.13505*100)</f>
        <v>-0.29195956332886347</v>
      </c>
    </row>
    <row r="34" spans="1:7" s="9" customFormat="1" ht="25.5">
      <c r="A34" s="29" t="s">
        <v>190</v>
      </c>
      <c r="B34" s="34">
        <f>IF(8353.2651="","-",8353.2651)</f>
        <v>8353.2651</v>
      </c>
      <c r="C34" s="34">
        <f>IF(OR(13440.64253="",8353.2651=""),"-",8353.2651/13440.64253*100)</f>
        <v>62.149298899626345</v>
      </c>
      <c r="D34" s="34">
        <f>IF(13440.64253="","-",13440.64253/1752232.13505*100)</f>
        <v>0.7670583286966409</v>
      </c>
      <c r="E34" s="34">
        <f>IF(8353.2651="","-",8353.2651/1787603.34854*100)</f>
        <v>0.4672885126794159</v>
      </c>
      <c r="F34" s="34">
        <f>IF(OR(1427663.68281="",10096.9851699999="",13440.64253=""),"-",(13440.64253-10096.9851699999)/1427663.68281*100)</f>
        <v>0.23420483411183673</v>
      </c>
      <c r="G34" s="34">
        <f>IF(OR(1752232.13505="",8353.2651="",13440.64253=""),"-",(8353.2651-13440.64253)/1752232.13505*100)</f>
        <v>-0.29033695526048725</v>
      </c>
    </row>
    <row r="35" spans="1:7" s="9" customFormat="1" ht="15.75">
      <c r="A35" s="29" t="s">
        <v>29</v>
      </c>
      <c r="B35" s="34">
        <f>IF(4.87372="","-",4.87372)</f>
        <v>4.87372</v>
      </c>
      <c r="C35" s="34">
        <f>IF(OR(5.76426="",4.87372=""),"-",4.87372/5.76426*100)</f>
        <v>84.55066218387095</v>
      </c>
      <c r="D35" s="34">
        <f>IF(5.76426="","-",5.76426/1752232.13505*100)</f>
        <v>0.0003289666868160432</v>
      </c>
      <c r="E35" s="34">
        <f>IF(4.87372="","-",4.87372/1787603.34854*100)</f>
        <v>0.0002726399010149843</v>
      </c>
      <c r="F35" s="34">
        <f>IF(OR(1427663.68281="",4.63363="",5.76426=""),"-",(5.76426-4.63363)/1427663.68281*100)</f>
        <v>7.91944218805536E-05</v>
      </c>
      <c r="G35" s="34">
        <f>IF(OR(1752232.13505="",4.87372="",5.76426=""),"-",(4.87372-5.76426)/1752232.13505*100)</f>
        <v>-5.082317474873779E-05</v>
      </c>
    </row>
    <row r="36" spans="1:7" s="9" customFormat="1" ht="25.5">
      <c r="A36" s="51" t="s">
        <v>191</v>
      </c>
      <c r="B36" s="33">
        <f>IF(35237.33214="","-",35237.33214)</f>
        <v>35237.33214</v>
      </c>
      <c r="C36" s="33">
        <f>IF(49303.59558="","-",35237.33214/49303.59558*100)</f>
        <v>71.47010623763516</v>
      </c>
      <c r="D36" s="33">
        <f>IF(49303.59558="","-",49303.59558/1752232.13505*100)</f>
        <v>2.8137593526438276</v>
      </c>
      <c r="E36" s="33">
        <f>IF(35237.33214="","-",35237.33214/1787603.34854*100)</f>
        <v>1.9712053106624352</v>
      </c>
      <c r="F36" s="33">
        <f>IF(1427663.68281="","-",(49303.59558-25464.91668)/1427663.68281*100)</f>
        <v>1.669768530714426</v>
      </c>
      <c r="G36" s="33">
        <f>IF(1752232.13505="","-",(35237.33214-49303.59558)/1752232.13505*100)</f>
        <v>-0.8027625540378884</v>
      </c>
    </row>
    <row r="37" spans="1:7" s="9" customFormat="1" ht="25.5">
      <c r="A37" s="29" t="s">
        <v>192</v>
      </c>
      <c r="B37" s="34">
        <f>IF(35224.72449="","-",35224.72449)</f>
        <v>35224.72449</v>
      </c>
      <c r="C37" s="34">
        <f>IF(OR(49135.83099="",35224.72449=""),"-",35224.72449/49135.83099*100)</f>
        <v>71.688468028899</v>
      </c>
      <c r="D37" s="34">
        <f>IF(49135.83099="","-",49135.83099/1752232.13505*100)</f>
        <v>2.8041850167642264</v>
      </c>
      <c r="E37" s="34">
        <f>IF(35224.72449="","-",35224.72449/1787603.34854*100)</f>
        <v>1.9705000283630763</v>
      </c>
      <c r="F37" s="34">
        <f>IF(OR(1427663.68281="",25367.75134="",49135.83099=""),"-",(49135.83099-25367.75134)/1427663.68281*100)</f>
        <v>1.6648234409954639</v>
      </c>
      <c r="G37" s="34">
        <f>IF(OR(1752232.13505="",35224.72449="",49135.83099=""),"-",(35224.72449-49135.83099)/1752232.13505*100)</f>
        <v>-0.7939077375500277</v>
      </c>
    </row>
    <row r="38" spans="1:7" s="9" customFormat="1" ht="63.75">
      <c r="A38" s="29" t="s">
        <v>222</v>
      </c>
      <c r="B38" s="34">
        <f>IF(12.60765="","-",12.60765)</f>
        <v>12.60765</v>
      </c>
      <c r="C38" s="34">
        <f>IF(OR(167.76151="",12.60765=""),"-",12.60765/167.76151*100)</f>
        <v>7.515222055404723</v>
      </c>
      <c r="D38" s="34">
        <f>IF(167.76151="","-",167.76151/1752232.13505*100)</f>
        <v>0.009574160103804564</v>
      </c>
      <c r="E38" s="34">
        <f>IF(12.60765="","-",12.60765/1787603.34854*100)</f>
        <v>0.0007052822993589222</v>
      </c>
      <c r="F38" s="34">
        <f>IF(OR(1427663.68281="",97.16534="",167.76151=""),"-",(167.76151-97.16534)/1427663.68281*100)</f>
        <v>0.004944873981878493</v>
      </c>
      <c r="G38" s="34">
        <f>IF(OR(1752232.13505="",12.60765="",167.76151=""),"-",(12.60765-167.76151)/1752232.13505*100)</f>
        <v>-0.008854640712063683</v>
      </c>
    </row>
    <row r="39" spans="1:7" s="9" customFormat="1" ht="25.5">
      <c r="A39" s="51" t="s">
        <v>193</v>
      </c>
      <c r="B39" s="33">
        <f>IF(79593.10047="","-",79593.10047)</f>
        <v>79593.10047</v>
      </c>
      <c r="C39" s="33">
        <f>IF(84102.27013="","-",79593.10047/84102.27013*100)</f>
        <v>94.63846855378576</v>
      </c>
      <c r="D39" s="33">
        <f>IF(84102.27013="","-",84102.27013/1752232.13505*100)</f>
        <v>4.799721934536953</v>
      </c>
      <c r="E39" s="33">
        <f>IF(79593.10047="","-",79593.10047/1787603.34854*100)</f>
        <v>4.452503433438215</v>
      </c>
      <c r="F39" s="33">
        <f>IF(1427663.68281="","-",(84102.27013-86716.0138)/1427663.68281*100)</f>
        <v>-0.1830783889420997</v>
      </c>
      <c r="G39" s="33">
        <f>IF(1752232.13505="","-",(79593.10047-84102.27013)/1752232.13505*100)</f>
        <v>-0.2573386008510414</v>
      </c>
    </row>
    <row r="40" spans="1:7" s="9" customFormat="1" ht="15.75">
      <c r="A40" s="29" t="s">
        <v>30</v>
      </c>
      <c r="B40" s="34">
        <f>IF(13340.56281="","-",13340.56281)</f>
        <v>13340.56281</v>
      </c>
      <c r="C40" s="34">
        <f>IF(OR(17499.2083="",13340.56281=""),"-",13340.56281/17499.2083*100)</f>
        <v>76.23523636780757</v>
      </c>
      <c r="D40" s="34">
        <f>IF(17499.2083="","-",17499.2083/1752232.13505*100)</f>
        <v>0.998680936729919</v>
      </c>
      <c r="E40" s="34">
        <f>IF(13340.56281="","-",13340.56281/1787603.34854*100)</f>
        <v>0.746282044106469</v>
      </c>
      <c r="F40" s="34">
        <f>IF(OR(1427663.68281="",15827.79576="",17499.2083=""),"-",(17499.2083-15827.79576)/1427663.68281*100)</f>
        <v>0.11707326873442903</v>
      </c>
      <c r="G40" s="34">
        <f>IF(OR(1752232.13505="",13340.56281="",17499.2083=""),"-",(13340.56281-17499.2083)/1752232.13505*100)</f>
        <v>-0.23733416405363048</v>
      </c>
    </row>
    <row r="41" spans="1:7" s="9" customFormat="1" ht="14.25" customHeight="1">
      <c r="A41" s="29" t="s">
        <v>31</v>
      </c>
      <c r="B41" s="34">
        <f>IF(844.45444="","-",844.45444)</f>
        <v>844.45444</v>
      </c>
      <c r="C41" s="34">
        <f>IF(OR(696.1364="",844.45444=""),"-",844.45444/696.1364*100)</f>
        <v>121.30588775418151</v>
      </c>
      <c r="D41" s="34">
        <f>IF(696.1364="","-",696.1364/1752232.13505*100)</f>
        <v>0.039728548864910285</v>
      </c>
      <c r="E41" s="34">
        <f>IF(844.45444="","-",844.45444/1787603.34854*100)</f>
        <v>0.04723947517158638</v>
      </c>
      <c r="F41" s="34">
        <f>IF(OR(1427663.68281="",748.19051="",696.1364=""),"-",(696.1364-748.19051)/1427663.68281*100)</f>
        <v>-0.0036461045151435457</v>
      </c>
      <c r="G41" s="34">
        <f>IF(OR(1752232.13505="",844.45444="",696.1364=""),"-",(844.45444-696.1364)/1752232.13505*100)</f>
        <v>0.008464520027522937</v>
      </c>
    </row>
    <row r="42" spans="1:7" s="9" customFormat="1" ht="15.75">
      <c r="A42" s="29" t="s">
        <v>194</v>
      </c>
      <c r="B42" s="34">
        <f>IF(612.0168="","-",612.0168)</f>
        <v>612.0168</v>
      </c>
      <c r="C42" s="34">
        <f>IF(OR(2359.56245="",612.0168=""),"-",612.0168/2359.56245*100)</f>
        <v>25.93772417424256</v>
      </c>
      <c r="D42" s="34">
        <f>IF(2359.56245="","-",2359.56245/1752232.13505*100)</f>
        <v>0.1346603799120868</v>
      </c>
      <c r="E42" s="34">
        <f>IF(612.0168="","-",612.0168/1787603.34854*100)</f>
        <v>0.03423672262081273</v>
      </c>
      <c r="F42" s="34">
        <f>IF(OR(1427663.68281="",691.06733="",2359.56245=""),"-",(2359.56245-691.06733)/1427663.68281*100)</f>
        <v>0.11686891948641458</v>
      </c>
      <c r="G42" s="34">
        <f>IF(OR(1752232.13505="",612.0168="",2359.56245=""),"-",(612.0168-2359.56245)/1752232.13505*100)</f>
        <v>-0.0997325419985026</v>
      </c>
    </row>
    <row r="43" spans="1:7" s="9" customFormat="1" ht="15" customHeight="1">
      <c r="A43" s="29" t="s">
        <v>195</v>
      </c>
      <c r="B43" s="34">
        <f>IF(50646.56592="","-",50646.56592)</f>
        <v>50646.56592</v>
      </c>
      <c r="C43" s="34">
        <f>IF(OR(43562.44302="",50646.56592=""),"-",50646.56592/43562.44302*100)</f>
        <v>116.2619963640414</v>
      </c>
      <c r="D43" s="34">
        <f>IF(43562.44302="","-",43562.44302/1752232.13505*100)</f>
        <v>2.4861114089062717</v>
      </c>
      <c r="E43" s="34">
        <f>IF(50646.56592="","-",50646.56592/1787603.34854*100)</f>
        <v>2.83321050843661</v>
      </c>
      <c r="F43" s="34">
        <f>IF(OR(1427663.68281="",41438.81329="",43562.44302=""),"-",(43562.44302-41438.81329)/1427663.68281*100)</f>
        <v>0.14874859923733336</v>
      </c>
      <c r="G43" s="34">
        <f>IF(OR(1752232.13505="",50646.56592="",43562.44302=""),"-",(50646.56592-43562.44302)/1752232.13505*100)</f>
        <v>0.4042913469223561</v>
      </c>
    </row>
    <row r="44" spans="1:7" s="9" customFormat="1" ht="38.25">
      <c r="A44" s="29" t="s">
        <v>196</v>
      </c>
      <c r="B44" s="34">
        <f>IF(9660.08843="","-",9660.08843)</f>
        <v>9660.08843</v>
      </c>
      <c r="C44" s="34">
        <f>IF(OR(15330.84692="",9660.08843=""),"-",9660.08843/15330.84692*100)</f>
        <v>63.01079438343253</v>
      </c>
      <c r="D44" s="34">
        <f>IF(15330.84692="","-",15330.84692/1752232.13505*100)</f>
        <v>0.8749324141097626</v>
      </c>
      <c r="E44" s="34">
        <f>IF(9660.08843="","-",9660.08843/1787603.34854*100)</f>
        <v>0.5403932834367167</v>
      </c>
      <c r="F44" s="34">
        <f>IF(OR(1427663.68281="",19854.30555="",15330.84692=""),"-",(15330.84692-19854.30555)/1427663.68281*100)</f>
        <v>-0.3168434333985929</v>
      </c>
      <c r="G44" s="34">
        <f>IF(OR(1752232.13505="",9660.08843="",15330.84692=""),"-",(9660.08843-15330.84692)/1752232.13505*100)</f>
        <v>-0.3236305496610576</v>
      </c>
    </row>
    <row r="45" spans="1:7" s="9" customFormat="1" ht="15.75" customHeight="1">
      <c r="A45" s="29" t="s">
        <v>32</v>
      </c>
      <c r="B45" s="34">
        <f>IF(1403.17498="","-",1403.17498)</f>
        <v>1403.17498</v>
      </c>
      <c r="C45" s="34">
        <f>IF(OR(1587.48637="",1403.17498=""),"-",1403.17498/1587.48637*100)</f>
        <v>88.3897340170549</v>
      </c>
      <c r="D45" s="34">
        <f>IF(1587.48637="","-",1587.48637/1752232.13505*100)</f>
        <v>0.09059794865334445</v>
      </c>
      <c r="E45" s="34">
        <f>IF(1403.17498="","-",1403.17498/1787603.34854*100)</f>
        <v>0.07849476122015679</v>
      </c>
      <c r="F45" s="34">
        <f>IF(OR(1427663.68281="",2562.30153="",1587.48637=""),"-",(1587.48637-2562.30153)/1427663.68281*100)</f>
        <v>-0.0682804481011466</v>
      </c>
      <c r="G45" s="34">
        <f>IF(OR(1752232.13505="",1403.17498="",1587.48637=""),"-",(1403.17498-1587.48637)/1752232.13505*100)</f>
        <v>-0.010518662813745323</v>
      </c>
    </row>
    <row r="46" spans="1:7" s="9" customFormat="1" ht="15.75">
      <c r="A46" s="29" t="s">
        <v>33</v>
      </c>
      <c r="B46" s="34">
        <f>IF(1621.44303="","-",1621.44303)</f>
        <v>1621.44303</v>
      </c>
      <c r="C46" s="34">
        <f>IF(OR(1249.69822="",1621.44303=""),"-",1621.44303/1249.69822*100)</f>
        <v>129.74676638332733</v>
      </c>
      <c r="D46" s="34">
        <f>IF(1249.69822="","-",1249.69822/1752232.13505*100)</f>
        <v>0.07132035733178355</v>
      </c>
      <c r="E46" s="34">
        <f>IF(1621.44303="","-",1621.44303/1787603.34854*100)</f>
        <v>0.0907048552646923</v>
      </c>
      <c r="F46" s="34">
        <f>IF(OR(1427663.68281="",2071.71817="",1249.69822=""),"-",(1249.69822-2071.71817)/1427663.68281*100)</f>
        <v>-0.05757798281889883</v>
      </c>
      <c r="G46" s="34">
        <f>IF(OR(1752232.13505="",1621.44303="",1249.69822=""),"-",(1621.44303-1249.69822)/1752232.13505*100)</f>
        <v>0.02121550007923991</v>
      </c>
    </row>
    <row r="47" spans="1:7" s="9" customFormat="1" ht="15.75">
      <c r="A47" s="29" t="s">
        <v>198</v>
      </c>
      <c r="B47" s="34">
        <f>IF(1436.49827="","-",1436.49827)</f>
        <v>1436.49827</v>
      </c>
      <c r="C47" s="34">
        <f>IF(OR(1816.88845="",1436.49827=""),"-",1436.49827/1816.88845*100)</f>
        <v>79.06364697293333</v>
      </c>
      <c r="D47" s="34">
        <f>IF(1816.88845="","-",1816.88845/1752232.13505*100)</f>
        <v>0.10368994002887381</v>
      </c>
      <c r="E47" s="34">
        <f>IF(1436.49827="","-",1436.49827/1787603.34854*100)</f>
        <v>0.0803588934409437</v>
      </c>
      <c r="F47" s="34">
        <f>IF(OR(1427663.68281="",3471.42166="",1816.88845=""),"-",(1816.88845-3471.42166)/1427663.68281*100)</f>
        <v>-0.11589096437218771</v>
      </c>
      <c r="G47" s="34">
        <f>IF(OR(1752232.13505="",1436.49827="",1816.88845=""),"-",(1436.49827-1816.88845)/1752232.13505*100)</f>
        <v>-0.021708891897998746</v>
      </c>
    </row>
    <row r="48" spans="1:7" s="9" customFormat="1" ht="25.5">
      <c r="A48" s="51" t="s">
        <v>34</v>
      </c>
      <c r="B48" s="33">
        <f>IF(116830.14182="","-",116830.14182)</f>
        <v>116830.14182</v>
      </c>
      <c r="C48" s="33">
        <f>IF(120083.83982="","-",116830.14182/120083.83982*100)</f>
        <v>97.29047804860576</v>
      </c>
      <c r="D48" s="33">
        <f>IF(120083.83982="","-",120083.83982/1752232.13505*100)</f>
        <v>6.8531924177143</v>
      </c>
      <c r="E48" s="33">
        <f>IF(116830.14182="","-",116830.14182/1787603.34854*100)</f>
        <v>6.535574120255447</v>
      </c>
      <c r="F48" s="33">
        <f>IF(1427663.68281="","-",(120083.83982-110956.48661)/1427663.68281*100)</f>
        <v>0.6393209633262554</v>
      </c>
      <c r="G48" s="33">
        <f>IF(1752232.13505="","-",(116830.14182-120083.83982)/1752232.13505*100)</f>
        <v>-0.18568875292925416</v>
      </c>
    </row>
    <row r="49" spans="1:7" s="9" customFormat="1" ht="15.75">
      <c r="A49" s="29" t="s">
        <v>199</v>
      </c>
      <c r="B49" s="34">
        <f>IF(368.83108="","-",368.83108)</f>
        <v>368.83108</v>
      </c>
      <c r="C49" s="34">
        <f>IF(OR(1156.04358="",368.83108=""),"-",368.83108/1156.04358*100)</f>
        <v>31.90459999786513</v>
      </c>
      <c r="D49" s="34">
        <f>IF(1156.04358="","-",1156.04358/1752232.13505*100)</f>
        <v>0.06597548103790553</v>
      </c>
      <c r="E49" s="34">
        <f>IF(368.83108="","-",368.83108/1787603.34854*100)</f>
        <v>0.02063271364429014</v>
      </c>
      <c r="F49" s="34">
        <f>IF(OR(1427663.68281="",1619.891="",1156.04358=""),"-",(1156.04358-1619.891)/1427663.68281*100)</f>
        <v>-0.032489964239128935</v>
      </c>
      <c r="G49" s="34">
        <f>IF(OR(1752232.13505="",368.83108="",1156.04358=""),"-",(368.83108-1156.04358)/1752232.13505*100)</f>
        <v>-0.04492626771609442</v>
      </c>
    </row>
    <row r="50" spans="1:7" s="9" customFormat="1" ht="15.75">
      <c r="A50" s="29" t="s">
        <v>35</v>
      </c>
      <c r="B50" s="34">
        <f>IF(1228.34488="","-",1228.34488)</f>
        <v>1228.34488</v>
      </c>
      <c r="C50" s="34">
        <f>IF(OR(1004.0371="",1228.34488=""),"-",1228.34488/1004.0371*100)</f>
        <v>122.34058681696125</v>
      </c>
      <c r="D50" s="34">
        <f>IF(1004.0371="","-",1004.0371/1752232.13505*100)</f>
        <v>0.05730046150371223</v>
      </c>
      <c r="E50" s="34">
        <f>IF(1228.34488="","-",1228.34488/1787603.34854*100)</f>
        <v>0.0687146217869436</v>
      </c>
      <c r="F50" s="34">
        <f>IF(OR(1427663.68281="",1472.91577="",1004.0371=""),"-",(1004.0371-1472.91577)/1427663.68281*100)</f>
        <v>-0.03284237566911623</v>
      </c>
      <c r="G50" s="34">
        <f>IF(OR(1752232.13505="",1228.34488="",1004.0371=""),"-",(1228.34488-1004.0371)/1752232.13505*100)</f>
        <v>0.012801259348756294</v>
      </c>
    </row>
    <row r="51" spans="1:7" ht="15.75">
      <c r="A51" s="29" t="s">
        <v>36</v>
      </c>
      <c r="B51" s="34">
        <f>IF(13807.99187="","-",13807.99187)</f>
        <v>13807.99187</v>
      </c>
      <c r="C51" s="34">
        <f>IF(OR(10777.5023="",13807.99187=""),"-",13807.99187/10777.5023*100)</f>
        <v>128.1186631711505</v>
      </c>
      <c r="D51" s="34">
        <f>IF(10777.5023="","-",10777.5023/1752232.13505*100)</f>
        <v>0.6150727454665968</v>
      </c>
      <c r="E51" s="34">
        <f>IF(13807.99187="","-",13807.99187/1787603.34854*100)</f>
        <v>0.7724304097593845</v>
      </c>
      <c r="F51" s="34">
        <f>IF(OR(1427663.68281="",6177.88419="",10777.5023=""),"-",(10777.5023-6177.88419)/1427663.68281*100)</f>
        <v>0.3221779866912913</v>
      </c>
      <c r="G51" s="34">
        <f>IF(OR(1752232.13505="",13807.99187="",10777.5023=""),"-",(13807.99187-10777.5023)/1752232.13505*100)</f>
        <v>0.1729502335553003</v>
      </c>
    </row>
    <row r="52" spans="1:7" ht="25.5">
      <c r="A52" s="29" t="s">
        <v>200</v>
      </c>
      <c r="B52" s="34">
        <f>IF(7193.39788="","-",7193.39788)</f>
        <v>7193.39788</v>
      </c>
      <c r="C52" s="34">
        <f>IF(OR(6347.30646="",7193.39788=""),"-",7193.39788/6347.30646*100)</f>
        <v>113.32992861353036</v>
      </c>
      <c r="D52" s="34">
        <f>IF(6347.30646="","-",6347.30646/1752232.13505*100)</f>
        <v>0.3622411855732163</v>
      </c>
      <c r="E52" s="34">
        <f>IF(7193.39788="","-",7193.39788/1787603.34854*100)</f>
        <v>0.4024045874536489</v>
      </c>
      <c r="F52" s="34">
        <f>IF(OR(1427663.68281="",4918.01231="",6347.30646=""),"-",(6347.30646-4918.01231)/1427663.68281*100)</f>
        <v>0.100114205271846</v>
      </c>
      <c r="G52" s="34">
        <f>IF(OR(1752232.13505="",7193.39788="",6347.30646=""),"-",(7193.39788-6347.30646)/1752232.13505*100)</f>
        <v>0.04828649144571575</v>
      </c>
    </row>
    <row r="53" spans="1:7" ht="26.25" customHeight="1">
      <c r="A53" s="29" t="s">
        <v>201</v>
      </c>
      <c r="B53" s="34">
        <f>IF(42361.4222="","-",42361.4222)</f>
        <v>42361.4222</v>
      </c>
      <c r="C53" s="34">
        <f>IF(OR(48315.04643="",42361.4222=""),"-",42361.4222/48315.04643*100)</f>
        <v>87.67749454897917</v>
      </c>
      <c r="D53" s="34">
        <f>IF(48315.04643="","-",48315.04643/1752232.13505*100)</f>
        <v>2.7573427894370472</v>
      </c>
      <c r="E53" s="34">
        <f>IF(42361.4222="","-",42361.4222/1787603.34854*100)</f>
        <v>2.3697327617224535</v>
      </c>
      <c r="F53" s="34">
        <f>IF(OR(1427663.68281="",55302.74238="",48315.04643=""),"-",(48315.04643-55302.74238)/1427663.68281*100)</f>
        <v>-0.48944972363844574</v>
      </c>
      <c r="G53" s="34">
        <f>IF(OR(1752232.13505="",42361.4222="",48315.04643=""),"-",(42361.4222-48315.04643)/1752232.13505*100)</f>
        <v>-0.3397737155317103</v>
      </c>
    </row>
    <row r="54" spans="1:7" ht="15.75">
      <c r="A54" s="29" t="s">
        <v>37</v>
      </c>
      <c r="B54" s="34">
        <f>IF(32707.58574="","-",32707.58574)</f>
        <v>32707.58574</v>
      </c>
      <c r="C54" s="34">
        <f>IF(OR(32948.20726="",32707.58574=""),"-",32707.58574/32948.20726*100)</f>
        <v>99.26969768612533</v>
      </c>
      <c r="D54" s="34">
        <f>IF(32948.20726="","-",32948.20726/1752232.13505*100)</f>
        <v>1.8803562953181328</v>
      </c>
      <c r="E54" s="34">
        <f>IF(32707.58574="","-",32707.58574/1787603.34854*100)</f>
        <v>1.829689218624113</v>
      </c>
      <c r="F54" s="34">
        <f>IF(OR(1427663.68281="",19904.61059="",32948.20726=""),"-",(32948.20726-19904.61059)/1427663.68281*100)</f>
        <v>0.913632308999199</v>
      </c>
      <c r="G54" s="34">
        <f>IF(OR(1752232.13505="",32707.58574="",32948.20726=""),"-",(32707.58574-32948.20726)/1752232.13505*100)</f>
        <v>-0.013732285533796473</v>
      </c>
    </row>
    <row r="55" spans="1:7" ht="15.75">
      <c r="A55" s="29" t="s">
        <v>202</v>
      </c>
      <c r="B55" s="34">
        <f>IF(2401.72029="","-",2401.72029)</f>
        <v>2401.72029</v>
      </c>
      <c r="C55" s="34">
        <f>IF(OR(1979.34798="",2401.72029=""),"-",2401.72029/1979.34798*100)</f>
        <v>121.33896183328008</v>
      </c>
      <c r="D55" s="34">
        <f>IF(1979.34798="","-",1979.34798/1752232.13505*100)</f>
        <v>0.11296151579502445</v>
      </c>
      <c r="E55" s="34">
        <f>IF(2401.72029="","-",2401.72029/1787603.34854*100)</f>
        <v>0.134354206259547</v>
      </c>
      <c r="F55" s="34">
        <f>IF(OR(1427663.68281="",1709.38537="",1979.34798=""),"-",(1979.34798-1709.38537)/1427663.68281*100)</f>
        <v>0.018909398148214147</v>
      </c>
      <c r="G55" s="34">
        <f>IF(OR(1752232.13505="",2401.72029="",1979.34798=""),"-",(2401.72029-1979.34798)/1752232.13505*100)</f>
        <v>0.024104814741794916</v>
      </c>
    </row>
    <row r="56" spans="1:7" ht="15.75">
      <c r="A56" s="29" t="s">
        <v>38</v>
      </c>
      <c r="B56" s="34">
        <f>IF(938.66081="","-",938.66081)</f>
        <v>938.66081</v>
      </c>
      <c r="C56" s="34">
        <f>IF(OR(1628.45913="",938.66081=""),"-",938.66081/1628.45913*100)</f>
        <v>57.641041933917</v>
      </c>
      <c r="D56" s="34">
        <f>IF(1628.45913="","-",1628.45913/1752232.13505*100)</f>
        <v>0.09293626668669286</v>
      </c>
      <c r="E56" s="34">
        <f>IF(938.66081="","-",938.66081/1787603.34854*100)</f>
        <v>0.05250945690869499</v>
      </c>
      <c r="F56" s="34">
        <f>IF(OR(1427663.68281="",2358.06863="",1628.45913=""),"-",(1628.45913-2358.06863)/1427663.68281*100)</f>
        <v>-0.05110513833089498</v>
      </c>
      <c r="G56" s="34">
        <f>IF(OR(1752232.13505="",938.66081="",1628.45913=""),"-",(938.66081-1628.45913)/1752232.13505*100)</f>
        <v>-0.03936683423399928</v>
      </c>
    </row>
    <row r="57" spans="1:7" ht="15.75">
      <c r="A57" s="29" t="s">
        <v>39</v>
      </c>
      <c r="B57" s="34">
        <f>IF(15822.18707="","-",15822.18707)</f>
        <v>15822.18707</v>
      </c>
      <c r="C57" s="34">
        <f>IF(OR(15927.88958="",15822.18707=""),"-",15822.18707/15927.88958*100)</f>
        <v>99.33636839036902</v>
      </c>
      <c r="D57" s="34">
        <f>IF(15927.88958="","-",15927.88958/1752232.13505*100)</f>
        <v>0.9090056768959723</v>
      </c>
      <c r="E57" s="34">
        <f>IF(15822.18707="","-",15822.18707/1787603.34854*100)</f>
        <v>0.8851061440963707</v>
      </c>
      <c r="F57" s="34">
        <f>IF(OR(1427663.68281="",17492.97637="",15927.88958=""),"-",(15927.88958-17492.97637)/1427663.68281*100)</f>
        <v>-0.10962573390670821</v>
      </c>
      <c r="G57" s="34">
        <f>IF(OR(1752232.13505="",15822.18707="",15927.88958=""),"-",(15822.18707-15927.88958)/1752232.13505*100)</f>
        <v>-0.006032449005221728</v>
      </c>
    </row>
    <row r="58" spans="1:7" ht="25.5">
      <c r="A58" s="51" t="s">
        <v>203</v>
      </c>
      <c r="B58" s="33">
        <f>IF(442915.65472="","-",442915.65472)</f>
        <v>442915.65472</v>
      </c>
      <c r="C58" s="33">
        <f>IF(367729.29121="","-",442915.65472/367729.29121*100)</f>
        <v>120.44611764882856</v>
      </c>
      <c r="D58" s="33">
        <f>IF(367729.29121="","-",367729.29121/1752232.13505*100)</f>
        <v>20.98633416510803</v>
      </c>
      <c r="E58" s="33">
        <f>IF(442915.65472="","-",442915.65472/1787603.34854*100)</f>
        <v>24.777065621506313</v>
      </c>
      <c r="F58" s="33">
        <f>IF(1427663.68281="","-",(367729.29121-264591.00763)/1427663.68281*100)</f>
        <v>7.224270311128038</v>
      </c>
      <c r="G58" s="33">
        <f>IF(1752232.13505="","-",(442915.65472-367729.29121)/1752232.13505*100)</f>
        <v>4.290890573574291</v>
      </c>
    </row>
    <row r="59" spans="1:7" ht="25.5">
      <c r="A59" s="29" t="s">
        <v>204</v>
      </c>
      <c r="B59" s="34">
        <f>IF(2075.41854="","-",2075.41854)</f>
        <v>2075.41854</v>
      </c>
      <c r="C59" s="34">
        <f>IF(OR(2074.07136="",2075.41854=""),"-",2075.41854/2074.07136*100)</f>
        <v>100.06495340642476</v>
      </c>
      <c r="D59" s="34">
        <f>IF(2074.07136="","-",2074.07136/1752232.13505*100)</f>
        <v>0.11836738514904684</v>
      </c>
      <c r="E59" s="34">
        <f>IF(2075.41854="","-",2075.41854/1787603.34854*100)</f>
        <v>0.11610061827726319</v>
      </c>
      <c r="F59" s="34">
        <f>IF(OR(1427663.68281="",1869.14949="",2074.07136=""),"-",(2074.07136-1869.14949)/1427663.68281*100)</f>
        <v>0.014353651526433895</v>
      </c>
      <c r="G59" s="34">
        <f>IF(OR(1752232.13505="",2075.41854="",2074.07136=""),"-",(2075.41854-2074.07136)/1752232.13505*100)</f>
        <v>7.688364875021344E-05</v>
      </c>
    </row>
    <row r="60" spans="1:7" ht="25.5">
      <c r="A60" s="29" t="s">
        <v>223</v>
      </c>
      <c r="B60" s="34">
        <f>IF(9407.16983="","-",9407.16983)</f>
        <v>9407.16983</v>
      </c>
      <c r="C60" s="34">
        <f>IF(OR(9792.10617="",9407.16983=""),"-",9407.16983/9792.10617*100)</f>
        <v>96.06891169971865</v>
      </c>
      <c r="D60" s="34">
        <f>IF(9792.10617="","-",9792.10617/1752232.13505*100)</f>
        <v>0.5588361253128474</v>
      </c>
      <c r="E60" s="34">
        <f>IF(9407.16983="","-",9407.16983/1787603.34854*100)</f>
        <v>0.5262448091565265</v>
      </c>
      <c r="F60" s="34">
        <f>IF(OR(1427663.68281="",5666.87367="",9792.10617=""),"-",(9792.10617-5666.87367)/1427663.68281*100)</f>
        <v>0.28894988012026107</v>
      </c>
      <c r="G60" s="34">
        <f>IF(OR(1752232.13505="",9407.16983="",9792.10617=""),"-",(9407.16983-9792.10617)/1752232.13505*100)</f>
        <v>-0.02196834153991898</v>
      </c>
    </row>
    <row r="61" spans="1:7" ht="25.5">
      <c r="A61" s="29" t="s">
        <v>205</v>
      </c>
      <c r="B61" s="34">
        <f>IF(1679.34537="","-",1679.34537)</f>
        <v>1679.34537</v>
      </c>
      <c r="C61" s="34">
        <f>IF(OR(1551.16156="",1679.34537=""),"-",1679.34537/1551.16156*100)</f>
        <v>108.26373043952945</v>
      </c>
      <c r="D61" s="34">
        <f>IF(1551.16156="","-",1551.16156/1752232.13505*100)</f>
        <v>0.08852488942372568</v>
      </c>
      <c r="E61" s="34">
        <f>IF(1679.34537="","-",1679.34537/1787603.34854*100)</f>
        <v>0.09394395973645842</v>
      </c>
      <c r="F61" s="34">
        <f>IF(OR(1427663.68281="",983.35257="",1551.16156=""),"-",(1551.16156-983.35257)/1427663.68281*100)</f>
        <v>0.03977190124234369</v>
      </c>
      <c r="G61" s="34">
        <f>IF(OR(1752232.13505="",1679.34537="",1551.16156=""),"-",(1679.34537-1551.16156)/1752232.13505*100)</f>
        <v>0.007315458233868213</v>
      </c>
    </row>
    <row r="62" spans="1:7" ht="38.25">
      <c r="A62" s="29" t="s">
        <v>206</v>
      </c>
      <c r="B62" s="34">
        <f>IF(15763.3145="","-",15763.3145)</f>
        <v>15763.3145</v>
      </c>
      <c r="C62" s="34">
        <f>IF(OR(13494.96529="",15763.3145=""),"-",15763.3145/13494.96529*100)</f>
        <v>116.80885546019807</v>
      </c>
      <c r="D62" s="34">
        <f>IF(13494.96529="","-",13494.96529/1752232.13505*100)</f>
        <v>0.7701585320837026</v>
      </c>
      <c r="E62" s="34">
        <f>IF(15763.3145="","-",15763.3145/1787603.34854*100)</f>
        <v>0.8818127641612703</v>
      </c>
      <c r="F62" s="34">
        <f>IF(OR(1427663.68281="",19955.72818="",13494.96529=""),"-",(13494.96529-19955.72818)/1427663.68281*100)</f>
        <v>-0.4525409567947822</v>
      </c>
      <c r="G62" s="34">
        <f>IF(OR(1752232.13505="",15763.3145="",13494.96529=""),"-",(15763.3145-13494.96529)/1752232.13505*100)</f>
        <v>0.1294548344723328</v>
      </c>
    </row>
    <row r="63" spans="1:7" ht="25.5">
      <c r="A63" s="29" t="s">
        <v>207</v>
      </c>
      <c r="B63" s="34">
        <f>IF(743.91849="","-",743.91849)</f>
        <v>743.91849</v>
      </c>
      <c r="C63" s="34">
        <f>IF(OR(890.431="",743.91849=""),"-",743.91849/890.431*100)</f>
        <v>83.54588845177223</v>
      </c>
      <c r="D63" s="34">
        <f>IF(890.431="","-",890.431/1752232.13505*100)</f>
        <v>0.050816954111767364</v>
      </c>
      <c r="E63" s="34">
        <f>IF(743.91849="","-",743.91849/1787603.34854*100)</f>
        <v>0.041615411528938176</v>
      </c>
      <c r="F63" s="34">
        <f>IF(OR(1427663.68281="",549.18356="",890.431=""),"-",(890.431-549.18356)/1427663.68281*100)</f>
        <v>0.023902508980850414</v>
      </c>
      <c r="G63" s="34">
        <f>IF(OR(1752232.13505="",743.91849="",890.431=""),"-",(743.91849-890.431)/1752232.13505*100)</f>
        <v>-0.008361478314961921</v>
      </c>
    </row>
    <row r="64" spans="1:7" ht="38.25">
      <c r="A64" s="29" t="s">
        <v>208</v>
      </c>
      <c r="B64" s="34">
        <f>IF(2256.73171="","-",2256.73171)</f>
        <v>2256.73171</v>
      </c>
      <c r="C64" s="34">
        <f>IF(OR(2990.80734="",2256.73171=""),"-",2256.73171/2990.80734*100)</f>
        <v>75.45560290085419</v>
      </c>
      <c r="D64" s="34">
        <f>IF(2990.80734="","-",2990.80734/1752232.13505*100)</f>
        <v>0.17068556615157943</v>
      </c>
      <c r="E64" s="34">
        <f>IF(2256.73171="","-",2256.73171/1787603.34854*100)</f>
        <v>0.1262434259727223</v>
      </c>
      <c r="F64" s="34">
        <f>IF(OR(1427663.68281="",2927.41052="",2990.80734=""),"-",(2990.80734-2927.41052)/1427663.68281*100)</f>
        <v>0.004440599054478931</v>
      </c>
      <c r="G64" s="34">
        <f>IF(OR(1752232.13505="",2256.73171="",2990.80734=""),"-",(2256.73171-2990.80734)/1752232.13505*100)</f>
        <v>-0.04189374314716886</v>
      </c>
    </row>
    <row r="65" spans="1:7" ht="51">
      <c r="A65" s="29" t="s">
        <v>224</v>
      </c>
      <c r="B65" s="34">
        <f>IF(391698.91778="","-",391698.91778)</f>
        <v>391698.91778</v>
      </c>
      <c r="C65" s="34">
        <f>IF(OR(323359.19182="",391698.91778=""),"-",391698.91778/323359.19182*100)</f>
        <v>121.13430750966305</v>
      </c>
      <c r="D65" s="34">
        <f>IF(323359.19182="","-",323359.19182/1752232.13505*100)</f>
        <v>18.454129755517407</v>
      </c>
      <c r="E65" s="34">
        <f>IF(391698.91778="","-",391698.91778/1787603.34854*100)</f>
        <v>21.911959277762296</v>
      </c>
      <c r="F65" s="34">
        <f>IF(OR(1427663.68281="",201471.27385="",323359.19182=""),"-",(323359.19182-201471.27385)/1427663.68281*100)</f>
        <v>8.537579223847317</v>
      </c>
      <c r="G65" s="34">
        <f>IF(OR(1752232.13505="",391698.91778="",323359.19182=""),"-",(391698.91778-323359.19182)/1752232.13505*100)</f>
        <v>3.900152530763279</v>
      </c>
    </row>
    <row r="66" spans="1:7" ht="25.5">
      <c r="A66" s="29" t="s">
        <v>40</v>
      </c>
      <c r="B66" s="34">
        <f>IF(16431.79347="","-",16431.79347)</f>
        <v>16431.79347</v>
      </c>
      <c r="C66" s="34">
        <f>IF(OR(13206.52792="",16431.79347=""),"-",16431.79347/13206.52792*100)</f>
        <v>124.42175240560883</v>
      </c>
      <c r="D66" s="34">
        <f>IF(13206.52792="","-",13206.52792/1752232.13505*100)</f>
        <v>0.7536973929326523</v>
      </c>
      <c r="E66" s="34">
        <f>IF(16431.79347="","-",16431.79347/1787603.34854*100)</f>
        <v>0.9192080269608154</v>
      </c>
      <c r="F66" s="34">
        <f>IF(OR(1427663.68281="",18439.27718="",13206.52792=""),"-",(13206.52792-18439.27718)/1427663.68281*100)</f>
        <v>-0.3665253464808069</v>
      </c>
      <c r="G66" s="34">
        <f>IF(OR(1752232.13505="",16431.79347="",13206.52792=""),"-",(16431.79347-13206.52792)/1752232.13505*100)</f>
        <v>0.18406611118954094</v>
      </c>
    </row>
    <row r="67" spans="1:7" ht="15.75">
      <c r="A67" s="29" t="s">
        <v>41</v>
      </c>
      <c r="B67" s="34">
        <f>IF(2859.04503="","-",2859.04503)</f>
        <v>2859.04503</v>
      </c>
      <c r="C67" s="34">
        <f>IF(OR(370.02875="",2859.04503=""),"-",2859.04503/370.02875*100)</f>
        <v>772.6548356039903</v>
      </c>
      <c r="D67" s="34">
        <f>IF(370.02875="","-",370.02875/1752232.13505*100)</f>
        <v>0.021117564425300377</v>
      </c>
      <c r="E67" s="34">
        <f>IF(2859.04503="","-",2859.04503/1787603.34854*100)</f>
        <v>0.15993732795002233</v>
      </c>
      <c r="F67" s="34">
        <f>IF(OR(1427663.68281="",12728.75861="",370.02875=""),"-",(370.02875-12728.75861)/1427663.68281*100)</f>
        <v>-0.865661150368056</v>
      </c>
      <c r="G67" s="34">
        <f>IF(OR(1752232.13505="",2859.04503="",370.02875=""),"-",(2859.04503-370.02875)/1752232.13505*100)</f>
        <v>0.14204831826857098</v>
      </c>
    </row>
    <row r="68" spans="1:7" ht="15.75">
      <c r="A68" s="51" t="s">
        <v>42</v>
      </c>
      <c r="B68" s="33">
        <f>IF(386760.0254="","-",386760.0254)</f>
        <v>386760.0254</v>
      </c>
      <c r="C68" s="33">
        <f>IF(413868.81673="","-",386760.0254/413868.81673*100)</f>
        <v>93.44990725704147</v>
      </c>
      <c r="D68" s="33">
        <f>IF(413868.81673="","-",413868.81673/1752232.13505*100)</f>
        <v>23.61951983708998</v>
      </c>
      <c r="E68" s="33">
        <f>IF(386760.0254="","-",386760.0254/1787603.34854*100)</f>
        <v>21.635673580264932</v>
      </c>
      <c r="F68" s="33">
        <f>IF(1427663.68281="","-",(413868.81673-341246.32539)/1427663.68281*100)</f>
        <v>5.086806662831175</v>
      </c>
      <c r="G68" s="33">
        <f>IF(1752232.13505="","-",(386760.0254-413868.81673)/1752232.13505*100)</f>
        <v>-1.5471004547708793</v>
      </c>
    </row>
    <row r="69" spans="1:7" ht="38.25">
      <c r="A69" s="29" t="s">
        <v>209</v>
      </c>
      <c r="B69" s="34">
        <f>IF(5808.63841="","-",5808.63841)</f>
        <v>5808.63841</v>
      </c>
      <c r="C69" s="34">
        <f>IF(OR(4970.65266="",5808.63841=""),"-",5808.63841/4970.65266*100)</f>
        <v>116.85866640297493</v>
      </c>
      <c r="D69" s="34">
        <f>IF(4970.65266="","-",4970.65266/1752232.13505*100)</f>
        <v>0.28367546517220804</v>
      </c>
      <c r="E69" s="34">
        <f>IF(5808.63841="","-",5808.63841/1787603.34854*100)</f>
        <v>0.324940004992949</v>
      </c>
      <c r="F69" s="34">
        <f>IF(OR(1427663.68281="",6184.05493="",4970.65266=""),"-",(4970.65266-6184.05493)/1427663.68281*100)</f>
        <v>-0.0849921647941426</v>
      </c>
      <c r="G69" s="34">
        <f>IF(OR(1752232.13505="",5808.63841="",4970.65266=""),"-",(5808.63841-4970.65266)/1752232.13505*100)</f>
        <v>0.04782390034046989</v>
      </c>
    </row>
    <row r="70" spans="1:7" ht="15.75">
      <c r="A70" s="29" t="s">
        <v>210</v>
      </c>
      <c r="B70" s="34">
        <f>IF(96709.04987="","-",96709.04987)</f>
        <v>96709.04987</v>
      </c>
      <c r="C70" s="34">
        <f>IF(OR(105161.15824="",96709.04987=""),"-",96709.04987/105161.15824*100)</f>
        <v>91.962708939825</v>
      </c>
      <c r="D70" s="34">
        <f>IF(105161.15824="","-",105161.15824/1752232.13505*100)</f>
        <v>6.001554025659918</v>
      </c>
      <c r="E70" s="34">
        <f>IF(96709.04987="","-",96709.04987/1787603.34854*100)</f>
        <v>5.409983705221059</v>
      </c>
      <c r="F70" s="34">
        <f>IF(OR(1427663.68281="",84324.98088="",105161.15824=""),"-",(105161.15824-84324.98088)/1427663.68281*100)</f>
        <v>1.4594597881056401</v>
      </c>
      <c r="G70" s="34">
        <f>IF(OR(1752232.13505="",96709.04987="",105161.15824=""),"-",(96709.04987-105161.15824)/1752232.13505*100)</f>
        <v>-0.4823623651759372</v>
      </c>
    </row>
    <row r="71" spans="1:7" ht="15.75">
      <c r="A71" s="29" t="s">
        <v>211</v>
      </c>
      <c r="B71" s="34">
        <f>IF(8885.84904="","-",8885.84904)</f>
        <v>8885.84904</v>
      </c>
      <c r="C71" s="34">
        <f>IF(OR(11675.44942="",8885.84904=""),"-",8885.84904/11675.44942*100)</f>
        <v>76.10712633278658</v>
      </c>
      <c r="D71" s="34">
        <f>IF(11675.44942="","-",11675.44942/1752232.13505*100)</f>
        <v>0.6663186450274091</v>
      </c>
      <c r="E71" s="34">
        <f>IF(8885.84904="","-",8885.84904/1787603.34854*100)</f>
        <v>0.4970816958503346</v>
      </c>
      <c r="F71" s="34">
        <f>IF(OR(1427663.68281="",7974.6354="",11675.44942=""),"-",(11675.44942-7974.6354)/1427663.68281*100)</f>
        <v>0.25922169657743704</v>
      </c>
      <c r="G71" s="34">
        <f>IF(OR(1752232.13505="",8885.84904="",11675.44942=""),"-",(8885.84904-11675.44942)/1752232.13505*100)</f>
        <v>-0.15920267207748706</v>
      </c>
    </row>
    <row r="72" spans="1:7" ht="15.75">
      <c r="A72" s="29" t="s">
        <v>212</v>
      </c>
      <c r="B72" s="34">
        <f>IF(190386.93281="","-",190386.93281)</f>
        <v>190386.93281</v>
      </c>
      <c r="C72" s="34">
        <f>IF(OR(212241.73886="",190386.93281=""),"-",190386.93281/212241.73886*100)</f>
        <v>89.7028708078876</v>
      </c>
      <c r="D72" s="34">
        <f>IF(212241.73886="","-",212241.73886/1752232.13505*100)</f>
        <v>12.112649609290706</v>
      </c>
      <c r="E72" s="34">
        <f>IF(190386.93281="","-",190386.93281/1787603.34854*100)</f>
        <v>10.65040144199192</v>
      </c>
      <c r="F72" s="34">
        <f>IF(OR(1427663.68281="",175804.18049="",212241.73886=""),"-",(212241.73886-175804.18049)/1427663.68281*100)</f>
        <v>2.5522508423189536</v>
      </c>
      <c r="G72" s="34">
        <f>IF(OR(1752232.13505="",190386.93281="",212241.73886=""),"-",(190386.93281-212241.73886)/1752232.13505*100)</f>
        <v>-1.2472551788565611</v>
      </c>
    </row>
    <row r="73" spans="1:7" ht="15.75">
      <c r="A73" s="29" t="s">
        <v>280</v>
      </c>
      <c r="B73" s="34">
        <f>IF(23487.69087="","-",23487.69087)</f>
        <v>23487.69087</v>
      </c>
      <c r="C73" s="34">
        <f>IF(OR(25164.18306="",23487.69087=""),"-",23487.69087/25164.18306*100)</f>
        <v>93.3377841593241</v>
      </c>
      <c r="D73" s="34">
        <f>IF(25164.18306="","-",25164.18306/1752232.13505*100)</f>
        <v>1.4361215364471067</v>
      </c>
      <c r="E73" s="34">
        <f>IF(23487.69087="","-",23487.69087/1787603.34854*100)</f>
        <v>1.3139207245938112</v>
      </c>
      <c r="F73" s="34">
        <f>IF(OR(1427663.68281="",22119.35197="",25164.18306=""),"-",(25164.18306-22119.35197)/1427663.68281*100)</f>
        <v>0.21327369510492897</v>
      </c>
      <c r="G73" s="34">
        <f>IF(OR(1752232.13505="",23487.69087="",25164.18306=""),"-",(23487.69087-25164.18306)/1752232.13505*100)</f>
        <v>-0.09567751649253722</v>
      </c>
    </row>
    <row r="74" spans="1:7" ht="25.5">
      <c r="A74" s="29" t="s">
        <v>214</v>
      </c>
      <c r="B74" s="34">
        <f>IF(15566.95442="","-",15566.95442)</f>
        <v>15566.95442</v>
      </c>
      <c r="C74" s="34">
        <f>IF(OR(15529.47895="",15566.95442=""),"-",15566.95442/15529.47895*100)</f>
        <v>100.24131827037249</v>
      </c>
      <c r="D74" s="34">
        <f>IF(15529.47895="","-",15529.47895/1752232.13505*100)</f>
        <v>0.886268356764092</v>
      </c>
      <c r="E74" s="34">
        <f>IF(15566.95442="","-",15566.95442/1787603.34854*100)</f>
        <v>0.8708282199579729</v>
      </c>
      <c r="F74" s="34">
        <f>IF(OR(1427663.68281="",15844.28554="",15529.47895=""),"-",(15529.47895-15844.28554)/1427663.68281*100)</f>
        <v>-0.022050472656163802</v>
      </c>
      <c r="G74" s="34">
        <f>IF(OR(1752232.13505="",15566.95442="",15529.47895=""),"-",(15566.95442-15529.47895)/1752232.13505*100)</f>
        <v>0.0021387274694017666</v>
      </c>
    </row>
    <row r="75" spans="1:7" ht="25.5">
      <c r="A75" s="29" t="s">
        <v>215</v>
      </c>
      <c r="B75" s="34">
        <f>IF(2663.58287="","-",2663.58287)</f>
        <v>2663.58287</v>
      </c>
      <c r="C75" s="34">
        <f>IF(OR(2317.73034="",2663.58287=""),"-",2663.58287/2317.73034*100)</f>
        <v>114.92203489039197</v>
      </c>
      <c r="D75" s="34">
        <f>IF(2317.73034="","-",2317.73034/1752232.13505*100)</f>
        <v>0.1322730187192842</v>
      </c>
      <c r="E75" s="34">
        <f>IF(2663.58287="","-",2663.58287/1787603.34854*100)</f>
        <v>0.14900301412924988</v>
      </c>
      <c r="F75" s="34">
        <f>IF(OR(1427663.68281="",1684.84449="",2317.73034=""),"-",(2317.73034-1684.84449)/1427663.68281*100)</f>
        <v>0.04433017787174653</v>
      </c>
      <c r="G75" s="34">
        <f>IF(OR(1752232.13505="",2663.58287="",2317.73034=""),"-",(2663.58287-2317.73034)/1752232.13505*100)</f>
        <v>0.019737826003866275</v>
      </c>
    </row>
    <row r="76" spans="1:7" ht="15.75">
      <c r="A76" s="29" t="s">
        <v>43</v>
      </c>
      <c r="B76" s="34">
        <f>IF(43251.32711="","-",43251.32711)</f>
        <v>43251.32711</v>
      </c>
      <c r="C76" s="34">
        <f>IF(OR(36808.4252="",43251.32711=""),"-",43251.32711/36808.4252*100)</f>
        <v>117.50387818819263</v>
      </c>
      <c r="D76" s="34">
        <f>IF(36808.4252="","-",36808.4252/1752232.13505*100)</f>
        <v>2.1006591800092553</v>
      </c>
      <c r="E76" s="34">
        <f>IF(43251.32711="","-",43251.32711/1787603.34854*100)</f>
        <v>2.419514773527635</v>
      </c>
      <c r="F76" s="34">
        <f>IF(OR(1427663.68281="",27309.99169="",36808.4252=""),"-",(36808.4252-27309.99169)/1427663.68281*100)</f>
        <v>0.6653131003027759</v>
      </c>
      <c r="G76" s="34">
        <f>IF(OR(1752232.13505="",43251.32711="",36808.4252=""),"-",(43251.32711-36808.4252)/1752232.13505*100)</f>
        <v>0.36769682401790627</v>
      </c>
    </row>
    <row r="77" spans="1:7" ht="25.5">
      <c r="A77" s="53" t="s">
        <v>216</v>
      </c>
      <c r="B77" s="54">
        <f>IF(462.98741="","-",462.98741)</f>
        <v>462.98741</v>
      </c>
      <c r="C77" s="54">
        <f>IF(747.2806="","-",462.98741/747.2806*100)</f>
        <v>61.95629994944335</v>
      </c>
      <c r="D77" s="54">
        <f>IF(747.2806="","-",747.2806/1752232.13505*100)</f>
        <v>0.04264735162950749</v>
      </c>
      <c r="E77" s="54">
        <f>IF(462.98741="","-",462.98741/1787603.34854*100)</f>
        <v>0.025899896102686233</v>
      </c>
      <c r="F77" s="54">
        <f>IF(1427663.68281="","-",(747.2806-317.93669)/1427663.68281*100)</f>
        <v>0.030073182862993587</v>
      </c>
      <c r="G77" s="54">
        <f>IF(1752232.13505="","-",(462.98741-747.2806)/1752232.13505*100)</f>
        <v>-0.01622463053343601</v>
      </c>
    </row>
    <row r="78" ht="15.75">
      <c r="A78" s="52" t="s">
        <v>21</v>
      </c>
    </row>
  </sheetData>
  <sheetProtection/>
  <mergeCells count="10"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H82"/>
  <sheetViews>
    <sheetView zoomScalePageLayoutView="0" workbookViewId="0" topLeftCell="A1">
      <selection activeCell="M79" sqref="M79"/>
    </sheetView>
  </sheetViews>
  <sheetFormatPr defaultColWidth="9.00390625" defaultRowHeight="15.75"/>
  <cols>
    <col min="1" max="1" width="28.25390625" style="0" customWidth="1"/>
    <col min="2" max="2" width="12.00390625" style="0" customWidth="1"/>
    <col min="3" max="3" width="10.125" style="0" customWidth="1"/>
    <col min="4" max="5" width="8.125" style="0" customWidth="1"/>
    <col min="6" max="6" width="9.875" style="0" customWidth="1"/>
    <col min="7" max="7" width="9.625" style="0" customWidth="1"/>
  </cols>
  <sheetData>
    <row r="1" spans="1:7" ht="15.75">
      <c r="A1" s="80" t="s">
        <v>136</v>
      </c>
      <c r="B1" s="80"/>
      <c r="C1" s="80"/>
      <c r="D1" s="80"/>
      <c r="E1" s="80"/>
      <c r="F1" s="80"/>
      <c r="G1" s="80"/>
    </row>
    <row r="2" spans="1:7" ht="15.75">
      <c r="A2" s="80" t="s">
        <v>23</v>
      </c>
      <c r="B2" s="80"/>
      <c r="C2" s="80"/>
      <c r="D2" s="80"/>
      <c r="E2" s="80"/>
      <c r="F2" s="80"/>
      <c r="G2" s="80"/>
    </row>
    <row r="3" ht="12" customHeight="1">
      <c r="A3" s="5"/>
    </row>
    <row r="4" spans="1:7" ht="57" customHeight="1">
      <c r="A4" s="86"/>
      <c r="B4" s="71" t="s">
        <v>253</v>
      </c>
      <c r="C4" s="72"/>
      <c r="D4" s="89" t="s">
        <v>0</v>
      </c>
      <c r="E4" s="90"/>
      <c r="F4" s="83" t="s">
        <v>138</v>
      </c>
      <c r="G4" s="91"/>
    </row>
    <row r="5" spans="1:8" ht="26.25" customHeight="1">
      <c r="A5" s="87"/>
      <c r="B5" s="92" t="s">
        <v>120</v>
      </c>
      <c r="C5" s="77" t="s">
        <v>254</v>
      </c>
      <c r="D5" s="79" t="s">
        <v>255</v>
      </c>
      <c r="E5" s="79"/>
      <c r="F5" s="79" t="s">
        <v>255</v>
      </c>
      <c r="G5" s="71"/>
      <c r="H5" s="1"/>
    </row>
    <row r="6" spans="1:7" ht="22.5" customHeight="1">
      <c r="A6" s="88"/>
      <c r="B6" s="93"/>
      <c r="C6" s="78"/>
      <c r="D6" s="22">
        <v>2018</v>
      </c>
      <c r="E6" s="22">
        <v>2019</v>
      </c>
      <c r="F6" s="22" t="s">
        <v>119</v>
      </c>
      <c r="G6" s="18" t="s">
        <v>140</v>
      </c>
    </row>
    <row r="7" spans="1:7" ht="15.75">
      <c r="A7" s="46" t="s">
        <v>150</v>
      </c>
      <c r="B7" s="32">
        <f>IF(3770696.04948="","-",3770696.04948)</f>
        <v>3770696.04948</v>
      </c>
      <c r="C7" s="32">
        <f>IF(3703581.02097="","-",3770696.04948/3703581.02097*100)</f>
        <v>101.81216579656254</v>
      </c>
      <c r="D7" s="32">
        <v>100</v>
      </c>
      <c r="E7" s="32">
        <v>100</v>
      </c>
      <c r="F7" s="32">
        <f>IF(3007940.19782="","-",(3703581.02097-3007940.19782)/3007940.19782*100)</f>
        <v>23.126816937855505</v>
      </c>
      <c r="G7" s="32">
        <f>IF(3703581.02097="","-",(3770696.04948-3703581.02097)/3703581.02097*100)</f>
        <v>1.8121657965625413</v>
      </c>
    </row>
    <row r="8" spans="1:7" ht="13.5" customHeight="1">
      <c r="A8" s="47" t="s">
        <v>157</v>
      </c>
      <c r="B8" s="36"/>
      <c r="C8" s="36"/>
      <c r="D8" s="36"/>
      <c r="E8" s="36"/>
      <c r="F8" s="36"/>
      <c r="G8" s="36"/>
    </row>
    <row r="9" spans="1:7" ht="13.5" customHeight="1">
      <c r="A9" s="51" t="s">
        <v>175</v>
      </c>
      <c r="B9" s="33">
        <f>IF(381987.71227="","-",381987.71227)</f>
        <v>381987.71227</v>
      </c>
      <c r="C9" s="33">
        <f>IF(361860.76764="","-",381987.71227/361860.76764*100)</f>
        <v>105.56206873744974</v>
      </c>
      <c r="D9" s="33">
        <f>IF(361860.76764="","-",361860.76764/3703581.02097*100)</f>
        <v>9.770564369757611</v>
      </c>
      <c r="E9" s="33">
        <f>IF(381987.71227="","-",381987.71227/3770696.04948*100)</f>
        <v>10.130429694079378</v>
      </c>
      <c r="F9" s="33">
        <f>IF(3007940.19782="","-",(361860.76764-314129.41523)/3007940.19782*100)</f>
        <v>1.5868451255976836</v>
      </c>
      <c r="G9" s="33">
        <f>IF(3703581.02097="","-",(381987.71227-361860.76764)/3703581.02097*100)</f>
        <v>0.5434455062826902</v>
      </c>
    </row>
    <row r="10" spans="1:7" ht="12" customHeight="1">
      <c r="A10" s="29" t="s">
        <v>24</v>
      </c>
      <c r="B10" s="34">
        <f>IF(3694.47466="","-",3694.47466)</f>
        <v>3694.47466</v>
      </c>
      <c r="C10" s="34">
        <f>IF(OR(3440.2052="",3694.47466=""),"-",3694.47466/3440.2052*100)</f>
        <v>107.39111318127186</v>
      </c>
      <c r="D10" s="34">
        <f>IF(3440.2052="","-",3440.2052/3703581.02097*100)</f>
        <v>0.09288861727396422</v>
      </c>
      <c r="E10" s="34">
        <f>IF(3694.47466="","-",3694.47466/3770696.04948*100)</f>
        <v>0.09797858569134704</v>
      </c>
      <c r="F10" s="34">
        <f>IF(OR(3007940.19782="",4521.06965="",3440.2052=""),"-",(3440.2052-4521.06965)/3007940.19782*100)</f>
        <v>-0.035933708083137936</v>
      </c>
      <c r="G10" s="34">
        <f>IF(OR(3703581.02097="",3694.47466="",3440.2052=""),"-",(3694.47466-3440.2052)/3703581.02097*100)</f>
        <v>0.006865502835237141</v>
      </c>
    </row>
    <row r="11" spans="1:7" ht="12.75" customHeight="1">
      <c r="A11" s="29" t="s">
        <v>176</v>
      </c>
      <c r="B11" s="34">
        <f>IF(30753.86338="","-",30753.86338)</f>
        <v>30753.86338</v>
      </c>
      <c r="C11" s="34">
        <f>IF(OR(28080.64445="",30753.86338=""),"-",30753.86338/28080.64445*100)</f>
        <v>109.51979195050131</v>
      </c>
      <c r="D11" s="34">
        <f>IF(28080.64445="","-",28080.64445/3703581.02097*100)</f>
        <v>0.7582025151064586</v>
      </c>
      <c r="E11" s="34">
        <f>IF(30753.86338="","-",30753.86338/3770696.04948*100)</f>
        <v>0.8156017609597869</v>
      </c>
      <c r="F11" s="34">
        <f>IF(OR(3007940.19782="",23060.58318="",28080.64445=""),"-",(28080.64445-23060.58318)/3007940.19782*100)</f>
        <v>0.16689365279397111</v>
      </c>
      <c r="G11" s="34">
        <f>IF(OR(3703581.02097="",30753.86338="",28080.64445=""),"-",(30753.86338-28080.64445)/3703581.02097*100)</f>
        <v>0.0721793020016033</v>
      </c>
    </row>
    <row r="12" spans="1:7" ht="14.25" customHeight="1">
      <c r="A12" s="29" t="s">
        <v>177</v>
      </c>
      <c r="B12" s="34">
        <f>IF(40898.78892="","-",40898.78892)</f>
        <v>40898.78892</v>
      </c>
      <c r="C12" s="34">
        <f>IF(OR(37559.81652="",40898.78892=""),"-",40898.78892/37559.81652*100)</f>
        <v>108.88974630166803</v>
      </c>
      <c r="D12" s="34">
        <f>IF(37559.81652="","-",37559.81652/3703581.02097*100)</f>
        <v>1.0141486390424033</v>
      </c>
      <c r="E12" s="34">
        <f>IF(40898.78892="","-",40898.78892/3770696.04948*100)</f>
        <v>1.0846482554763375</v>
      </c>
      <c r="F12" s="34">
        <f>IF(OR(3007940.19782="",34036.72035="",37559.81652=""),"-",(37559.81652-34036.72035)/3007940.19782*100)</f>
        <v>0.1171265363770648</v>
      </c>
      <c r="G12" s="34">
        <f>IF(OR(3703581.02097="",40898.78892="",37559.81652=""),"-",(40898.78892-37559.81652)/3703581.02097*100)</f>
        <v>0.09015524113268873</v>
      </c>
    </row>
    <row r="13" spans="1:7" s="9" customFormat="1" ht="13.5" customHeight="1">
      <c r="A13" s="29" t="s">
        <v>178</v>
      </c>
      <c r="B13" s="34">
        <f>IF(34594.86131="","-",34594.86131)</f>
        <v>34594.86131</v>
      </c>
      <c r="C13" s="34">
        <f>IF(OR(32118.35384="",34594.86131=""),"-",34594.86131/32118.35384*100)</f>
        <v>107.71056786514312</v>
      </c>
      <c r="D13" s="34">
        <f>IF(32118.35384="","-",32118.35384/3703581.02097*100)</f>
        <v>0.8672242799102562</v>
      </c>
      <c r="E13" s="34">
        <f>IF(34594.86131="","-",34594.86131/3770696.04948*100)</f>
        <v>0.9174661880999616</v>
      </c>
      <c r="F13" s="34">
        <f>IF(OR(3007940.19782="",26751.50315="",32118.35384=""),"-",(32118.35384-26751.50315)/3007940.19782*100)</f>
        <v>0.17842278559559183</v>
      </c>
      <c r="G13" s="34">
        <f>IF(OR(3703581.02097="",34594.86131="",32118.35384=""),"-",(34594.86131-32118.35384)/3703581.02097*100)</f>
        <v>0.06686791664547902</v>
      </c>
    </row>
    <row r="14" spans="1:7" s="9" customFormat="1" ht="13.5" customHeight="1">
      <c r="A14" s="29" t="s">
        <v>179</v>
      </c>
      <c r="B14" s="34">
        <f>IF(54531.11511="","-",54531.11511)</f>
        <v>54531.11511</v>
      </c>
      <c r="C14" s="34">
        <f>IF(OR(51138.7084="",54531.11511=""),"-",54531.11511/51138.7084*100)</f>
        <v>106.63373561073357</v>
      </c>
      <c r="D14" s="34">
        <f>IF(51138.7084="","-",51138.7084/3703581.02097*100)</f>
        <v>1.380790864583444</v>
      </c>
      <c r="E14" s="34">
        <f>IF(54531.11511="","-",54531.11511/3770696.04948*100)</f>
        <v>1.4461816702918855</v>
      </c>
      <c r="F14" s="34">
        <f>IF(OR(3007940.19782="",42770.9866="",51138.7084=""),"-",(51138.7084-42770.9866)/3007940.19782*100)</f>
        <v>0.2781877713547796</v>
      </c>
      <c r="G14" s="34">
        <f>IF(OR(3703581.02097="",54531.11511="",51138.7084=""),"-",(54531.11511-51138.7084)/3703581.02097*100)</f>
        <v>0.09159801529362777</v>
      </c>
    </row>
    <row r="15" spans="1:7" s="9" customFormat="1" ht="14.25" customHeight="1">
      <c r="A15" s="29" t="s">
        <v>180</v>
      </c>
      <c r="B15" s="34">
        <f>IF(106995.11938="","-",106995.11938)</f>
        <v>106995.11938</v>
      </c>
      <c r="C15" s="34">
        <f>IF(OR(98466.49778="",106995.11938=""),"-",106995.11938/98466.49778*100)</f>
        <v>108.66144505215894</v>
      </c>
      <c r="D15" s="34">
        <f>IF(98466.49778="","-",98466.49778/3703581.02097*100)</f>
        <v>2.6586835071913932</v>
      </c>
      <c r="E15" s="34">
        <f>IF(106995.11938="","-",106995.11938/3770696.04948*100)</f>
        <v>2.8375429357334494</v>
      </c>
      <c r="F15" s="34">
        <f>IF(OR(3007940.19782="",66400.34814="",98466.49778=""),"-",(98466.49778-66400.34814)/3007940.19782*100)</f>
        <v>1.0660501050931763</v>
      </c>
      <c r="G15" s="34">
        <f>IF(OR(3703581.02097="",106995.11938="",98466.49778=""),"-",(106995.11938-98466.49778)/3703581.02097*100)</f>
        <v>0.23028041108619457</v>
      </c>
    </row>
    <row r="16" spans="1:7" s="9" customFormat="1" ht="15.75">
      <c r="A16" s="29" t="s">
        <v>25</v>
      </c>
      <c r="B16" s="34">
        <f>IF(9360.7104="","-",9360.7104)</f>
        <v>9360.7104</v>
      </c>
      <c r="C16" s="34">
        <f>IF(OR(9689.28943="",9360.7104=""),"-",9360.7104/9689.28943*100)</f>
        <v>96.60884286330995</v>
      </c>
      <c r="D16" s="34">
        <f>IF(9689.28943="","-",9689.28943/3703581.02097*100)</f>
        <v>0.2616194805821284</v>
      </c>
      <c r="E16" s="34">
        <f>IF(9360.7104="","-",9360.7104/3770696.04948*100)</f>
        <v>0.24824887175116894</v>
      </c>
      <c r="F16" s="34">
        <f>IF(OR(3007940.19782="",24759.48769="",9689.28943=""),"-",(9689.28943-24759.48769)/3007940.19782*100)</f>
        <v>-0.5010138921951343</v>
      </c>
      <c r="G16" s="34">
        <f>IF(OR(3703581.02097="",9360.7104="",9689.28943=""),"-",(9360.7104-9689.28943)/3703581.02097*100)</f>
        <v>-0.008871927686732315</v>
      </c>
    </row>
    <row r="17" spans="1:7" s="9" customFormat="1" ht="25.5">
      <c r="A17" s="29" t="s">
        <v>181</v>
      </c>
      <c r="B17" s="34">
        <f>IF(31710.58169="","-",31710.58169)</f>
        <v>31710.58169</v>
      </c>
      <c r="C17" s="34">
        <f>IF(OR(31747.98162="",31710.58169=""),"-",31710.58169/31747.98162*100)</f>
        <v>99.88219745605359</v>
      </c>
      <c r="D17" s="34">
        <f>IF(31747.98162="","-",31747.98162/3703581.02097*100)</f>
        <v>0.8572238987142483</v>
      </c>
      <c r="E17" s="34">
        <f>IF(31710.58169="","-",31710.58169/3770696.04948*100)</f>
        <v>0.8409742199818271</v>
      </c>
      <c r="F17" s="34">
        <f>IF(OR(3007940.19782="",28144.78686="",31747.98162=""),"-",(31747.98162-28144.78686)/3007940.19782*100)</f>
        <v>0.11978944137956628</v>
      </c>
      <c r="G17" s="34">
        <f>IF(OR(3703581.02097="",31710.58169="",31747.98162=""),"-",(31710.58169-31747.98162)/3703581.02097*100)</f>
        <v>-0.0010098315600020062</v>
      </c>
    </row>
    <row r="18" spans="1:7" s="9" customFormat="1" ht="25.5">
      <c r="A18" s="29" t="s">
        <v>26</v>
      </c>
      <c r="B18" s="34">
        <f>IF(21521.66311="","-",21521.66311)</f>
        <v>21521.66311</v>
      </c>
      <c r="C18" s="34">
        <f>IF(OR(24615.63648="",21521.66311=""),"-",21521.66311/24615.63648*100)</f>
        <v>87.43086179179714</v>
      </c>
      <c r="D18" s="34">
        <f>IF(24615.63648="","-",24615.63648/3703581.02097*100)</f>
        <v>0.6646442008592255</v>
      </c>
      <c r="E18" s="34">
        <f>IF(21521.66311="","-",21521.66311/3770696.04948*100)</f>
        <v>0.5707610167350391</v>
      </c>
      <c r="F18" s="34">
        <f>IF(OR(3007940.19782="",20409.29178="",24615.63648=""),"-",(24615.63648-20409.29178)/3007940.19782*100)</f>
        <v>0.1398413672934237</v>
      </c>
      <c r="G18" s="34">
        <f>IF(OR(3703581.02097="",21521.66311="",24615.63648=""),"-",(21521.66311-24615.63648)/3703581.02097*100)</f>
        <v>-0.08354004819880143</v>
      </c>
    </row>
    <row r="19" spans="1:7" s="9" customFormat="1" ht="15.75">
      <c r="A19" s="29" t="s">
        <v>182</v>
      </c>
      <c r="B19" s="34">
        <f>IF(47926.53431="","-",47926.53431)</f>
        <v>47926.53431</v>
      </c>
      <c r="C19" s="34">
        <f>IF(OR(45003.63392="",47926.53431=""),"-",47926.53431/45003.63392*100)</f>
        <v>106.49480971957921</v>
      </c>
      <c r="D19" s="34">
        <f>IF(45003.63392="","-",45003.63392/3703581.02097*100)</f>
        <v>1.21513836649409</v>
      </c>
      <c r="E19" s="34">
        <f>IF(47926.53431="","-",47926.53431/3770696.04948*100)</f>
        <v>1.2710261893585757</v>
      </c>
      <c r="F19" s="34">
        <f>IF(OR(3007940.19782="",43274.63783="",45003.63392=""),"-",(45003.63392-43274.63783)/3007940.19782*100)</f>
        <v>0.05748106598838261</v>
      </c>
      <c r="G19" s="34">
        <f>IF(OR(3703581.02097="",47926.53431="",45003.63392=""),"-",(47926.53431-45003.63392)/3703581.02097*100)</f>
        <v>0.0789209247333941</v>
      </c>
    </row>
    <row r="20" spans="1:7" s="9" customFormat="1" ht="15.75">
      <c r="A20" s="51" t="s">
        <v>183</v>
      </c>
      <c r="B20" s="33">
        <f>IF(81196.60926="","-",81196.60926)</f>
        <v>81196.60926</v>
      </c>
      <c r="C20" s="33">
        <f>IF(75321.50251="","-",81196.60926/75321.50251*100)</f>
        <v>107.80003923742755</v>
      </c>
      <c r="D20" s="33">
        <f>IF(75321.50251="","-",75321.50251/3703581.02097*100)</f>
        <v>2.033747934324187</v>
      </c>
      <c r="E20" s="33">
        <f>IF(81196.60926="","-",81196.60926/3770696.04948*100)</f>
        <v>2.153358642397004</v>
      </c>
      <c r="F20" s="33">
        <f>IF(3007940.19782="","-",(75321.50251-72422.54175)/3007940.19782*100)</f>
        <v>0.09637694134015759</v>
      </c>
      <c r="G20" s="33">
        <f>IF(3703581.02097="","-",(81196.60926-75321.50251)/3703581.02097*100)</f>
        <v>0.15863313686765923</v>
      </c>
    </row>
    <row r="21" spans="1:7" s="9" customFormat="1" ht="13.5" customHeight="1">
      <c r="A21" s="29" t="s">
        <v>228</v>
      </c>
      <c r="B21" s="34">
        <f>IF(42621.54686="","-",42621.54686)</f>
        <v>42621.54686</v>
      </c>
      <c r="C21" s="34">
        <f>IF(OR(41997.23565="",42621.54686=""),"-",42621.54686/41997.23565*100)</f>
        <v>101.48655310364458</v>
      </c>
      <c r="D21" s="34">
        <f>IF(41997.23565="","-",41997.23565/3703581.02097*100)</f>
        <v>1.133962924321298</v>
      </c>
      <c r="E21" s="34">
        <f>IF(42621.54686="","-",42621.54686/3770696.04948*100)</f>
        <v>1.1303363172398302</v>
      </c>
      <c r="F21" s="34">
        <f>IF(OR(3007940.19782="",35611.64472="",41997.23565=""),"-",(41997.23565-35611.64472)/3007940.19782*100)</f>
        <v>0.2122911530830285</v>
      </c>
      <c r="G21" s="34">
        <f>IF(OR(3703581.02097="",42621.54686="",41997.23565=""),"-",(42621.54686-41997.23565)/3703581.02097*100)</f>
        <v>0.016856961045677014</v>
      </c>
    </row>
    <row r="22" spans="1:7" s="9" customFormat="1" ht="13.5" customHeight="1">
      <c r="A22" s="29" t="s">
        <v>184</v>
      </c>
      <c r="B22" s="34">
        <f>IF(38575.0624="","-",38575.0624)</f>
        <v>38575.0624</v>
      </c>
      <c r="C22" s="34">
        <f>IF(OR(33324.26686="",38575.0624=""),"-",38575.0624/33324.26686*100)</f>
        <v>115.75667234348872</v>
      </c>
      <c r="D22" s="34">
        <f>IF(33324.26686="","-",33324.26686/3703581.02097*100)</f>
        <v>0.8997850100028888</v>
      </c>
      <c r="E22" s="34">
        <f>IF(38575.0624="","-",38575.0624/3770696.04948*100)</f>
        <v>1.0230223251571742</v>
      </c>
      <c r="F22" s="34">
        <f>IF(OR(3007940.19782="",36810.89703="",33324.26686=""),"-",(33324.26686-36810.89703)/3007940.19782*100)</f>
        <v>-0.11591421174287064</v>
      </c>
      <c r="G22" s="34">
        <f>IF(OR(3703581.02097="",38575.0624="",33324.26686=""),"-",(38575.0624-33324.26686)/3703581.02097*100)</f>
        <v>0.14177617582198243</v>
      </c>
    </row>
    <row r="23" spans="1:7" s="9" customFormat="1" ht="25.5">
      <c r="A23" s="51" t="s">
        <v>27</v>
      </c>
      <c r="B23" s="33">
        <f>IF(104135.03742="","-",104135.03742)</f>
        <v>104135.03742</v>
      </c>
      <c r="C23" s="33">
        <f>IF(95945.59428="","-",104135.03742/95945.59428*100)</f>
        <v>108.5355072335063</v>
      </c>
      <c r="D23" s="33">
        <f>IF(95945.59428="","-",95945.59428/3703581.02097*100)</f>
        <v>2.590616858028693</v>
      </c>
      <c r="E23" s="33">
        <f>IF(104135.03742="","-",104135.03742/3770696.04948*100)</f>
        <v>2.7616926968791558</v>
      </c>
      <c r="F23" s="33">
        <f>IF(3007940.19782="","-",(95945.59428-77427.75006)/3007940.19782*100)</f>
        <v>0.6156320605516287</v>
      </c>
      <c r="G23" s="33">
        <f>IF(3703581.02097="","-",(104135.03742-95945.59428)/3703581.02097*100)</f>
        <v>0.22112228930947225</v>
      </c>
    </row>
    <row r="24" spans="1:7" s="9" customFormat="1" ht="15.75">
      <c r="A24" s="29" t="s">
        <v>185</v>
      </c>
      <c r="B24" s="34">
        <f>IF(18.14="","-",18.14)</f>
        <v>18.14</v>
      </c>
      <c r="C24" s="34">
        <f>IF(OR(39.57298="",18.14=""),"-",18.14/39.57298*100)</f>
        <v>45.83935806704474</v>
      </c>
      <c r="D24" s="34">
        <f>IF(39.57298="","-",39.57298/3703581.02097*100)</f>
        <v>0.0010685058535491547</v>
      </c>
      <c r="E24" s="34">
        <f>IF(18.14="","-",18.14/3770696.04948*100)</f>
        <v>0.00048107828798615594</v>
      </c>
      <c r="F24" s="34">
        <f>IF(OR(3007940.19782="",26.97093="",39.57298=""),"-",(39.57298-26.97093)/3007940.19782*100)</f>
        <v>0.0004189594596705519</v>
      </c>
      <c r="G24" s="34">
        <f>IF(OR(3703581.02097="",18.14="",39.57298=""),"-",(18.14-39.57298)/3703581.02097*100)</f>
        <v>-0.0005787096293734252</v>
      </c>
    </row>
    <row r="25" spans="1:7" s="9" customFormat="1" ht="15.75">
      <c r="A25" s="29" t="s">
        <v>217</v>
      </c>
      <c r="B25" s="34">
        <f>IF(28639.08545="","-",28639.08545)</f>
        <v>28639.08545</v>
      </c>
      <c r="C25" s="34">
        <f>IF(OR(32022.23124="",28639.08545=""),"-",28639.08545/32022.23124*100)</f>
        <v>89.43500918270178</v>
      </c>
      <c r="D25" s="34">
        <f>IF(32022.23124="","-",32022.23124/3703581.02097*100)</f>
        <v>0.864628883739476</v>
      </c>
      <c r="E25" s="34">
        <f>IF(28639.08545="","-",28639.08545/3770696.04948*100)</f>
        <v>0.7595172104616995</v>
      </c>
      <c r="F25" s="34">
        <f>IF(OR(3007940.19782="",24583.38402="",32022.23124=""),"-",(32022.23124-24583.38402)/3007940.19782*100)</f>
        <v>0.24730701845040978</v>
      </c>
      <c r="G25" s="34">
        <f>IF(OR(3703581.02097="",28639.08545="",32022.23124=""),"-",(28639.08545-32022.23124)/3703581.02097*100)</f>
        <v>-0.09134796217078375</v>
      </c>
    </row>
    <row r="26" spans="1:7" s="9" customFormat="1" ht="25.5">
      <c r="A26" s="29" t="s">
        <v>218</v>
      </c>
      <c r="B26" s="34">
        <f>IF(1081.20476="","-",1081.20476)</f>
        <v>1081.20476</v>
      </c>
      <c r="C26" s="34" t="s">
        <v>112</v>
      </c>
      <c r="D26" s="34">
        <f>IF(607.60564="","-",607.60564/3703581.02097*100)</f>
        <v>0.01640589571443648</v>
      </c>
      <c r="E26" s="34">
        <f>IF(1081.20476="","-",1081.20476/3770696.04948*100)</f>
        <v>0.02867387733755693</v>
      </c>
      <c r="F26" s="34">
        <f>IF(OR(3007940.19782="",406.89175="",607.60564=""),"-",(607.60564-406.89175)/3007940.19782*100)</f>
        <v>0.006672801877692484</v>
      </c>
      <c r="G26" s="34">
        <f>IF(OR(3703581.02097="",1081.20476="",607.60564=""),"-",(1081.20476-607.60564)/3703581.02097*100)</f>
        <v>0.012787599820779955</v>
      </c>
    </row>
    <row r="27" spans="1:7" s="9" customFormat="1" ht="15.75">
      <c r="A27" s="29" t="s">
        <v>249</v>
      </c>
      <c r="B27" s="34">
        <f>IF(25213.53627="","-",25213.53627)</f>
        <v>25213.53627</v>
      </c>
      <c r="C27" s="34">
        <f>IF(OR(22376.59621="",25213.53627=""),"-",25213.53627/22376.59621*100)</f>
        <v>112.67815727367947</v>
      </c>
      <c r="D27" s="34">
        <f>IF(22376.59621="","-",22376.59621/3703581.02097*100)</f>
        <v>0.6041881110012648</v>
      </c>
      <c r="E27" s="34">
        <f>IF(25213.53627="","-",25213.53627/3770696.04948*100)</f>
        <v>0.6686706098593411</v>
      </c>
      <c r="F27" s="34">
        <f>IF(OR(3007940.19782="",20677.21258="",22376.59621=""),"-",(22376.59621-20677.21258)/3007940.19782*100)</f>
        <v>0.056496589634050104</v>
      </c>
      <c r="G27" s="34">
        <f>IF(OR(3703581.02097="",25213.53627="",22376.59621=""),"-",(25213.53627-22376.59621)/3703581.02097*100)</f>
        <v>0.07659991894161347</v>
      </c>
    </row>
    <row r="28" spans="1:7" s="9" customFormat="1" ht="15.75">
      <c r="A28" s="29" t="s">
        <v>229</v>
      </c>
      <c r="B28" s="34">
        <f>IF(286.16837="","-",286.16837)</f>
        <v>286.16837</v>
      </c>
      <c r="C28" s="34">
        <f>IF(OR(320.3113="",286.16837=""),"-",286.16837/320.3113*100)</f>
        <v>89.34070387151498</v>
      </c>
      <c r="D28" s="34">
        <f>IF(320.3113="","-",320.3113/3703581.02097*100)</f>
        <v>0.008648691582184091</v>
      </c>
      <c r="E28" s="34">
        <f>IF(286.16837="","-",286.16837/3770696.04948*100)</f>
        <v>0.007589271748367631</v>
      </c>
      <c r="F28" s="34">
        <f>IF(OR(3007940.19782="",345.13337="",320.3113=""),"-",(320.3113-345.13337)/3007940.19782*100)</f>
        <v>-0.0008252182014120411</v>
      </c>
      <c r="G28" s="34">
        <f>IF(OR(3703581.02097="",286.16837="",320.3113=""),"-",(286.16837-320.3113)/3703581.02097*100)</f>
        <v>-0.0009218896469843585</v>
      </c>
    </row>
    <row r="29" spans="1:7" s="9" customFormat="1" ht="38.25">
      <c r="A29" s="29" t="s">
        <v>219</v>
      </c>
      <c r="B29" s="34">
        <f>IF(5013.08606="","-",5013.08606)</f>
        <v>5013.08606</v>
      </c>
      <c r="C29" s="34">
        <f>IF(OR(5429.24223="",5013.08606=""),"-",5013.08606/5429.24223*100)</f>
        <v>92.33491245425607</v>
      </c>
      <c r="D29" s="34">
        <f>IF(5429.24223="","-",5429.24223/3703581.02097*100)</f>
        <v>0.1465943960523384</v>
      </c>
      <c r="E29" s="34">
        <f>IF(5013.08606="","-",5013.08606/3770696.04948*100)</f>
        <v>0.13294855894553823</v>
      </c>
      <c r="F29" s="34">
        <f>IF(OR(3007940.19782="",5429.28235="",5429.24223=""),"-",(5429.24223-5429.28235)/3007940.19782*100)</f>
        <v>-1.3338031131618591E-06</v>
      </c>
      <c r="G29" s="34">
        <f>IF(OR(3703581.02097="",5013.08606="",5429.24223=""),"-",(5013.08606-5429.24223)/3703581.02097*100)</f>
        <v>-0.011236588794566326</v>
      </c>
    </row>
    <row r="30" spans="1:7" s="9" customFormat="1" ht="38.25">
      <c r="A30" s="29" t="s">
        <v>187</v>
      </c>
      <c r="B30" s="34">
        <f>IF(18323.81442="","-",18323.81442)</f>
        <v>18323.81442</v>
      </c>
      <c r="C30" s="34" t="s">
        <v>241</v>
      </c>
      <c r="D30" s="34">
        <f>IF(9722.91833="","-",9722.91833/3703581.02097*100)</f>
        <v>0.2625274909593711</v>
      </c>
      <c r="E30" s="34">
        <f>IF(18323.81442="","-",18323.81442/3770696.04948*100)</f>
        <v>0.4859531020148642</v>
      </c>
      <c r="F30" s="34">
        <f>IF(OR(3007940.19782="",6595.9751="",9722.91833=""),"-",(9722.91833-6595.9751)/3007940.19782*100)</f>
        <v>0.10395629648043696</v>
      </c>
      <c r="G30" s="34">
        <f>IF(OR(3703581.02097="",18323.81442="",9722.91833=""),"-",(18323.81442-9722.91833)/3703581.02097*100)</f>
        <v>0.23223188695754116</v>
      </c>
    </row>
    <row r="31" spans="1:7" s="9" customFormat="1" ht="15.75">
      <c r="A31" s="29" t="s">
        <v>188</v>
      </c>
      <c r="B31" s="34">
        <f>IF(936.59947="","-",936.59947)</f>
        <v>936.59947</v>
      </c>
      <c r="C31" s="34">
        <f>IF(OR(701.03296="",936.59947=""),"-",936.59947/701.03296*100)</f>
        <v>133.60277240031624</v>
      </c>
      <c r="D31" s="34">
        <f>IF(701.03296="","-",701.03296/3703581.02097*100)</f>
        <v>0.01892851691459401</v>
      </c>
      <c r="E31" s="34">
        <f>IF(936.59947="","-",936.59947/3770696.04948*100)</f>
        <v>0.024838901298585504</v>
      </c>
      <c r="F31" s="34">
        <f>IF(OR(3007940.19782="",730.25144="",701.03296=""),"-",(701.03296-730.25144)/3007940.19782*100)</f>
        <v>-0.0009713783545688857</v>
      </c>
      <c r="G31" s="34">
        <f>IF(OR(3703581.02097="",936.59947="",701.03296=""),"-",(936.59947-701.03296)/3703581.02097*100)</f>
        <v>0.006360506457566388</v>
      </c>
    </row>
    <row r="32" spans="1:7" s="9" customFormat="1" ht="25.5">
      <c r="A32" s="29" t="s">
        <v>28</v>
      </c>
      <c r="B32" s="34">
        <f>IF(24623.40262="","-",24623.40262)</f>
        <v>24623.40262</v>
      </c>
      <c r="C32" s="34">
        <f>IF(OR(24726.08339="",24623.40262=""),"-",24623.40262/24726.08339*100)</f>
        <v>99.584726912142</v>
      </c>
      <c r="D32" s="34">
        <f>IF(24726.08339="","-",24726.08339/3703581.02097*100)</f>
        <v>0.6676263662114789</v>
      </c>
      <c r="E32" s="34">
        <f>IF(24623.40262="","-",24623.40262/3770696.04948*100)</f>
        <v>0.6530200869252165</v>
      </c>
      <c r="F32" s="34">
        <f>IF(OR(3007940.19782="",18632.64852="",24726.08339=""),"-",(24726.08339-18632.64852)/3007940.19782*100)</f>
        <v>0.2025783250084629</v>
      </c>
      <c r="G32" s="34">
        <f>IF(OR(3703581.02097="",24623.40262="",24726.08339=""),"-",(24623.40262-24726.08339)/3703581.02097*100)</f>
        <v>-0.002772472626320621</v>
      </c>
    </row>
    <row r="33" spans="1:7" s="9" customFormat="1" ht="25.5">
      <c r="A33" s="51" t="s">
        <v>189</v>
      </c>
      <c r="B33" s="33">
        <f>IF(585962.74784="","-",585962.74784)</f>
        <v>585962.74784</v>
      </c>
      <c r="C33" s="33">
        <f>IF(604381.134="","-",585962.74784/604381.134*100)</f>
        <v>96.95252132737816</v>
      </c>
      <c r="D33" s="33">
        <f>IF(604381.134="","-",604381.134/3703581.02097*100)</f>
        <v>16.318831168481022</v>
      </c>
      <c r="E33" s="33">
        <f>IF(585962.74784="","-",585962.74784/3770696.04948*100)</f>
        <v>15.539909346997288</v>
      </c>
      <c r="F33" s="33">
        <f>IF(3007940.19782="","-",(604381.134-464853.78304)/3007940.19782*100)</f>
        <v>4.638634473555099</v>
      </c>
      <c r="G33" s="33">
        <f>IF(3703581.02097="","-",(585962.74784-604381.134)/3703581.02097*100)</f>
        <v>-0.49731289948062374</v>
      </c>
    </row>
    <row r="34" spans="1:7" s="9" customFormat="1" ht="15.75">
      <c r="A34" s="29" t="s">
        <v>248</v>
      </c>
      <c r="B34" s="34">
        <f>IF(13353.72477="","-",13353.72477)</f>
        <v>13353.72477</v>
      </c>
      <c r="C34" s="34">
        <f>IF(OR(9549.14009="",13353.72477=""),"-",13353.72477/9549.14009*100)</f>
        <v>139.8421705424996</v>
      </c>
      <c r="D34" s="34">
        <f>IF(9549.14009="","-",9549.14009/3703581.02097*100)</f>
        <v>0.257835323054415</v>
      </c>
      <c r="E34" s="34">
        <f>IF(13353.72477="","-",13353.72477/3770696.04948*100)</f>
        <v>0.35414482087044785</v>
      </c>
      <c r="F34" s="34">
        <f>IF(OR(3007940.19782="",13775.36019="",9549.14009=""),"-",(9549.14009-13775.36019)/3007940.19782*100)</f>
        <v>-0.14050213175989817</v>
      </c>
      <c r="G34" s="34">
        <f>IF(OR(3703581.02097="",13353.72477="",9549.14009=""),"-",(13353.72477-9549.14009)/3703581.02097*100)</f>
        <v>0.10272718913014482</v>
      </c>
    </row>
    <row r="35" spans="1:7" s="9" customFormat="1" ht="25.5">
      <c r="A35" s="29" t="s">
        <v>190</v>
      </c>
      <c r="B35" s="34">
        <f>IF(368621.61632="","-",368621.61632)</f>
        <v>368621.61632</v>
      </c>
      <c r="C35" s="34">
        <f>IF(OR(402752.16259="",368621.61632=""),"-",368621.61632/402752.16259*100)</f>
        <v>91.52567026567532</v>
      </c>
      <c r="D35" s="34">
        <f>IF(402752.16259="","-",402752.16259/3703581.02097*100)</f>
        <v>10.874668606129635</v>
      </c>
      <c r="E35" s="34">
        <f>IF(368621.61632="","-",368621.61632/3770696.04948*100)</f>
        <v>9.775956785772614</v>
      </c>
      <c r="F35" s="34">
        <f>IF(OR(3007940.19782="",287510.91611="",402752.16259=""),"-",(402752.16259-287510.91611)/3007940.19782*100)</f>
        <v>3.8312346290501704</v>
      </c>
      <c r="G35" s="34">
        <f>IF(OR(3703581.02097="",368621.61632="",402752.16259=""),"-",(368621.61632-402752.16259)/3703581.02097*100)</f>
        <v>-0.9215552751985148</v>
      </c>
    </row>
    <row r="36" spans="1:7" s="9" customFormat="1" ht="25.5">
      <c r="A36" s="29" t="s">
        <v>220</v>
      </c>
      <c r="B36" s="34">
        <f>IF(175925.65868="","-",175925.65868)</f>
        <v>175925.65868</v>
      </c>
      <c r="C36" s="34">
        <f>IF(OR(157878.47169="",175925.65868=""),"-",175925.65868/157878.47169*100)</f>
        <v>111.43106263749264</v>
      </c>
      <c r="D36" s="34">
        <f>IF(157878.47169="","-",157878.47169/3703581.02097*100)</f>
        <v>4.262859940043928</v>
      </c>
      <c r="E36" s="34">
        <f>IF(175925.65868="","-",175925.65868/3770696.04948*100)</f>
        <v>4.6656016918749295</v>
      </c>
      <c r="F36" s="34">
        <f>IF(OR(3007940.19782="",119219.12244="",157878.47169=""),"-",(157878.47169-119219.12244)/3007940.19782*100)</f>
        <v>1.285243279704108</v>
      </c>
      <c r="G36" s="34">
        <f>IF(OR(3703581.02097="",175925.65868="",157878.47169=""),"-",(175925.65868-157878.47169)/3703581.02097*100)</f>
        <v>0.48729018989500256</v>
      </c>
    </row>
    <row r="37" spans="1:7" s="9" customFormat="1" ht="15.75">
      <c r="A37" s="29" t="s">
        <v>29</v>
      </c>
      <c r="B37" s="34">
        <f>IF(28061.74807="","-",28061.74807)</f>
        <v>28061.74807</v>
      </c>
      <c r="C37" s="34">
        <f>IF(OR(34201.35963="",28061.74807=""),"-",28061.74807/34201.35963*100)</f>
        <v>82.04863307652077</v>
      </c>
      <c r="D37" s="34">
        <f>IF(34201.35963="","-",34201.35963/3703581.02097*100)</f>
        <v>0.9234672992530448</v>
      </c>
      <c r="E37" s="34">
        <f>IF(28061.74807="","-",28061.74807/3770696.04948*100)</f>
        <v>0.7442060484792953</v>
      </c>
      <c r="F37" s="34">
        <f>IF(OR(3007940.19782="",44348.3843="",34201.35963=""),"-",(34201.35963-44348.3843)/3007940.19782*100)</f>
        <v>-0.3373413034392785</v>
      </c>
      <c r="G37" s="34">
        <f>IF(OR(3703581.02097="",28061.74807="",34201.35963=""),"-",(28061.74807-34201.35963)/3703581.02097*100)</f>
        <v>-0.16577500330725803</v>
      </c>
    </row>
    <row r="38" spans="1:7" s="9" customFormat="1" ht="15" customHeight="1">
      <c r="A38" s="51" t="s">
        <v>191</v>
      </c>
      <c r="B38" s="33">
        <f>IF(7138.70485="","-",7138.70485)</f>
        <v>7138.70485</v>
      </c>
      <c r="C38" s="33">
        <f>IF(7546.48614="","-",7138.70485/7546.48614*100)</f>
        <v>94.5964084153211</v>
      </c>
      <c r="D38" s="33">
        <f>IF(7546.48614="","-",7546.48614/3703581.02097*100)</f>
        <v>0.20376187525724793</v>
      </c>
      <c r="E38" s="33">
        <f>IF(7138.70485="","-",7138.70485/3770696.04948*100)</f>
        <v>0.18932061233056605</v>
      </c>
      <c r="F38" s="33">
        <f>IF(3007940.19782="","-",(7546.48614-10528.89335)/3007940.19782*100)</f>
        <v>-0.09915114709266812</v>
      </c>
      <c r="G38" s="33">
        <f>IF(3703581.02097="","-",(7138.70485-7546.48614)/3703581.02097*100)</f>
        <v>-0.011010459544184574</v>
      </c>
    </row>
    <row r="39" spans="1:7" s="9" customFormat="1" ht="15.75">
      <c r="A39" s="29" t="s">
        <v>221</v>
      </c>
      <c r="B39" s="34">
        <f>IF(1040.47241="","-",1040.47241)</f>
        <v>1040.47241</v>
      </c>
      <c r="C39" s="34">
        <f>IF(OR(997.03127="",1040.47241=""),"-",1040.47241/997.03127*100)</f>
        <v>104.35704890178621</v>
      </c>
      <c r="D39" s="34">
        <f>IF(997.03127="","-",997.03127/3703581.02097*100)</f>
        <v>0.026920736021561878</v>
      </c>
      <c r="E39" s="34">
        <f>IF(1040.47241="","-",1040.47241/3770696.04948*100)</f>
        <v>0.027593643092592598</v>
      </c>
      <c r="F39" s="34">
        <f>IF(OR(3007940.19782="",738.23888="",997.03127=""),"-",(997.03127-738.23888)/3007940.19782*100)</f>
        <v>0.008603641461607492</v>
      </c>
      <c r="G39" s="34">
        <f>IF(OR(3703581.02097="",1040.47241="",997.03127=""),"-",(1040.47241-997.03127)/3703581.02097*100)</f>
        <v>0.0011729496331802274</v>
      </c>
    </row>
    <row r="40" spans="1:7" s="9" customFormat="1" ht="25.5">
      <c r="A40" s="29" t="s">
        <v>192</v>
      </c>
      <c r="B40" s="34">
        <f>IF(4447.52054="","-",4447.52054)</f>
        <v>4447.52054</v>
      </c>
      <c r="C40" s="34">
        <f>IF(OR(4736.41838="",4447.52054=""),"-",4447.52054/4736.41838*100)</f>
        <v>93.90049998074707</v>
      </c>
      <c r="D40" s="34">
        <f>IF(4736.41838="","-",4736.41838/3703581.02097*100)</f>
        <v>0.12788753244986364</v>
      </c>
      <c r="E40" s="34">
        <f>IF(4447.52054="","-",4447.52054/3770696.04948*100)</f>
        <v>0.11794959025173452</v>
      </c>
      <c r="F40" s="34">
        <f>IF(OR(3007940.19782="",8347.74454="",4736.41838=""),"-",(4736.41838-8347.74454)/3007940.19782*100)</f>
        <v>-0.12005977255190456</v>
      </c>
      <c r="G40" s="34">
        <f>IF(OR(3703581.02097="",4447.52054="",4736.41838=""),"-",(4447.52054-4736.41838)/3703581.02097*100)</f>
        <v>-0.007800500066401539</v>
      </c>
    </row>
    <row r="41" spans="1:7" s="9" customFormat="1" ht="63.75">
      <c r="A41" s="29" t="s">
        <v>222</v>
      </c>
      <c r="B41" s="34">
        <f>IF(1650.7119="","-",1650.7119)</f>
        <v>1650.7119</v>
      </c>
      <c r="C41" s="34">
        <f>IF(OR(1813.03649="",1650.7119=""),"-",1650.7119/1813.03649*100)</f>
        <v>91.0468106463759</v>
      </c>
      <c r="D41" s="34">
        <f>IF(1813.03649="","-",1813.03649/3703581.02097*100)</f>
        <v>0.04895360678582239</v>
      </c>
      <c r="E41" s="34">
        <f>IF(1650.7119="","-",1650.7119/3770696.04948*100)</f>
        <v>0.04377737898623896</v>
      </c>
      <c r="F41" s="34">
        <f>IF(OR(3007940.19782="",1442.90993="",1813.03649=""),"-",(1813.03649-1442.90993)/3007940.19782*100)</f>
        <v>0.01230498399762896</v>
      </c>
      <c r="G41" s="34">
        <f>IF(OR(3703581.02097="",1650.7119="",1813.03649=""),"-",(1650.7119-1813.03649)/3703581.02097*100)</f>
        <v>-0.0043829091109632515</v>
      </c>
    </row>
    <row r="42" spans="1:7" s="9" customFormat="1" ht="14.25" customHeight="1">
      <c r="A42" s="51" t="s">
        <v>193</v>
      </c>
      <c r="B42" s="33">
        <f>IF(553724.74537="","-",553724.74537)</f>
        <v>553724.74537</v>
      </c>
      <c r="C42" s="33">
        <f>IF(544778.20068="","-",553724.74537/544778.20068*100)</f>
        <v>101.64223617590294</v>
      </c>
      <c r="D42" s="33">
        <f>IF(544778.20068="","-",544778.20068/3703581.02097*100)</f>
        <v>14.70949866076692</v>
      </c>
      <c r="E42" s="33">
        <f>IF(553724.74537="","-",553724.74537/3770696.04948*100)</f>
        <v>14.68494776836658</v>
      </c>
      <c r="F42" s="33">
        <f>IF(3007940.19782="","-",(544778.20068-478675.99057)/3007940.19782*100)</f>
        <v>2.1975905690514543</v>
      </c>
      <c r="G42" s="33">
        <f>IF(3703581.02097="","-",(553724.74537-544778.20068)/3703581.02097*100)</f>
        <v>0.24156470830107107</v>
      </c>
    </row>
    <row r="43" spans="1:7" s="9" customFormat="1" ht="15" customHeight="1">
      <c r="A43" s="29" t="s">
        <v>30</v>
      </c>
      <c r="B43" s="34">
        <f>IF(14701.63883="","-",14701.63883)</f>
        <v>14701.63883</v>
      </c>
      <c r="C43" s="34">
        <f>IF(OR(14852.8675="",14701.63883=""),"-",14701.63883/14852.8675*100)</f>
        <v>98.98182172567014</v>
      </c>
      <c r="D43" s="34">
        <f>IF(14852.8675="","-",14852.8675/3703581.02097*100)</f>
        <v>0.4010407067079609</v>
      </c>
      <c r="E43" s="34">
        <f>IF(14701.63883="","-",14701.63883/3770696.04948*100)</f>
        <v>0.3898919095329213</v>
      </c>
      <c r="F43" s="34">
        <f>IF(OR(3007940.19782="",13693.70688="",14852.8675=""),"-",(14852.8675-13693.70688)/3007940.19782*100)</f>
        <v>0.0385366910166665</v>
      </c>
      <c r="G43" s="34">
        <f>IF(OR(3703581.02097="",14701.63883="",14852.8675=""),"-",(14701.63883-14852.8675)/3703581.02097*100)</f>
        <v>-0.004083309346919386</v>
      </c>
    </row>
    <row r="44" spans="1:7" s="9" customFormat="1" ht="15.75">
      <c r="A44" s="29" t="s">
        <v>31</v>
      </c>
      <c r="B44" s="34">
        <f>IF(11128.08329="","-",11128.08329)</f>
        <v>11128.08329</v>
      </c>
      <c r="C44" s="34">
        <f>IF(OR(10193.58763="",11128.08329=""),"-",11128.08329/10193.58763*100)</f>
        <v>109.16748542240178</v>
      </c>
      <c r="D44" s="34">
        <f>IF(10193.58763="","-",10193.58763/3703581.02097*100)</f>
        <v>0.2752359830197588</v>
      </c>
      <c r="E44" s="34">
        <f>IF(11128.08329="","-",11128.08329/3770696.04948*100)</f>
        <v>0.2951201354862486</v>
      </c>
      <c r="F44" s="34">
        <f>IF(OR(3007940.19782="",7799.00742="",10193.58763=""),"-",(10193.58763-7799.00742)/3007940.19782*100)</f>
        <v>0.07960863755654013</v>
      </c>
      <c r="G44" s="34">
        <f>IF(OR(3703581.02097="",11128.08329="",10193.58763=""),"-",(11128.08329-10193.58763)/3703581.02097*100)</f>
        <v>0.025232218620540616</v>
      </c>
    </row>
    <row r="45" spans="1:7" s="9" customFormat="1" ht="15.75">
      <c r="A45" s="29" t="s">
        <v>194</v>
      </c>
      <c r="B45" s="34">
        <f>IF(25537.28412="","-",25537.28412)</f>
        <v>25537.28412</v>
      </c>
      <c r="C45" s="34">
        <f>IF(OR(24763.61007="",25537.28412=""),"-",25537.28412/24763.61007*100)</f>
        <v>103.12423773356565</v>
      </c>
      <c r="D45" s="34">
        <f>IF(24763.61007="","-",24763.61007/3703581.02097*100)</f>
        <v>0.6686396201348443</v>
      </c>
      <c r="E45" s="34">
        <f>IF(25537.28412="","-",25537.28412/3770696.04948*100)</f>
        <v>0.6772565007864194</v>
      </c>
      <c r="F45" s="34">
        <f>IF(OR(3007940.19782="",21228.84901="",24763.61007=""),"-",(24763.61007-21228.84901)/3007940.19782*100)</f>
        <v>0.1175143396322111</v>
      </c>
      <c r="G45" s="34">
        <f>IF(OR(3703581.02097="",25537.28412="",24763.61007=""),"-",(25537.28412-24763.61007)/3703581.02097*100)</f>
        <v>0.02088989131382279</v>
      </c>
    </row>
    <row r="46" spans="1:7" s="9" customFormat="1" ht="15.75">
      <c r="A46" s="29" t="s">
        <v>195</v>
      </c>
      <c r="B46" s="34">
        <f>IF(159204.66738="","-",159204.66738)</f>
        <v>159204.66738</v>
      </c>
      <c r="C46" s="34">
        <f>IF(OR(146850.39382="",159204.66738=""),"-",159204.66738/146850.39382*100)</f>
        <v>108.41282970963162</v>
      </c>
      <c r="D46" s="34">
        <f>IF(146850.39382="","-",146850.39382/3703581.02097*100)</f>
        <v>3.9650919741871506</v>
      </c>
      <c r="E46" s="34">
        <f>IF(159204.66738="","-",159204.66738/3770696.04948*100)</f>
        <v>4.222155943912669</v>
      </c>
      <c r="F46" s="34">
        <f>IF(OR(3007940.19782="",140576.02022="",146850.39382=""),"-",(146850.39382-140576.02022)/3007940.19782*100)</f>
        <v>0.20859369493274282</v>
      </c>
      <c r="G46" s="34">
        <f>IF(OR(3703581.02097="",159204.66738="",146850.39382=""),"-",(159204.66738-146850.39382)/3703581.02097*100)</f>
        <v>0.33357643561863565</v>
      </c>
    </row>
    <row r="47" spans="1:7" s="9" customFormat="1" ht="14.25" customHeight="1">
      <c r="A47" s="29" t="s">
        <v>196</v>
      </c>
      <c r="B47" s="34">
        <f>IF(71934.57889="","-",71934.57889)</f>
        <v>71934.57889</v>
      </c>
      <c r="C47" s="34">
        <f>IF(OR(72716.72103="",71934.57889=""),"-",71934.57889/72716.72103*100)</f>
        <v>98.924398502956</v>
      </c>
      <c r="D47" s="34">
        <f>IF(72716.72103="","-",72716.72103/3703581.02097*100)</f>
        <v>1.9634165046821324</v>
      </c>
      <c r="E47" s="34">
        <f>IF(71934.57889="","-",71934.57889/3770696.04948*100)</f>
        <v>1.9077267948956051</v>
      </c>
      <c r="F47" s="34">
        <f>IF(OR(3007940.19782="",71247.3043="",72716.72103=""),"-",(72716.72103-71247.3043)/3007940.19782*100)</f>
        <v>0.04885126144013617</v>
      </c>
      <c r="G47" s="34">
        <f>IF(OR(3703581.02097="",71934.57889="",72716.72103=""),"-",(71934.57889-72716.72103)/3703581.02097*100)</f>
        <v>-0.021118537317570185</v>
      </c>
    </row>
    <row r="48" spans="1:7" s="9" customFormat="1" ht="13.5" customHeight="1">
      <c r="A48" s="29" t="s">
        <v>197</v>
      </c>
      <c r="B48" s="34">
        <f>IF(62624.308="","-",62624.308)</f>
        <v>62624.308</v>
      </c>
      <c r="C48" s="34">
        <f>IF(OR(63047.46143="",62624.308=""),"-",62624.308/63047.46143*100)</f>
        <v>99.32883351620775</v>
      </c>
      <c r="D48" s="34">
        <f>IF(63047.46143="","-",63047.46143/3703581.02097*100)</f>
        <v>1.7023378474244188</v>
      </c>
      <c r="E48" s="34">
        <f>IF(62624.308="","-",62624.308/3770696.04948*100)</f>
        <v>1.6608155942093565</v>
      </c>
      <c r="F48" s="34">
        <f>IF(OR(3007940.19782="",44998.96502="",63047.46143=""),"-",(63047.46143-44998.96502)/3007940.19782*100)</f>
        <v>0.6000284321836126</v>
      </c>
      <c r="G48" s="34">
        <f>IF(OR(3703581.02097="",62624.308="",63047.46143=""),"-",(62624.308-63047.46143)/3703581.02097*100)</f>
        <v>-0.01142552107282314</v>
      </c>
    </row>
    <row r="49" spans="1:7" s="9" customFormat="1" ht="15.75">
      <c r="A49" s="29" t="s">
        <v>32</v>
      </c>
      <c r="B49" s="34">
        <f>IF(35171.30191="","-",35171.30191)</f>
        <v>35171.30191</v>
      </c>
      <c r="C49" s="34">
        <f>IF(OR(38214.86296="",35171.30191=""),"-",35171.30191/38214.86296*100)</f>
        <v>92.03566148284835</v>
      </c>
      <c r="D49" s="34">
        <f>IF(38214.86296="","-",38214.86296/3703581.02097*100)</f>
        <v>1.0318354787872628</v>
      </c>
      <c r="E49" s="34">
        <f>IF(35171.30191="","-",35171.30191/3770696.04948*100)</f>
        <v>0.9327535672054585</v>
      </c>
      <c r="F49" s="34">
        <f>IF(OR(3007940.19782="",33191.16323="",38214.86296=""),"-",(38214.86296-33191.16323)/3007940.19782*100)</f>
        <v>0.1670146146403083</v>
      </c>
      <c r="G49" s="34">
        <f>IF(OR(3703581.02097="",35171.30191="",38214.86296=""),"-",(35171.30191-38214.86296)/3703581.02097*100)</f>
        <v>-0.08217887047069006</v>
      </c>
    </row>
    <row r="50" spans="1:7" s="9" customFormat="1" ht="15.75">
      <c r="A50" s="29" t="s">
        <v>33</v>
      </c>
      <c r="B50" s="34">
        <f>IF(74663.92313="","-",74663.92313)</f>
        <v>74663.92313</v>
      </c>
      <c r="C50" s="34">
        <f>IF(OR(72233.06097="",74663.92313=""),"-",74663.92313/72233.06097*100)</f>
        <v>103.36530409670661</v>
      </c>
      <c r="D50" s="34">
        <f>IF(72233.06097="","-",72233.06097/3703581.02097*100)</f>
        <v>1.950357250482981</v>
      </c>
      <c r="E50" s="34">
        <f>IF(74663.92313="","-",74663.92313/3770696.04948*100)</f>
        <v>1.9801098298627535</v>
      </c>
      <c r="F50" s="34">
        <f>IF(OR(3007940.19782="",62015.97487="",72233.06097=""),"-",(72233.06097-62015.97487)/3007940.19782*100)</f>
        <v>0.33967051962684713</v>
      </c>
      <c r="G50" s="34">
        <f>IF(OR(3703581.02097="",74663.92313="",72233.06097=""),"-",(74663.92313-72233.06097)/3703581.02097*100)</f>
        <v>0.06563545245091805</v>
      </c>
    </row>
    <row r="51" spans="1:7" s="9" customFormat="1" ht="15.75">
      <c r="A51" s="29" t="s">
        <v>198</v>
      </c>
      <c r="B51" s="34">
        <f>IF(98758.95982="","-",98758.95982)</f>
        <v>98758.95982</v>
      </c>
      <c r="C51" s="34">
        <f>IF(OR(101905.63527="",98758.95982=""),"-",98758.95982/101905.63527*100)</f>
        <v>96.91216737753231</v>
      </c>
      <c r="D51" s="34">
        <f>IF(101905.63527="","-",101905.63527/3703581.02097*100)</f>
        <v>2.7515432953404115</v>
      </c>
      <c r="E51" s="34">
        <f>IF(98758.95982="","-",98758.95982/3770696.04948*100)</f>
        <v>2.619117492475147</v>
      </c>
      <c r="F51" s="34">
        <f>IF(OR(3007940.19782="",83924.99962="",101905.63527=""),"-",(101905.63527-83924.99962)/3007940.19782*100)</f>
        <v>0.59777237802239</v>
      </c>
      <c r="G51" s="34">
        <f>IF(OR(3703581.02097="",98758.95982="",101905.63527=""),"-",(98758.95982-101905.63527)/3703581.02097*100)</f>
        <v>-0.0849630514948436</v>
      </c>
    </row>
    <row r="52" spans="1:7" s="9" customFormat="1" ht="15" customHeight="1">
      <c r="A52" s="51" t="s">
        <v>34</v>
      </c>
      <c r="B52" s="33">
        <f>IF(738389.19727="","-",738389.19727)</f>
        <v>738389.19727</v>
      </c>
      <c r="C52" s="33">
        <f>IF(750609.81845="","-",738389.19727/750609.81845*100)</f>
        <v>98.37190763035375</v>
      </c>
      <c r="D52" s="33">
        <f>IF(750609.81845="","-",750609.81845/3703581.02097*100)</f>
        <v>20.26713643362955</v>
      </c>
      <c r="E52" s="33">
        <f>IF(738389.19727="","-",738389.19727/3770696.04948*100)</f>
        <v>19.58230490022732</v>
      </c>
      <c r="F52" s="33">
        <f>IF(3007940.19782="","-",(750609.81845-617576.3273)/3007940.19782*100)</f>
        <v>4.422743884549827</v>
      </c>
      <c r="G52" s="33">
        <f>IF(3703581.02097="","-",(738389.19727-750609.81845)/3703581.02097*100)</f>
        <v>-0.3299677018217177</v>
      </c>
    </row>
    <row r="53" spans="1:7" s="9" customFormat="1" ht="15.75">
      <c r="A53" s="29" t="s">
        <v>199</v>
      </c>
      <c r="B53" s="34">
        <f>IF(34661.41789="","-",34661.41789)</f>
        <v>34661.41789</v>
      </c>
      <c r="C53" s="34">
        <f>IF(OR(38935.95398="",34661.41789=""),"-",34661.41789/38935.95398*100)</f>
        <v>89.02162229748967</v>
      </c>
      <c r="D53" s="34">
        <f>IF(38935.95398="","-",38935.95398/3703581.02097*100)</f>
        <v>1.0513055812615202</v>
      </c>
      <c r="E53" s="34">
        <f>IF(34661.41789="","-",34661.41789/3770696.04948*100)</f>
        <v>0.919231288737261</v>
      </c>
      <c r="F53" s="34">
        <f>IF(OR(3007940.19782="",27294.98335="",38935.95398=""),"-",(38935.95398-27294.98335)/3007940.19782*100)</f>
        <v>0.3870080475149332</v>
      </c>
      <c r="G53" s="34">
        <f>IF(OR(3703581.02097="",34661.41789="",38935.95398=""),"-",(34661.41789-38935.95398)/3703581.02097*100)</f>
        <v>-0.1154162975184613</v>
      </c>
    </row>
    <row r="54" spans="1:7" s="9" customFormat="1" ht="15.75">
      <c r="A54" s="29" t="s">
        <v>35</v>
      </c>
      <c r="B54" s="34">
        <f>IF(42040.3866="","-",42040.3866)</f>
        <v>42040.3866</v>
      </c>
      <c r="C54" s="34">
        <f>IF(OR(42263.66637="",42040.3866=""),"-",42040.3866/42263.66637*100)</f>
        <v>99.47169805845691</v>
      </c>
      <c r="D54" s="34">
        <f>IF(42263.66637="","-",42263.66637/3703581.02097*100)</f>
        <v>1.1411567920534051</v>
      </c>
      <c r="E54" s="34">
        <f>IF(42040.3866="","-",42040.3866/3770696.04948*100)</f>
        <v>1.1149237713232707</v>
      </c>
      <c r="F54" s="34">
        <f>IF(OR(3007940.19782="",33442.5452="",42263.66637=""),"-",(42263.66637-33442.5452)/3007940.19782*100)</f>
        <v>0.2932611883837682</v>
      </c>
      <c r="G54" s="34">
        <f>IF(OR(3703581.02097="",42040.3866="",42263.66637=""),"-",(42040.3866-42263.66637)/3703581.02097*100)</f>
        <v>-0.006028753488468901</v>
      </c>
    </row>
    <row r="55" spans="1:7" s="9" customFormat="1" ht="15.75">
      <c r="A55" s="29" t="s">
        <v>36</v>
      </c>
      <c r="B55" s="34">
        <f>IF(59723.68435="","-",59723.68435)</f>
        <v>59723.68435</v>
      </c>
      <c r="C55" s="34">
        <f>IF(OR(54644.32357="",59723.68435=""),"-",59723.68435/54644.32357*100)</f>
        <v>109.29531275740523</v>
      </c>
      <c r="D55" s="34">
        <f>IF(54644.32357="","-",54644.32357/3703581.02097*100)</f>
        <v>1.475445609549219</v>
      </c>
      <c r="E55" s="34">
        <f>IF(59723.68435="","-",59723.68435/3770696.04948*100)</f>
        <v>1.58389017747098</v>
      </c>
      <c r="F55" s="34">
        <f>IF(OR(3007940.19782="",42037.84712="",54644.32357=""),"-",(54644.32357-42037.84712)/3007940.19782*100)</f>
        <v>0.41910661851377656</v>
      </c>
      <c r="G55" s="34">
        <f>IF(OR(3703581.02097="",59723.68435="",54644.32357=""),"-",(59723.68435-54644.32357)/3703581.02097*100)</f>
        <v>0.13714728397300388</v>
      </c>
    </row>
    <row r="56" spans="1:7" s="9" customFormat="1" ht="25.5">
      <c r="A56" s="29" t="s">
        <v>200</v>
      </c>
      <c r="B56" s="34">
        <f>IF(69387.465="","-",69387.465)</f>
        <v>69387.465</v>
      </c>
      <c r="C56" s="34">
        <f>IF(OR(65242.72963="",69387.465=""),"-",69387.465/65242.72963*100)</f>
        <v>106.35279270733355</v>
      </c>
      <c r="D56" s="34">
        <f>IF(65242.72963="","-",65242.72963/3703581.02097*100)</f>
        <v>1.7616120522432197</v>
      </c>
      <c r="E56" s="34">
        <f>IF(69387.465="","-",69387.465/3770696.04948*100)</f>
        <v>1.8401765639415277</v>
      </c>
      <c r="F56" s="34">
        <f>IF(OR(3007940.19782="",54493.52261="",65242.72963=""),"-",(65242.72963-54493.52261)/3007940.19782*100)</f>
        <v>0.35736106149286057</v>
      </c>
      <c r="G56" s="34">
        <f>IF(OR(3703581.02097="",69387.465="",65242.72963=""),"-",(69387.465-65242.72963)/3703581.02097*100)</f>
        <v>0.11191156198641641</v>
      </c>
    </row>
    <row r="57" spans="1:7" s="9" customFormat="1" ht="14.25" customHeight="1">
      <c r="A57" s="29" t="s">
        <v>201</v>
      </c>
      <c r="B57" s="34">
        <f>IF(181346.07253="","-",181346.07253)</f>
        <v>181346.07253</v>
      </c>
      <c r="C57" s="34">
        <f>IF(OR(199077.68464="",181346.07253=""),"-",181346.07253/199077.68464*100)</f>
        <v>91.09311918005037</v>
      </c>
      <c r="D57" s="34">
        <f>IF(199077.68464="","-",199077.68464/3703581.02097*100)</f>
        <v>5.375275537724292</v>
      </c>
      <c r="E57" s="34">
        <f>IF(181346.07253="","-",181346.07253/3770696.04948*100)</f>
        <v>4.809352707042209</v>
      </c>
      <c r="F57" s="34">
        <f>IF(OR(3007940.19782="",179576.91127="",199077.68464=""),"-",(199077.68464-179576.91127)/3007940.19782*100)</f>
        <v>0.6483098761116706</v>
      </c>
      <c r="G57" s="34">
        <f>IF(OR(3703581.02097="",181346.07253="",199077.68464=""),"-",(181346.07253-199077.68464)/3703581.02097*100)</f>
        <v>-0.4787693858890098</v>
      </c>
    </row>
    <row r="58" spans="1:7" s="9" customFormat="1" ht="14.25" customHeight="1">
      <c r="A58" s="29" t="s">
        <v>37</v>
      </c>
      <c r="B58" s="34">
        <f>IF(84424.07271="","-",84424.07271)</f>
        <v>84424.07271</v>
      </c>
      <c r="C58" s="34">
        <f>IF(OR(81175.50183="",84424.07271=""),"-",84424.07271/81175.50183*100)</f>
        <v>104.00191043697302</v>
      </c>
      <c r="D58" s="34">
        <f>IF(81175.50183="","-",81175.50183/3703581.02097*100)</f>
        <v>2.1918111517036403</v>
      </c>
      <c r="E58" s="34">
        <f>IF(84424.07271="","-",84424.07271/3770696.04948*100)</f>
        <v>2.2389519495118826</v>
      </c>
      <c r="F58" s="34">
        <f>IF(OR(3007940.19782="",75457.25758="",81175.50183=""),"-",(81175.50183-75457.25758)/3007940.19782*100)</f>
        <v>0.1901049846052218</v>
      </c>
      <c r="G58" s="34">
        <f>IF(OR(3703581.02097="",84424.07271="",81175.50183=""),"-",(84424.07271-81175.50183)/3703581.02097*100)</f>
        <v>0.08771431923876666</v>
      </c>
    </row>
    <row r="59" spans="1:7" s="9" customFormat="1" ht="15" customHeight="1">
      <c r="A59" s="29" t="s">
        <v>202</v>
      </c>
      <c r="B59" s="34">
        <f>IF(90068.79921="","-",90068.79921)</f>
        <v>90068.79921</v>
      </c>
      <c r="C59" s="34">
        <f>IF(OR(90172.15079="",90068.79921=""),"-",90068.79921/90172.15079*100)</f>
        <v>99.88538414677421</v>
      </c>
      <c r="D59" s="34">
        <f>IF(90172.15079="","-",90172.15079/3703581.02097*100)</f>
        <v>2.4347287201073065</v>
      </c>
      <c r="E59" s="34">
        <f>IF(90068.79921="","-",90068.79921/3770696.04948*100)</f>
        <v>2.388651804019605</v>
      </c>
      <c r="F59" s="34">
        <f>IF(OR(3007940.19782="",68837.52478="",90172.15079=""),"-",(90172.15079-68837.52478)/3007940.19782*100)</f>
        <v>0.709276933945104</v>
      </c>
      <c r="G59" s="34">
        <f>IF(OR(3703581.02097="",90068.79921="",90172.15079=""),"-",(90068.79921-90172.15079)/3703581.02097*100)</f>
        <v>-0.0027905850962842878</v>
      </c>
    </row>
    <row r="60" spans="1:7" s="9" customFormat="1" ht="15.75">
      <c r="A60" s="29" t="s">
        <v>38</v>
      </c>
      <c r="B60" s="34">
        <f>IF(63385.09675="","-",63385.09675)</f>
        <v>63385.09675</v>
      </c>
      <c r="C60" s="34">
        <f>IF(OR(70551.67798="",63385.09675=""),"-",63385.09675/70551.67798*100)</f>
        <v>89.84208251994859</v>
      </c>
      <c r="D60" s="34">
        <f>IF(70551.67798="","-",70551.67798/3703581.02097*100)</f>
        <v>1.9049584059463047</v>
      </c>
      <c r="E60" s="34">
        <f>IF(63385.09675="","-",63385.09675/3770696.04948*100)</f>
        <v>1.6809919420246338</v>
      </c>
      <c r="F60" s="34">
        <f>IF(OR(3007940.19782="",50643.87665="",70551.67798=""),"-",(70551.67798-50643.87665)/3007940.19782*100)</f>
        <v>0.6618416597653153</v>
      </c>
      <c r="G60" s="34">
        <f>IF(OR(3703581.02097="",63385.09675="",70551.67798=""),"-",(63385.09675-70551.67798)/3703581.02097*100)</f>
        <v>-0.19350410290532827</v>
      </c>
    </row>
    <row r="61" spans="1:7" s="9" customFormat="1" ht="15" customHeight="1">
      <c r="A61" s="29" t="s">
        <v>39</v>
      </c>
      <c r="B61" s="34">
        <f>IF(113352.20223="","-",113352.20223)</f>
        <v>113352.20223</v>
      </c>
      <c r="C61" s="34">
        <f>IF(OR(108546.12966="",113352.20223=""),"-",113352.20223/108546.12966*100)</f>
        <v>104.42767750914206</v>
      </c>
      <c r="D61" s="34">
        <f>IF(108546.12966="","-",108546.12966/3703581.02097*100)</f>
        <v>2.930842583040639</v>
      </c>
      <c r="E61" s="34">
        <f>IF(113352.20223="","-",113352.20223/3770696.04948*100)</f>
        <v>3.0061346961559496</v>
      </c>
      <c r="F61" s="34">
        <f>IF(OR(3007940.19782="",85791.85874="",108546.12966=""),"-",(108546.12966-85791.85874)/3007940.19782*100)</f>
        <v>0.7564735142171753</v>
      </c>
      <c r="G61" s="34">
        <f>IF(OR(3703581.02097="",113352.20223="",108546.12966=""),"-",(113352.20223-108546.12966)/3703581.02097*100)</f>
        <v>0.12976825787764829</v>
      </c>
    </row>
    <row r="62" spans="1:7" s="9" customFormat="1" ht="15.75">
      <c r="A62" s="51" t="s">
        <v>203</v>
      </c>
      <c r="B62" s="33">
        <f>IF(915376.56286="","-",915376.56286)</f>
        <v>915376.56286</v>
      </c>
      <c r="C62" s="33">
        <f>IF(891842.92748="","-",915376.56286/891842.92748*100)</f>
        <v>102.63876459126013</v>
      </c>
      <c r="D62" s="33">
        <f>IF(891842.92748="","-",891842.92748/3703581.02097*100)</f>
        <v>24.08055669446158</v>
      </c>
      <c r="E62" s="33">
        <f>IF(915376.56286="","-",915376.56286/3770696.04948*100)</f>
        <v>24.27606338055902</v>
      </c>
      <c r="F62" s="33">
        <f>IF(3007940.19782="","-",(891842.92748-651546.94626)/3007940.19782*100)</f>
        <v>7.988722029585365</v>
      </c>
      <c r="G62" s="33">
        <f>IF(3703581.02097="","-",(915376.56286-891842.92748)/3703581.02097*100)</f>
        <v>0.6354292034317729</v>
      </c>
    </row>
    <row r="63" spans="1:7" s="9" customFormat="1" ht="25.5">
      <c r="A63" s="29" t="s">
        <v>204</v>
      </c>
      <c r="B63" s="34">
        <f>IF(14086.23307="","-",14086.23307)</f>
        <v>14086.23307</v>
      </c>
      <c r="C63" s="34">
        <f>IF(OR(17441.60754="",14086.23307=""),"-",14086.23307/17441.60754*100)</f>
        <v>80.76224073781675</v>
      </c>
      <c r="D63" s="34">
        <f>IF(17441.60754="","-",17441.60754/3703581.02097*100)</f>
        <v>0.47093900312276393</v>
      </c>
      <c r="E63" s="34">
        <f>IF(14086.23307="","-",14086.23307/3770696.04948*100)</f>
        <v>0.3735711625958971</v>
      </c>
      <c r="F63" s="34">
        <f>IF(OR(3007940.19782="",9993.47724="",17441.60754=""),"-",(17441.60754-9993.47724)/3007940.19782*100)</f>
        <v>0.24761563761799593</v>
      </c>
      <c r="G63" s="34">
        <f>IF(OR(3703581.02097="",14086.23307="",17441.60754=""),"-",(14086.23307-17441.60754)/3703581.02097*100)</f>
        <v>-0.09059811169248294</v>
      </c>
    </row>
    <row r="64" spans="1:7" s="9" customFormat="1" ht="25.5">
      <c r="A64" s="29" t="s">
        <v>281</v>
      </c>
      <c r="B64" s="34">
        <f>IF(135211.8211="","-",135211.8211)</f>
        <v>135211.8211</v>
      </c>
      <c r="C64" s="34">
        <f>IF(OR(148436.24501="",135211.8211=""),"-",135211.8211/148436.24501*100)</f>
        <v>91.09083909451556</v>
      </c>
      <c r="D64" s="34">
        <f>IF(148436.24501="","-",148436.24501/3703581.02097*100)</f>
        <v>4.00791137468145</v>
      </c>
      <c r="E64" s="34">
        <f>IF(135211.8211="","-",135211.8211/3770696.04948*100)</f>
        <v>3.5858584018896575</v>
      </c>
      <c r="F64" s="34">
        <f>IF(OR(3007940.19782="",101610.23035="",148436.24501=""),"-",(148436.24501-101610.23035)/3007940.19782*100)</f>
        <v>1.5567468626516276</v>
      </c>
      <c r="G64" s="34">
        <f>IF(OR(3703581.02097="",135211.8211="",148436.24501=""),"-",(135211.8211-148436.24501)/3703581.02097*100)</f>
        <v>-0.3570712733195836</v>
      </c>
    </row>
    <row r="65" spans="1:7" s="9" customFormat="1" ht="25.5">
      <c r="A65" s="29" t="s">
        <v>205</v>
      </c>
      <c r="B65" s="34">
        <f>IF(7149.03523="","-",7149.03523)</f>
        <v>7149.03523</v>
      </c>
      <c r="C65" s="34">
        <f>IF(OR(9358.15185="",7149.03523=""),"-",7149.03523/9358.15185*100)</f>
        <v>76.39366559327631</v>
      </c>
      <c r="D65" s="34">
        <f>IF(9358.15185="","-",9358.15185/3703581.02097*100)</f>
        <v>0.2526784697570628</v>
      </c>
      <c r="E65" s="34">
        <f>IF(7149.03523="","-",7149.03523/3770696.04948*100)</f>
        <v>0.1895945771334683</v>
      </c>
      <c r="F65" s="34">
        <f>IF(OR(3007940.19782="",6685.47617="",9358.15185=""),"-",(9358.15185-6685.47617)/3007940.19782*100)</f>
        <v>0.08885401651060144</v>
      </c>
      <c r="G65" s="34">
        <f>IF(OR(3703581.02097="",7149.03523="",9358.15185=""),"-",(7149.03523-9358.15185)/3703581.02097*100)</f>
        <v>-0.059648124544644444</v>
      </c>
    </row>
    <row r="66" spans="1:7" s="9" customFormat="1" ht="38.25">
      <c r="A66" s="29" t="s">
        <v>206</v>
      </c>
      <c r="B66" s="34">
        <f>IF(126307.0389="","-",126307.0389)</f>
        <v>126307.0389</v>
      </c>
      <c r="C66" s="34">
        <f>IF(OR(116508.57263="",126307.0389=""),"-",126307.0389/116508.57263*100)</f>
        <v>108.41008180669873</v>
      </c>
      <c r="D66" s="34">
        <f>IF(116508.57263="","-",116508.57263/3703581.02097*100)</f>
        <v>3.145835664734166</v>
      </c>
      <c r="E66" s="34">
        <f>IF(126307.0389="","-",126307.0389/3770696.04948*100)</f>
        <v>3.3497008839367584</v>
      </c>
      <c r="F66" s="34">
        <f>IF(OR(3007940.19782="",95824.49121="",116508.57263=""),"-",(116508.57263-95824.49121)/3007940.19782*100)</f>
        <v>0.6876493566923557</v>
      </c>
      <c r="G66" s="34">
        <f>IF(OR(3703581.02097="",126307.0389="",116508.57263=""),"-",(126307.0389-116508.57263)/3703581.02097*100)</f>
        <v>0.2645673529084481</v>
      </c>
    </row>
    <row r="67" spans="1:7" s="9" customFormat="1" ht="25.5">
      <c r="A67" s="29" t="s">
        <v>207</v>
      </c>
      <c r="B67" s="34">
        <f>IF(28856.21475="","-",28856.21475)</f>
        <v>28856.21475</v>
      </c>
      <c r="C67" s="34">
        <f>IF(OR(34341.96422="",28856.21475=""),"-",28856.21475/34341.96422*100)</f>
        <v>84.02610452082055</v>
      </c>
      <c r="D67" s="34">
        <f>IF(34341.96422="","-",34341.96422/3703581.02097*100)</f>
        <v>0.9272637489379277</v>
      </c>
      <c r="E67" s="34">
        <f>IF(28856.21475="","-",28856.21475/3770696.04948*100)</f>
        <v>0.7652755451869273</v>
      </c>
      <c r="F67" s="34">
        <f>IF(OR(3007940.19782="",26394.603="",34341.96422=""),"-",(34341.96422-26394.603)/3007940.19782*100)</f>
        <v>0.26421274019210356</v>
      </c>
      <c r="G67" s="34">
        <f>IF(OR(3703581.02097="",28856.21475="",34341.96422=""),"-",(28856.21475-34341.96422)/3703581.02097*100)</f>
        <v>-0.1481201420716655</v>
      </c>
    </row>
    <row r="68" spans="1:7" s="9" customFormat="1" ht="39" customHeight="1">
      <c r="A68" s="29" t="s">
        <v>208</v>
      </c>
      <c r="B68" s="34">
        <f>IF(104317.59859="","-",104317.59859)</f>
        <v>104317.59859</v>
      </c>
      <c r="C68" s="34">
        <f>IF(OR(91359.94576="",104317.59859=""),"-",104317.59859/91359.94576*100)</f>
        <v>114.18307850580317</v>
      </c>
      <c r="D68" s="34">
        <f>IF(91359.94576="","-",91359.94576/3703581.02097*100)</f>
        <v>2.466800246645395</v>
      </c>
      <c r="E68" s="34">
        <f>IF(104317.59859="","-",104317.59859/3770696.04948*100)</f>
        <v>2.766534274338712</v>
      </c>
      <c r="F68" s="34">
        <f>IF(OR(3007940.19782="",63367.26069="",91359.94576=""),"-",(91359.94576-63367.26069)/3007940.19782*100)</f>
        <v>0.9306263831404513</v>
      </c>
      <c r="G68" s="34">
        <f>IF(OR(3703581.02097="",104317.59859="",91359.94576=""),"-",(104317.59859-91359.94576)/3703581.02097*100)</f>
        <v>0.3498682155630625</v>
      </c>
    </row>
    <row r="69" spans="1:7" s="9" customFormat="1" ht="38.25" customHeight="1">
      <c r="A69" s="29" t="s">
        <v>224</v>
      </c>
      <c r="B69" s="34">
        <f>IF(281494.59577="","-",281494.59577)</f>
        <v>281494.59577</v>
      </c>
      <c r="C69" s="34">
        <f>IF(OR(277270.66782="",281494.59577=""),"-",281494.59577/277270.66782*100)</f>
        <v>101.52339516588972</v>
      </c>
      <c r="D69" s="34">
        <f>IF(277270.66782="","-",277270.66782/3703581.02097*100)</f>
        <v>7.486556018352755</v>
      </c>
      <c r="E69" s="34">
        <f>IF(281494.59577="","-",281494.59577/3770696.04948*100)</f>
        <v>7.4653218418074205</v>
      </c>
      <c r="F69" s="34">
        <f>IF(OR(3007940.19782="",189616.74579="",277270.66782=""),"-",(277270.66782-189616.74579)/3007940.19782*100)</f>
        <v>2.9140845982751595</v>
      </c>
      <c r="G69" s="34">
        <f>IF(OR(3703581.02097="",281494.59577="",277270.66782=""),"-",(281494.59577-277270.66782)/3703581.02097*100)</f>
        <v>0.11404983247521228</v>
      </c>
    </row>
    <row r="70" spans="1:7" s="9" customFormat="1" ht="25.5">
      <c r="A70" s="29" t="s">
        <v>40</v>
      </c>
      <c r="B70" s="34">
        <f>IF(213709.48986="","-",213709.48986)</f>
        <v>213709.48986</v>
      </c>
      <c r="C70" s="34">
        <f>IF(OR(194740.48519="",213709.48986=""),"-",213709.48986/194740.48519*100)</f>
        <v>109.74065801032218</v>
      </c>
      <c r="D70" s="34">
        <f>IF(194740.48519="","-",194740.48519/3703581.02097*100)</f>
        <v>5.258167273440552</v>
      </c>
      <c r="E70" s="34">
        <f>IF(213709.48986="","-",213709.48986/3770696.04948*100)</f>
        <v>5.667640325702511</v>
      </c>
      <c r="F70" s="34">
        <f>IF(OR(3007940.19782="",156581.81187="",194740.48519=""),"-",(194740.48519-156581.81187)/3007940.19782*100)</f>
        <v>1.2685981372786415</v>
      </c>
      <c r="G70" s="34">
        <f>IF(OR(3703581.02097="",213709.48986="",194740.48519=""),"-",(213709.48986-194740.48519)/3703581.02097*100)</f>
        <v>0.512180091716526</v>
      </c>
    </row>
    <row r="71" spans="1:7" s="9" customFormat="1" ht="15.75">
      <c r="A71" s="29" t="s">
        <v>41</v>
      </c>
      <c r="B71" s="34">
        <f>IF(4244.53559="","-",4244.53559)</f>
        <v>4244.53559</v>
      </c>
      <c r="C71" s="34" t="s">
        <v>112</v>
      </c>
      <c r="D71" s="34">
        <f>IF(2385.28746="","-",2385.28746/3703581.02097*100)</f>
        <v>0.06440489478951031</v>
      </c>
      <c r="E71" s="34">
        <f>IF(4244.53559="","-",4244.53559/3770696.04948*100)</f>
        <v>0.11256636796766861</v>
      </c>
      <c r="F71" s="34">
        <f>IF(OR(3007940.19782="",1472.84994="",2385.28746=""),"-",(2385.28746-1472.84994)/3007940.19782*100)</f>
        <v>0.03033429722643049</v>
      </c>
      <c r="G71" s="34">
        <f>IF(OR(3703581.02097="",4244.53559="",2385.28746=""),"-",(4244.53559-2385.28746)/3703581.02097*100)</f>
        <v>0.05020136239690113</v>
      </c>
    </row>
    <row r="72" spans="1:7" s="9" customFormat="1" ht="15.75">
      <c r="A72" s="51" t="s">
        <v>42</v>
      </c>
      <c r="B72" s="33">
        <f>IF(402642.83316="","-",402642.83316)</f>
        <v>402642.83316</v>
      </c>
      <c r="C72" s="33">
        <f>IF(370991.37623="","-",402642.83316/370991.37623*100)</f>
        <v>108.53158832198227</v>
      </c>
      <c r="D72" s="33">
        <f>IF(370991.37623="","-",370991.37623/3703581.02097*100)</f>
        <v>10.017098967982998</v>
      </c>
      <c r="E72" s="33">
        <f>IF(402642.83316="","-",402642.83316/3770696.04948*100)</f>
        <v>10.678209748980608</v>
      </c>
      <c r="F72" s="33">
        <f>IF(3007940.19782="","-",(370991.37623-320163.9892)/3007940.19782*100)</f>
        <v>1.6897738547740095</v>
      </c>
      <c r="G72" s="33">
        <f>IF(3703581.02097="","-",(402642.83316-370991.37623)/3703581.02097*100)</f>
        <v>0.8546176457538438</v>
      </c>
    </row>
    <row r="73" spans="1:7" s="9" customFormat="1" ht="38.25">
      <c r="A73" s="29" t="s">
        <v>209</v>
      </c>
      <c r="B73" s="34">
        <f>IF(29538.19758="","-",29538.19758)</f>
        <v>29538.19758</v>
      </c>
      <c r="C73" s="34">
        <f>IF(OR(25956.52891="",29538.19758=""),"-",29538.19758/25956.52891*100)</f>
        <v>113.79871970716442</v>
      </c>
      <c r="D73" s="34">
        <f>IF(25956.52891="","-",25956.52891/3703581.02097*100)</f>
        <v>0.7008494957456544</v>
      </c>
      <c r="E73" s="34">
        <f>IF(29538.19758="","-",29538.19758/3770696.04948*100)</f>
        <v>0.7833619361622499</v>
      </c>
      <c r="F73" s="34">
        <f>IF(OR(3007940.19782="",22914.10054="",25956.52891=""),"-",(25956.52891-22914.10054)/3007940.19782*100)</f>
        <v>0.1011465710722905</v>
      </c>
      <c r="G73" s="34">
        <f>IF(OR(3703581.02097="",29538.19758="",25956.52891=""),"-",(29538.19758-25956.52891)/3703581.02097*100)</f>
        <v>0.09670825748701804</v>
      </c>
    </row>
    <row r="74" spans="1:7" s="9" customFormat="1" ht="14.25" customHeight="1">
      <c r="A74" s="29" t="s">
        <v>282</v>
      </c>
      <c r="B74" s="34">
        <f>IF(35887.06209="","-",35887.06209)</f>
        <v>35887.06209</v>
      </c>
      <c r="C74" s="34">
        <f>IF(OR(33455.44709="",35887.06209=""),"-",35887.06209/33455.44709*100)</f>
        <v>107.26821851598216</v>
      </c>
      <c r="D74" s="34">
        <f>IF(33455.44709="","-",33455.44709/3703581.02097*100)</f>
        <v>0.903326993538749</v>
      </c>
      <c r="E74" s="34">
        <f>IF(35887.06209="","-",35887.06209/3770696.04948*100)</f>
        <v>0.9517357437216141</v>
      </c>
      <c r="F74" s="34">
        <f>IF(OR(3007940.19782="",29005.55498="",33455.44709=""),"-",(33455.44709-29005.55498)/3007940.19782*100)</f>
        <v>0.14793818418414878</v>
      </c>
      <c r="G74" s="34">
        <f>IF(OR(3703581.02097="",35887.06209="",33455.44709=""),"-",(35887.06209-33455.44709)/3703581.02097*100)</f>
        <v>0.0656557798042484</v>
      </c>
    </row>
    <row r="75" spans="1:7" s="9" customFormat="1" ht="15.75">
      <c r="A75" s="29" t="s">
        <v>211</v>
      </c>
      <c r="B75" s="34">
        <f>IF(6311.71434="","-",6311.71434)</f>
        <v>6311.71434</v>
      </c>
      <c r="C75" s="34">
        <f>IF(OR(5635.68427="",6311.71434=""),"-",6311.71434/5635.68427*100)</f>
        <v>111.99552774094637</v>
      </c>
      <c r="D75" s="34">
        <f>IF(5635.68427="","-",5635.68427/3703581.02097*100)</f>
        <v>0.1521685157713646</v>
      </c>
      <c r="E75" s="34">
        <f>IF(6311.71434="","-",6311.71434/3770696.04948*100)</f>
        <v>0.16738857381173486</v>
      </c>
      <c r="F75" s="34">
        <f>IF(OR(3007940.19782="",10544.20525="",5635.68427=""),"-",(5635.68427-10544.20525)/3007940.19782*100)</f>
        <v>-0.16318545772809726</v>
      </c>
      <c r="G75" s="34">
        <f>IF(OR(3703581.02097="",6311.71434="",5635.68427=""),"-",(6311.71434-5635.68427)/3703581.02097*100)</f>
        <v>0.018253416522340384</v>
      </c>
    </row>
    <row r="76" spans="1:7" s="9" customFormat="1" ht="15.75">
      <c r="A76" s="29" t="s">
        <v>212</v>
      </c>
      <c r="B76" s="34">
        <f>IF(91538.52799="","-",91538.52799)</f>
        <v>91538.52799</v>
      </c>
      <c r="C76" s="34">
        <f>IF(OR(94319.58328="",91538.52799=""),"-",91538.52799/94319.58328*100)</f>
        <v>97.05145507084771</v>
      </c>
      <c r="D76" s="34">
        <f>IF(94319.58328="","-",94319.58328/3703581.02097*100)</f>
        <v>2.5467131067459916</v>
      </c>
      <c r="E76" s="34">
        <f>IF(91538.52799="","-",91538.52799/3770696.04948*100)</f>
        <v>2.4276294559097034</v>
      </c>
      <c r="F76" s="34">
        <f>IF(OR(3007940.19782="",82336.08768="",94319.58328=""),"-",(94319.58328-82336.08768)/3007940.19782*100)</f>
        <v>0.39839540721870165</v>
      </c>
      <c r="G76" s="34">
        <f>IF(OR(3703581.02097="",91538.52799="",94319.58328=""),"-",(91538.52799-94319.58328)/3703581.02097*100)</f>
        <v>-0.07509098016901548</v>
      </c>
    </row>
    <row r="77" spans="1:7" ht="15.75">
      <c r="A77" s="29" t="s">
        <v>213</v>
      </c>
      <c r="B77" s="34">
        <f>IF(31021.22485="","-",31021.22485)</f>
        <v>31021.22485</v>
      </c>
      <c r="C77" s="34">
        <f>IF(OR(27632.80262="",31021.22485=""),"-",31021.22485/27632.80262*100)</f>
        <v>112.26231836342049</v>
      </c>
      <c r="D77" s="34">
        <f>IF(27632.80262="","-",27632.80262/3703581.02097*100)</f>
        <v>0.7461103851526577</v>
      </c>
      <c r="E77" s="34">
        <f>IF(31021.22485="","-",31021.22485/3770696.04948*100)</f>
        <v>0.8226922680304078</v>
      </c>
      <c r="F77" s="34">
        <f>IF(OR(3007940.19782="",26799.12021="",27632.80262=""),"-",(27632.80262-26799.12021)/3007940.19782*100)</f>
        <v>0.027716056675734697</v>
      </c>
      <c r="G77" s="34">
        <f>IF(OR(3703581.02097="",31021.22485="",27632.80262=""),"-",(31021.22485-27632.80262)/3703581.02097*100)</f>
        <v>0.09149043076996174</v>
      </c>
    </row>
    <row r="78" spans="1:7" ht="25.5">
      <c r="A78" s="29" t="s">
        <v>214</v>
      </c>
      <c r="B78" s="34">
        <f>IF(41954.28023="","-",41954.28023)</f>
        <v>41954.28023</v>
      </c>
      <c r="C78" s="34">
        <f>IF(OR(36820.64316="",41954.28023=""),"-",41954.28023/36820.64316*100)</f>
        <v>113.94227973610442</v>
      </c>
      <c r="D78" s="34">
        <f>IF(36820.64316="","-",36820.64316/3703581.02097*100)</f>
        <v>0.9941902972155408</v>
      </c>
      <c r="E78" s="34">
        <f>IF(41954.28023="","-",41954.28023/3770696.04948*100)</f>
        <v>1.112640204340674</v>
      </c>
      <c r="F78" s="34">
        <f>IF(OR(3007940.19782="",29677.1395="",36820.64316=""),"-",(36820.64316-29677.1395)/3007940.19782*100)</f>
        <v>0.23748822084884674</v>
      </c>
      <c r="G78" s="34">
        <f>IF(OR(3703581.02097="",41954.28023="",36820.64316=""),"-",(41954.28023-36820.64316)/3703581.02097*100)</f>
        <v>0.1386127923469986</v>
      </c>
    </row>
    <row r="79" spans="1:7" ht="25.5">
      <c r="A79" s="29" t="s">
        <v>215</v>
      </c>
      <c r="B79" s="34">
        <f>IF(7713.22008="","-",7713.22008)</f>
        <v>7713.22008</v>
      </c>
      <c r="C79" s="34">
        <f>IF(OR(8079.84848="",7713.22008=""),"-",7713.22008/8079.84848*100)</f>
        <v>95.46243471139945</v>
      </c>
      <c r="D79" s="34">
        <f>IF(8079.84848="","-",8079.84848/3703581.02097*100)</f>
        <v>0.21816313546946026</v>
      </c>
      <c r="E79" s="34">
        <f>IF(7713.22008="","-",7713.22008/3770696.04948*100)</f>
        <v>0.20455693004117095</v>
      </c>
      <c r="F79" s="34">
        <f>IF(OR(3007940.19782="",6514.21097="",8079.84848=""),"-",(8079.84848-6514.21097)/3007940.19782*100)</f>
        <v>0.05205015415980321</v>
      </c>
      <c r="G79" s="34">
        <f>IF(OR(3703581.02097="",7713.22008="",8079.84848=""),"-",(7713.22008-8079.84848)/3703581.02097*100)</f>
        <v>-0.009899294707584834</v>
      </c>
    </row>
    <row r="80" spans="1:7" ht="15.75">
      <c r="A80" s="29" t="s">
        <v>43</v>
      </c>
      <c r="B80" s="34">
        <f>IF(158678.606="","-",158678.606)</f>
        <v>158678.606</v>
      </c>
      <c r="C80" s="34">
        <f>IF(OR(139090.83842="",158678.606=""),"-",158678.606/139090.83842*100)</f>
        <v>114.08271587295535</v>
      </c>
      <c r="D80" s="34">
        <f>IF(139090.83842="","-",139090.83842/3703581.02097*100)</f>
        <v>3.7555770383435787</v>
      </c>
      <c r="E80" s="34">
        <f>IF(158678.606="","-",158678.606/3770696.04948*100)</f>
        <v>4.208204636963052</v>
      </c>
      <c r="F80" s="34">
        <f>IF(OR(3007940.19782="",112373.57007="",139090.83842=""),"-",(139090.83842-112373.57007)/3007940.19782*100)</f>
        <v>0.8882247183425815</v>
      </c>
      <c r="G80" s="34">
        <f>IF(OR(3703581.02097="",158678.606="",139090.83842=""),"-",(158678.606-139090.83842)/3703581.02097*100)</f>
        <v>0.5288872436998775</v>
      </c>
    </row>
    <row r="81" spans="1:7" ht="25.5">
      <c r="A81" s="53" t="s">
        <v>216</v>
      </c>
      <c r="B81" s="54">
        <f>IF(141.89918="","-",141.89918)</f>
        <v>141.89918</v>
      </c>
      <c r="C81" s="54">
        <f>IF(303.21356="","-",141.89918/303.21356*100)</f>
        <v>46.79842814417667</v>
      </c>
      <c r="D81" s="54">
        <f>IF(303.21356="","-",303.21356/3703581.02097*100)</f>
        <v>0.0081870373101919</v>
      </c>
      <c r="E81" s="54">
        <f>IF(141.89918="","-",141.89918/3770696.04948*100)</f>
        <v>0.003763209183078246</v>
      </c>
      <c r="F81" s="54">
        <f>IF(3007940.19782="","-",(303.21356-614.56106)/3007940.19782*100)</f>
        <v>-0.010350854057060332</v>
      </c>
      <c r="G81" s="54">
        <f>IF(3703581.02097="","-",(141.89918-303.21356)/3703581.02097*100)</f>
        <v>-0.004355632537444809</v>
      </c>
    </row>
    <row r="82" ht="15.75">
      <c r="A82" s="52" t="s">
        <v>21</v>
      </c>
    </row>
  </sheetData>
  <sheetProtection/>
  <mergeCells count="10"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F81"/>
  <sheetViews>
    <sheetView zoomScalePageLayoutView="0" workbookViewId="0" topLeftCell="A1">
      <selection activeCell="F78" sqref="F78"/>
    </sheetView>
  </sheetViews>
  <sheetFormatPr defaultColWidth="9.00390625" defaultRowHeight="15.75"/>
  <cols>
    <col min="1" max="1" width="42.125" style="0" customWidth="1"/>
    <col min="2" max="2" width="13.625" style="0" customWidth="1"/>
    <col min="3" max="3" width="13.50390625" style="0" customWidth="1"/>
    <col min="4" max="4" width="17.375" style="0" customWidth="1"/>
    <col min="6" max="6" width="12.125" style="0" bestFit="1" customWidth="1"/>
  </cols>
  <sheetData>
    <row r="1" spans="1:4" ht="15.75">
      <c r="A1" s="80" t="s">
        <v>137</v>
      </c>
      <c r="B1" s="80"/>
      <c r="C1" s="80"/>
      <c r="D1" s="80"/>
    </row>
    <row r="2" spans="1:4" ht="15.75">
      <c r="A2" s="80" t="s">
        <v>23</v>
      </c>
      <c r="B2" s="80"/>
      <c r="C2" s="80"/>
      <c r="D2" s="80"/>
    </row>
    <row r="3" ht="15.75">
      <c r="A3" s="5"/>
    </row>
    <row r="4" spans="1:5" ht="15.75">
      <c r="A4" s="81"/>
      <c r="B4" s="79" t="s">
        <v>256</v>
      </c>
      <c r="C4" s="79"/>
      <c r="D4" s="83" t="s">
        <v>257</v>
      </c>
      <c r="E4" s="1"/>
    </row>
    <row r="5" spans="1:5" ht="28.5" customHeight="1">
      <c r="A5" s="82"/>
      <c r="B5" s="19">
        <v>2018</v>
      </c>
      <c r="C5" s="18">
        <v>2019</v>
      </c>
      <c r="D5" s="84"/>
      <c r="E5" s="1"/>
    </row>
    <row r="6" spans="1:6" ht="14.25" customHeight="1">
      <c r="A6" s="46" t="s">
        <v>159</v>
      </c>
      <c r="B6" s="32">
        <f>IF(-1951348.88592="","-",-1951348.88592)</f>
        <v>-1951348.88592</v>
      </c>
      <c r="C6" s="32">
        <f>IF(-1983092.70094="","-",-1983092.70094)</f>
        <v>-1983092.70094</v>
      </c>
      <c r="D6" s="39">
        <f>IF(-1951348.88592="","-",-1983092.70094/-1951348.88592*100)</f>
        <v>101.62676265884836</v>
      </c>
      <c r="F6" s="16"/>
    </row>
    <row r="7" spans="1:6" ht="14.25" customHeight="1">
      <c r="A7" s="47" t="s">
        <v>157</v>
      </c>
      <c r="B7" s="36"/>
      <c r="C7" s="36"/>
      <c r="D7" s="42"/>
      <c r="F7" s="16"/>
    </row>
    <row r="8" spans="1:6" ht="14.25" customHeight="1">
      <c r="A8" s="51" t="s">
        <v>175</v>
      </c>
      <c r="B8" s="33">
        <f>IF(24266.07858="","-",24266.07858)</f>
        <v>24266.07858</v>
      </c>
      <c r="C8" s="33">
        <f>IF(17310.41723="","-",17310.41723)</f>
        <v>17310.41723</v>
      </c>
      <c r="D8" s="40">
        <f>IF(24266.07858="","-",17310.41723/24266.07858*100)</f>
        <v>71.33586571448414</v>
      </c>
      <c r="F8" s="16"/>
    </row>
    <row r="9" spans="1:4" ht="15.75">
      <c r="A9" s="29" t="s">
        <v>24</v>
      </c>
      <c r="B9" s="34">
        <f>IF(OR(7002.29518="",7002.29518=0),"-",7002.29518)</f>
        <v>7002.29518</v>
      </c>
      <c r="C9" s="34">
        <f>IF(OR(4114.68637="",4114.68637=0),"-",4114.68637)</f>
        <v>4114.68637</v>
      </c>
      <c r="D9" s="41">
        <f>IF(OR(7002.29518="",4114.68637="",7002.29518=0,4114.68637=0),"-",4114.68637/7002.29518*100)</f>
        <v>58.761966815572045</v>
      </c>
    </row>
    <row r="10" spans="1:4" ht="15.75">
      <c r="A10" s="29" t="s">
        <v>176</v>
      </c>
      <c r="B10" s="34">
        <f>IF(OR(-23451.17258="",-23451.17258=0),"-",-23451.17258)</f>
        <v>-23451.17258</v>
      </c>
      <c r="C10" s="34">
        <f>IF(OR(-26301.72553="",-26301.72553=0),"-",-26301.72553)</f>
        <v>-26301.72553</v>
      </c>
      <c r="D10" s="41">
        <f>IF(OR(-23451.17258="",-26301.72553="",-23451.17258=0,-26301.72553=0),"-",-26301.72553/-23451.17258*100)</f>
        <v>112.1552683145194</v>
      </c>
    </row>
    <row r="11" spans="1:4" ht="15.75">
      <c r="A11" s="29" t="s">
        <v>177</v>
      </c>
      <c r="B11" s="34">
        <f>IF(OR(-22242.80651="",-22242.80651=0),"-",-22242.80651)</f>
        <v>-22242.80651</v>
      </c>
      <c r="C11" s="34">
        <f>IF(OR(-29233.7766="",-29233.7766=0),"-",-29233.7766)</f>
        <v>-29233.7766</v>
      </c>
      <c r="D11" s="41">
        <f>IF(OR(-22242.80651="",-29233.7766="",-22242.80651=0,-29233.7766=0),"-",-29233.7766/-22242.80651*100)</f>
        <v>131.43025178435545</v>
      </c>
    </row>
    <row r="12" spans="1:4" ht="15.75">
      <c r="A12" s="29" t="s">
        <v>178</v>
      </c>
      <c r="B12" s="34">
        <f>IF(OR(-32107.82367="",-32107.82367=0),"-",-32107.82367)</f>
        <v>-32107.82367</v>
      </c>
      <c r="C12" s="34">
        <f>IF(OR(-34574.8971="",-34574.8971=0),"-",-34574.8971)</f>
        <v>-34574.8971</v>
      </c>
      <c r="D12" s="41">
        <f>IF(OR(-32107.82367="",-34574.8971="",-32107.82367=0,-34574.8971=0),"-",-34574.8971/-32107.82367*100)</f>
        <v>107.68371427274627</v>
      </c>
    </row>
    <row r="13" spans="1:4" ht="15.75">
      <c r="A13" s="29" t="s">
        <v>179</v>
      </c>
      <c r="B13" s="34">
        <f>IF(OR(95276.326="",95276.326=0),"-",95276.326)</f>
        <v>95276.326</v>
      </c>
      <c r="C13" s="34">
        <f>IF(OR(117754.64219="",117754.64219=0),"-",117754.64219)</f>
        <v>117754.64219</v>
      </c>
      <c r="D13" s="41">
        <f>IF(OR(95276.326="",117754.64219="",95276.326=0,117754.64219=0),"-",117754.64219/95276.326*100)</f>
        <v>123.59276132247166</v>
      </c>
    </row>
    <row r="14" spans="1:4" ht="15.75">
      <c r="A14" s="29" t="s">
        <v>180</v>
      </c>
      <c r="B14" s="34">
        <f>IF(OR(71512.25113="",71512.25113=0),"-",71512.25113)</f>
        <v>71512.25113</v>
      </c>
      <c r="C14" s="34">
        <f>IF(OR(64555.46365="",64555.46365=0),"-",64555.46365)</f>
        <v>64555.46365</v>
      </c>
      <c r="D14" s="41">
        <f>IF(OR(71512.25113="",64555.46365="",71512.25113=0,64555.46365=0),"-",64555.46365/71512.25113*100)</f>
        <v>90.27189415789265</v>
      </c>
    </row>
    <row r="15" spans="1:4" ht="15.75">
      <c r="A15" s="29" t="s">
        <v>25</v>
      </c>
      <c r="B15" s="34">
        <f>IF(OR(9072.86866="",9072.86866=0),"-",9072.86866)</f>
        <v>9072.86866</v>
      </c>
      <c r="C15" s="34">
        <f>IF(OR(1277.84133="",1277.84133=0),"-",1277.84133)</f>
        <v>1277.84133</v>
      </c>
      <c r="D15" s="41">
        <f>IF(OR(9072.86866="",1277.84133="",9072.86866=0,1277.84133=0),"-",1277.84133/9072.86866*100)</f>
        <v>14.08420399199298</v>
      </c>
    </row>
    <row r="16" spans="1:4" ht="15.75">
      <c r="A16" s="29" t="s">
        <v>181</v>
      </c>
      <c r="B16" s="34">
        <f>IF(OR(-25009.29382="",-25009.29382=0),"-",-25009.29382)</f>
        <v>-25009.29382</v>
      </c>
      <c r="C16" s="34">
        <f>IF(OR(-25428.34="",-25428.34=0),"-",-25428.34)</f>
        <v>-25428.34</v>
      </c>
      <c r="D16" s="41">
        <f>IF(OR(-25009.29382="",-25428.34="",-25009.29382=0,-25428.34=0),"-",-25428.34/-25009.29382*100)</f>
        <v>101.67556182519992</v>
      </c>
    </row>
    <row r="17" spans="1:4" ht="15.75">
      <c r="A17" s="29" t="s">
        <v>26</v>
      </c>
      <c r="B17" s="34">
        <f>IF(OR(-12474.04293="",-12474.04293=0),"-",-12474.04293)</f>
        <v>-12474.04293</v>
      </c>
      <c r="C17" s="34">
        <f>IF(OR(-8885.14541="",-8885.14541=0),"-",-8885.14541)</f>
        <v>-8885.14541</v>
      </c>
      <c r="D17" s="41">
        <f>IF(OR(-12474.04293="",-8885.14541="",-12474.04293=0,-8885.14541=0),"-",-8885.14541/-12474.04293*100)</f>
        <v>71.22907512712881</v>
      </c>
    </row>
    <row r="18" spans="1:4" ht="15.75">
      <c r="A18" s="29" t="s">
        <v>182</v>
      </c>
      <c r="B18" s="34">
        <f>IF(OR(-43312.52288="",-43312.52288=0),"-",-43312.52288)</f>
        <v>-43312.52288</v>
      </c>
      <c r="C18" s="34">
        <f>IF(OR(-45968.33167="",-45968.33167=0),"-",-45968.33167)</f>
        <v>-45968.33167</v>
      </c>
      <c r="D18" s="41">
        <f>IF(OR(-43312.52288="",-45968.33167="",-43312.52288=0,-45968.33167=0),"-",-45968.33167/-43312.52288*100)</f>
        <v>106.13173422697653</v>
      </c>
    </row>
    <row r="19" spans="1:4" ht="15.75">
      <c r="A19" s="51" t="s">
        <v>183</v>
      </c>
      <c r="B19" s="33">
        <f>IF(68347.2117="","-",68347.2117)</f>
        <v>68347.2117</v>
      </c>
      <c r="C19" s="33">
        <f>IF(57709.99083="","-",57709.99083)</f>
        <v>57709.99083</v>
      </c>
      <c r="D19" s="40">
        <f>IF(68347.2117="","-",57709.99083/68347.2117*100)</f>
        <v>84.43649622944311</v>
      </c>
    </row>
    <row r="20" spans="1:4" ht="15.75">
      <c r="A20" s="29" t="s">
        <v>228</v>
      </c>
      <c r="B20" s="34">
        <f>IF(OR(87141.77721="",87141.77721=0),"-",87141.77721)</f>
        <v>87141.77721</v>
      </c>
      <c r="C20" s="34">
        <f>IF(OR(79219.80306="",79219.80306=0),"-",79219.80306)</f>
        <v>79219.80306</v>
      </c>
      <c r="D20" s="41">
        <f>IF(OR(87141.77721="",79219.80306="",87141.77721=0,79219.80306=0),"-",79219.80306/87141.77721*100)</f>
        <v>90.90909733122714</v>
      </c>
    </row>
    <row r="21" spans="1:4" ht="15.75">
      <c r="A21" s="29" t="s">
        <v>184</v>
      </c>
      <c r="B21" s="34">
        <f>IF(OR(-18794.56551="",-18794.56551=0),"-",-18794.56551)</f>
        <v>-18794.56551</v>
      </c>
      <c r="C21" s="34">
        <f>IF(OR(-21509.81223="",-21509.81223=0),"-",-21509.81223)</f>
        <v>-21509.81223</v>
      </c>
      <c r="D21" s="41">
        <f>IF(OR(-18794.56551="",-21509.81223="",-18794.56551=0,-21509.81223=0),"-",-21509.81223/-18794.56551*100)</f>
        <v>114.44697787004068</v>
      </c>
    </row>
    <row r="22" spans="1:4" ht="15.75">
      <c r="A22" s="51" t="s">
        <v>27</v>
      </c>
      <c r="B22" s="33">
        <f>IF(77181.84085="","-",77181.84085)</f>
        <v>77181.84085</v>
      </c>
      <c r="C22" s="33">
        <f>IF(75106.10344="","-",75106.10344)</f>
        <v>75106.10344</v>
      </c>
      <c r="D22" s="40">
        <f>IF(77181.84085="","-",75106.10344/77181.84085*100)</f>
        <v>97.31058836231425</v>
      </c>
    </row>
    <row r="23" spans="1:4" ht="15.75">
      <c r="A23" s="29" t="s">
        <v>185</v>
      </c>
      <c r="B23" s="34">
        <f>IF(OR(2167.86698="",2167.86698=0),"-",2167.86698)</f>
        <v>2167.86698</v>
      </c>
      <c r="C23" s="34">
        <f>IF(OR(1047.15047="",1047.15047=0),"-",1047.15047)</f>
        <v>1047.15047</v>
      </c>
      <c r="D23" s="41">
        <f>IF(OR(2167.86698="",1047.15047="",2167.86698=0,1047.15047=0),"-",1047.15047/2167.86698*100)</f>
        <v>48.30326213096341</v>
      </c>
    </row>
    <row r="24" spans="1:4" ht="15.75">
      <c r="A24" s="29" t="s">
        <v>217</v>
      </c>
      <c r="B24" s="34">
        <f>IF(OR(113931.99197="",113931.99197=0),"-",113931.99197)</f>
        <v>113931.99197</v>
      </c>
      <c r="C24" s="34">
        <f>IF(OR(126942.84172="",126942.84172=0),"-",126942.84172)</f>
        <v>126942.84172</v>
      </c>
      <c r="D24" s="41">
        <f>IF(OR(113931.99197="",126942.84172="",113931.99197=0,126942.84172=0),"-",126942.84172/113931.99197*100)</f>
        <v>111.41983873451974</v>
      </c>
    </row>
    <row r="25" spans="1:4" ht="15.75">
      <c r="A25" s="29" t="s">
        <v>218</v>
      </c>
      <c r="B25" s="34">
        <f>IF(OR(-606.66876="",-606.66876=0),"-",-606.66876)</f>
        <v>-606.66876</v>
      </c>
      <c r="C25" s="34">
        <f>IF(OR(-1080.65145="",-1080.65145=0),"-",-1080.65145)</f>
        <v>-1080.65145</v>
      </c>
      <c r="D25" s="41" t="s">
        <v>112</v>
      </c>
    </row>
    <row r="26" spans="1:4" ht="15.75">
      <c r="A26" s="29" t="s">
        <v>186</v>
      </c>
      <c r="B26" s="34">
        <f>IF(OR(-21829.79255="",-21829.79255=0),"-",-21829.79255)</f>
        <v>-21829.79255</v>
      </c>
      <c r="C26" s="34">
        <f>IF(OR(-24665.32342="",-24665.32342=0),"-",-24665.32342)</f>
        <v>-24665.32342</v>
      </c>
      <c r="D26" s="41">
        <f>IF(OR(-21829.79255="",-24665.32342="",-21829.79255=0,-24665.32342=0),"-",-24665.32342/-21829.79255*100)</f>
        <v>112.98927080275898</v>
      </c>
    </row>
    <row r="27" spans="1:4" ht="15.75">
      <c r="A27" s="29" t="s">
        <v>229</v>
      </c>
      <c r="B27" s="34">
        <f>IF(OR(1801.56778="",1801.56778=0),"-",1801.56778)</f>
        <v>1801.56778</v>
      </c>
      <c r="C27" s="34">
        <f>IF(OR(1508.82983="",1508.82983=0),"-",1508.82983)</f>
        <v>1508.82983</v>
      </c>
      <c r="D27" s="41">
        <f>IF(OR(1801.56778="",1508.82983="",1801.56778=0,1508.82983=0),"-",1508.82983/1801.56778*100)</f>
        <v>83.75093331209553</v>
      </c>
    </row>
    <row r="28" spans="1:4" ht="25.5">
      <c r="A28" s="29" t="s">
        <v>219</v>
      </c>
      <c r="B28" s="34">
        <f>IF(OR(-5123.62969="",-5123.62969=0),"-",-5123.62969)</f>
        <v>-5123.62969</v>
      </c>
      <c r="C28" s="34">
        <f>IF(OR(-4765.88629="",-4765.88629=0),"-",-4765.88629)</f>
        <v>-4765.88629</v>
      </c>
      <c r="D28" s="41">
        <f>IF(OR(-5123.62969="",-4765.88629="",-5123.62969=0,-4765.88629=0),"-",-4765.88629/-5123.62969*100)</f>
        <v>93.01777408507445</v>
      </c>
    </row>
    <row r="29" spans="1:4" ht="25.5">
      <c r="A29" s="29" t="s">
        <v>187</v>
      </c>
      <c r="B29" s="34">
        <f>IF(OR(-1519.13219="",-1519.13219=0),"-",-1519.13219)</f>
        <v>-1519.13219</v>
      </c>
      <c r="C29" s="34">
        <f>IF(OR(-11728.63087="",-11728.63087=0),"-",-11728.63087)</f>
        <v>-11728.63087</v>
      </c>
      <c r="D29" s="41" t="s">
        <v>285</v>
      </c>
    </row>
    <row r="30" spans="1:4" ht="15.75">
      <c r="A30" s="29" t="s">
        <v>188</v>
      </c>
      <c r="B30" s="34">
        <f>IF(OR(10814.31527="",10814.31527=0),"-",10814.31527)</f>
        <v>10814.31527</v>
      </c>
      <c r="C30" s="34">
        <f>IF(OR(9971.03896="",9971.03896=0),"-",9971.03896)</f>
        <v>9971.03896</v>
      </c>
      <c r="D30" s="41">
        <f>IF(OR(10814.31527="",9971.03896="",10814.31527=0,9971.03896=0),"-",9971.03896/10814.31527*100)</f>
        <v>92.20222187955504</v>
      </c>
    </row>
    <row r="31" spans="1:4" ht="15.75">
      <c r="A31" s="29" t="s">
        <v>28</v>
      </c>
      <c r="B31" s="34">
        <f>IF(OR(-22454.67796="",-22454.67796=0),"-",-22454.67796)</f>
        <v>-22454.67796</v>
      </c>
      <c r="C31" s="34">
        <f>IF(OR(-22123.26551="",-22123.26551=0),"-",-22123.26551)</f>
        <v>-22123.26551</v>
      </c>
      <c r="D31" s="41">
        <f>IF(OR(-22454.67796="",-22123.26551="",-22454.67796=0,-22123.26551=0),"-",-22123.26551/-22454.67796*100)</f>
        <v>98.5240828187767</v>
      </c>
    </row>
    <row r="32" spans="1:4" ht="15.75">
      <c r="A32" s="51" t="s">
        <v>189</v>
      </c>
      <c r="B32" s="33">
        <f>IF(-590907.08858="","-",-590907.08858)</f>
        <v>-590907.08858</v>
      </c>
      <c r="C32" s="33">
        <f>IF(-577604.51171="","-",-577604.51171)</f>
        <v>-577604.51171</v>
      </c>
      <c r="D32" s="40">
        <f>IF(-590907.08858="","-",-577604.51171/-590907.08858*100)</f>
        <v>97.74878705517526</v>
      </c>
    </row>
    <row r="33" spans="1:4" ht="15.75">
      <c r="A33" s="29" t="s">
        <v>248</v>
      </c>
      <c r="B33" s="34">
        <f>IF(OR(-9530.88283="",-9530.88283=0),"-",-9530.88283)</f>
        <v>-9530.88283</v>
      </c>
      <c r="C33" s="34">
        <f>IF(OR(-13353.62746="",-13353.62746=0),"-",-13353.62746)</f>
        <v>-13353.62746</v>
      </c>
      <c r="D33" s="41">
        <f>IF(OR(-9530.88283="",-13353.62746="",-9530.88283=0,-13353.62746=0),"-",-13353.62746/-9530.88283*100)</f>
        <v>140.10902975291324</v>
      </c>
    </row>
    <row r="34" spans="1:4" ht="15.75">
      <c r="A34" s="29" t="s">
        <v>190</v>
      </c>
      <c r="B34" s="34">
        <f>IF(OR(-389311.52006="",-389311.52006=0),"-",-389311.52006)</f>
        <v>-389311.52006</v>
      </c>
      <c r="C34" s="34">
        <f>IF(OR(-360268.35122="",-360268.35122=0),"-",-360268.35122)</f>
        <v>-360268.35122</v>
      </c>
      <c r="D34" s="41">
        <f>IF(OR(-389311.52006="",-360268.35122="",-389311.52006=0,-360268.35122=0),"-",-360268.35122/-389311.52006*100)</f>
        <v>92.53986400517408</v>
      </c>
    </row>
    <row r="35" spans="1:4" ht="15.75">
      <c r="A35" s="29" t="s">
        <v>220</v>
      </c>
      <c r="B35" s="34">
        <f>IF(OR(-157869.09032="",-157869.09032=0),"-",-157869.09032)</f>
        <v>-157869.09032</v>
      </c>
      <c r="C35" s="34">
        <f>IF(OR(-175925.65868="",-175925.65868=0),"-",-175925.65868)</f>
        <v>-175925.65868</v>
      </c>
      <c r="D35" s="41">
        <f>IF(OR(-157869.09032="",-175925.65868="",-157869.09032=0,-175925.65868=0),"-",-175925.65868/-157869.09032*100)</f>
        <v>111.43768442790125</v>
      </c>
    </row>
    <row r="36" spans="1:4" ht="15.75">
      <c r="A36" s="29" t="s">
        <v>29</v>
      </c>
      <c r="B36" s="34">
        <f>IF(OR(-34195.59537="",-34195.59537=0),"-",-34195.59537)</f>
        <v>-34195.59537</v>
      </c>
      <c r="C36" s="34">
        <f>IF(OR(-28056.87435="",-28056.87435=0),"-",-28056.87435)</f>
        <v>-28056.87435</v>
      </c>
      <c r="D36" s="41">
        <f>IF(OR(-34195.59537="",-28056.87435="",-34195.59537=0,-28056.87435=0),"-",-28056.87435/-34195.59537*100)</f>
        <v>82.04821131616985</v>
      </c>
    </row>
    <row r="37" spans="1:4" ht="15.75">
      <c r="A37" s="51" t="s">
        <v>191</v>
      </c>
      <c r="B37" s="33">
        <f>IF(41757.10944="","-",41757.10944)</f>
        <v>41757.10944</v>
      </c>
      <c r="C37" s="33">
        <f>IF(28098.62729="","-",28098.62729)</f>
        <v>28098.62729</v>
      </c>
      <c r="D37" s="40">
        <f>IF(41757.10944="","-",28098.62729/41757.10944*100)</f>
        <v>67.29064263984648</v>
      </c>
    </row>
    <row r="38" spans="1:4" ht="15.75">
      <c r="A38" s="29" t="s">
        <v>221</v>
      </c>
      <c r="B38" s="34">
        <f>IF(OR(-997.02819="",-997.02819=0),"-",-997.02819)</f>
        <v>-997.02819</v>
      </c>
      <c r="C38" s="34">
        <f>IF(OR(-1040.47241="",-1040.47241=0),"-",-1040.47241)</f>
        <v>-1040.47241</v>
      </c>
      <c r="D38" s="41">
        <f>IF(OR(-997.02819="",-1040.47241="",-997.02819=0,-1040.47241=0),"-",-1040.47241/-997.02819*100)</f>
        <v>104.35737127954225</v>
      </c>
    </row>
    <row r="39" spans="1:4" ht="25.5">
      <c r="A39" s="29" t="s">
        <v>192</v>
      </c>
      <c r="B39" s="34">
        <f>IF(OR(44399.4126099999="",44399.4126099999=0),"-",44399.4126099999)</f>
        <v>44399.4126099999</v>
      </c>
      <c r="C39" s="34">
        <f>IF(OR(30777.20395="",30777.20395=0),"-",30777.20395)</f>
        <v>30777.20395</v>
      </c>
      <c r="D39" s="41">
        <f>IF(OR(44399.4126099999="",30777.20395="",44399.4126099999=0,30777.20395=0),"-",30777.20395/44399.4126099999*100)</f>
        <v>69.31894396969606</v>
      </c>
    </row>
    <row r="40" spans="1:4" ht="38.25">
      <c r="A40" s="29" t="s">
        <v>222</v>
      </c>
      <c r="B40" s="34">
        <f>IF(OR(-1645.27498="",-1645.27498=0),"-",-1645.27498)</f>
        <v>-1645.27498</v>
      </c>
      <c r="C40" s="34">
        <f>IF(OR(-1638.10425="",-1638.10425=0),"-",-1638.10425)</f>
        <v>-1638.10425</v>
      </c>
      <c r="D40" s="41">
        <f>IF(OR(-1645.27498="",-1638.10425="",-1645.27498=0,-1638.10425=0),"-",-1638.10425/-1645.27498*100)</f>
        <v>99.56416221682288</v>
      </c>
    </row>
    <row r="41" spans="1:4" ht="15.75" customHeight="1">
      <c r="A41" s="51" t="s">
        <v>193</v>
      </c>
      <c r="B41" s="33">
        <f>IF(-460675.93055="","-",-460675.93055)</f>
        <v>-460675.93055</v>
      </c>
      <c r="C41" s="33">
        <f>IF(-474131.6449="","-",-474131.6449)</f>
        <v>-474131.6449</v>
      </c>
      <c r="D41" s="40">
        <f>IF(-460675.93055="","-",-474131.6449/-460675.93055*100)</f>
        <v>102.92086333530281</v>
      </c>
    </row>
    <row r="42" spans="1:4" ht="14.25" customHeight="1">
      <c r="A42" s="29" t="s">
        <v>30</v>
      </c>
      <c r="B42" s="34">
        <f>IF(OR(2646.3408="",2646.3408=0),"-",2646.3408)</f>
        <v>2646.3408</v>
      </c>
      <c r="C42" s="34">
        <f>IF(OR(-1361.07602="",-1361.07602=0),"-",-1361.07602)</f>
        <v>-1361.07602</v>
      </c>
      <c r="D42" s="41" t="s">
        <v>22</v>
      </c>
    </row>
    <row r="43" spans="1:4" ht="15" customHeight="1">
      <c r="A43" s="29" t="s">
        <v>31</v>
      </c>
      <c r="B43" s="34">
        <f>IF(OR(-9497.45123="",-9497.45123=0),"-",-9497.45123)</f>
        <v>-9497.45123</v>
      </c>
      <c r="C43" s="34">
        <f>IF(OR(-10283.62885="",-10283.62885=0),"-",-10283.62885)</f>
        <v>-10283.62885</v>
      </c>
      <c r="D43" s="41">
        <f>IF(OR(-9497.45123="",-10283.62885="",-9497.45123=0,-10283.62885=0),"-",-10283.62885/-9497.45123*100)</f>
        <v>108.27777475199521</v>
      </c>
    </row>
    <row r="44" spans="1:4" ht="15.75">
      <c r="A44" s="29" t="s">
        <v>194</v>
      </c>
      <c r="B44" s="34">
        <f>IF(OR(-22404.04762="",-22404.04762=0),"-",-22404.04762)</f>
        <v>-22404.04762</v>
      </c>
      <c r="C44" s="34">
        <f>IF(OR(-24925.26732="",-24925.26732=0),"-",-24925.26732)</f>
        <v>-24925.26732</v>
      </c>
      <c r="D44" s="41">
        <f>IF(OR(-22404.04762="",-24925.26732="",-22404.04762=0,-24925.26732=0),"-",-24925.26732/-22404.04762*100)</f>
        <v>111.2534116279476</v>
      </c>
    </row>
    <row r="45" spans="1:4" ht="15.75">
      <c r="A45" s="29" t="s">
        <v>195</v>
      </c>
      <c r="B45" s="34">
        <f>IF(OR(-103287.9508="",-103287.9508=0),"-",-103287.9508)</f>
        <v>-103287.9508</v>
      </c>
      <c r="C45" s="34">
        <f>IF(OR(-108558.10146="",-108558.10146=0),"-",-108558.10146)</f>
        <v>-108558.10146</v>
      </c>
      <c r="D45" s="41">
        <f>IF(OR(-103287.9508="",-108558.10146="",-103287.9508=0,-108558.10146=0),"-",-108558.10146/-103287.9508*100)</f>
        <v>105.10238669581582</v>
      </c>
    </row>
    <row r="46" spans="1:4" ht="25.5">
      <c r="A46" s="29" t="s">
        <v>196</v>
      </c>
      <c r="B46" s="34">
        <f>IF(OR(-57385.87411="",-57385.87411=0),"-",-57385.87411)</f>
        <v>-57385.87411</v>
      </c>
      <c r="C46" s="34">
        <f>IF(OR(-62274.49046="",-62274.49046=0),"-",-62274.49046)</f>
        <v>-62274.49046</v>
      </c>
      <c r="D46" s="41">
        <f>IF(OR(-57385.87411="",-62274.49046="",-57385.87411=0,-62274.49046=0),"-",-62274.49046/-57385.87411*100)</f>
        <v>108.51884967479847</v>
      </c>
    </row>
    <row r="47" spans="1:4" ht="15.75">
      <c r="A47" s="29" t="s">
        <v>197</v>
      </c>
      <c r="B47" s="34">
        <f>IF(OR(-63047.46143="",-63047.46143=0),"-",-63047.46143)</f>
        <v>-63047.46143</v>
      </c>
      <c r="C47" s="34">
        <f>IF(OR(-62596.01221="",-62596.01221=0),"-",-62596.01221)</f>
        <v>-62596.01221</v>
      </c>
      <c r="D47" s="41">
        <f>IF(OR(-63047.46143="",-62596.01221="",-63047.46143=0,-62596.01221=0),"-",-62596.01221/-63047.46143*100)</f>
        <v>99.28395337455223</v>
      </c>
    </row>
    <row r="48" spans="1:4" ht="15.75">
      <c r="A48" s="29" t="s">
        <v>32</v>
      </c>
      <c r="B48" s="34">
        <f>IF(OR(-36627.3765899999="",-36627.3765899999=0),"-",-36627.3765899999)</f>
        <v>-36627.3765899999</v>
      </c>
      <c r="C48" s="34">
        <f>IF(OR(-33768.12693="",-33768.12693=0),"-",-33768.12693)</f>
        <v>-33768.12693</v>
      </c>
      <c r="D48" s="41">
        <f>IF(OR(-36627.3765899999="",-33768.12693="",-36627.3765899999=0,-33768.12693=0),"-",-33768.12693/-36627.3765899999*100)</f>
        <v>92.19368154043404</v>
      </c>
    </row>
    <row r="49" spans="1:4" ht="15.75">
      <c r="A49" s="29" t="s">
        <v>33</v>
      </c>
      <c r="B49" s="34">
        <f>IF(OR(-70983.36275="",-70983.36275=0),"-",-70983.36275)</f>
        <v>-70983.36275</v>
      </c>
      <c r="C49" s="34">
        <f>IF(OR(-73042.4801="",-73042.4801=0),"-",-73042.4801)</f>
        <v>-73042.4801</v>
      </c>
      <c r="D49" s="41">
        <f>IF(OR(-70983.36275="",-73042.4801="",-70983.36275=0,-73042.4801=0),"-",-73042.4801/-70983.36275*100)</f>
        <v>102.90084502935161</v>
      </c>
    </row>
    <row r="50" spans="1:4" ht="15.75">
      <c r="A50" s="29" t="s">
        <v>283</v>
      </c>
      <c r="B50" s="34">
        <f>IF(OR(-100088.74682="",-100088.74682=0),"-",-100088.74682)</f>
        <v>-100088.74682</v>
      </c>
      <c r="C50" s="34">
        <f>IF(OR(-97322.46155="",-97322.46155=0),"-",-97322.46155)</f>
        <v>-97322.46155</v>
      </c>
      <c r="D50" s="41">
        <f>IF(OR(-100088.74682="",-97322.46155="",-100088.74682=0,-97322.46155=0),"-",-97322.46155/-100088.74682*100)</f>
        <v>97.23616754341535</v>
      </c>
    </row>
    <row r="51" spans="1:4" ht="25.5">
      <c r="A51" s="51" t="s">
        <v>34</v>
      </c>
      <c r="B51" s="33">
        <f>IF(-630525.97863="","-",-630525.97863)</f>
        <v>-630525.97863</v>
      </c>
      <c r="C51" s="33">
        <f>IF(-621559.05545="","-",-621559.05545)</f>
        <v>-621559.05545</v>
      </c>
      <c r="D51" s="40">
        <f>IF(-630525.97863="","-",-621559.05545/-630525.97863*100)</f>
        <v>98.57786618094892</v>
      </c>
    </row>
    <row r="52" spans="1:4" ht="15" customHeight="1">
      <c r="A52" s="29" t="s">
        <v>199</v>
      </c>
      <c r="B52" s="34">
        <f>IF(OR(-37779.9104="",-37779.9104=0),"-",-37779.9104)</f>
        <v>-37779.9104</v>
      </c>
      <c r="C52" s="34">
        <f>IF(OR(-34292.58681="",-34292.58681=0),"-",-34292.58681)</f>
        <v>-34292.58681</v>
      </c>
      <c r="D52" s="41">
        <f>IF(OR(-37779.9104="",-34292.58681="",-37779.9104=0,-34292.58681=0),"-",-34292.58681/-37779.9104*100)</f>
        <v>90.76937040591817</v>
      </c>
    </row>
    <row r="53" spans="1:4" ht="15" customHeight="1">
      <c r="A53" s="29" t="s">
        <v>35</v>
      </c>
      <c r="B53" s="34">
        <f>IF(OR(-41259.62927="",-41259.62927=0),"-",-41259.62927)</f>
        <v>-41259.62927</v>
      </c>
      <c r="C53" s="34">
        <f>IF(OR(-40812.04172="",-40812.04172=0),"-",-40812.04172)</f>
        <v>-40812.04172</v>
      </c>
      <c r="D53" s="41">
        <f>IF(OR(-41259.62927="",-40812.04172="",-41259.62927=0,-40812.04172=0),"-",-40812.04172/-41259.62927*100)</f>
        <v>98.91519250676971</v>
      </c>
    </row>
    <row r="54" spans="1:4" ht="15.75">
      <c r="A54" s="29" t="s">
        <v>36</v>
      </c>
      <c r="B54" s="34">
        <f>IF(OR(-43866.82127="",-43866.82127=0),"-",-43866.82127)</f>
        <v>-43866.82127</v>
      </c>
      <c r="C54" s="34">
        <f>IF(OR(-45915.69248="",-45915.69248=0),"-",-45915.69248)</f>
        <v>-45915.69248</v>
      </c>
      <c r="D54" s="41">
        <f>IF(OR(-43866.82127="",-45915.69248="",-43866.82127=0,-45915.69248=0),"-",-45915.69248/-43866.82127*100)</f>
        <v>104.67066258890566</v>
      </c>
    </row>
    <row r="55" spans="1:4" ht="25.5">
      <c r="A55" s="29" t="s">
        <v>200</v>
      </c>
      <c r="B55" s="34">
        <f>IF(OR(-58895.42317="",-58895.42317=0),"-",-58895.42317)</f>
        <v>-58895.42317</v>
      </c>
      <c r="C55" s="34">
        <f>IF(OR(-62194.06712="",-62194.06712=0),"-",-62194.06712)</f>
        <v>-62194.06712</v>
      </c>
      <c r="D55" s="41">
        <f>IF(OR(-58895.42317="",-62194.06712="",-58895.42317=0,-62194.06712=0),"-",-62194.06712/-58895.42317*100)</f>
        <v>105.6008493910954</v>
      </c>
    </row>
    <row r="56" spans="1:4" ht="25.5">
      <c r="A56" s="29" t="s">
        <v>201</v>
      </c>
      <c r="B56" s="34">
        <f>IF(OR(-150762.63821="",-150762.63821=0),"-",-150762.63821)</f>
        <v>-150762.63821</v>
      </c>
      <c r="C56" s="34">
        <f>IF(OR(-138984.65033="",-138984.65033=0),"-",-138984.65033)</f>
        <v>-138984.65033</v>
      </c>
      <c r="D56" s="41">
        <f>IF(OR(-150762.63821="",-138984.65033="",-150762.63821=0,-138984.65033=0),"-",-138984.65033/-150762.63821*100)</f>
        <v>92.18772766260946</v>
      </c>
    </row>
    <row r="57" spans="1:4" ht="15.75">
      <c r="A57" s="29" t="s">
        <v>37</v>
      </c>
      <c r="B57" s="34">
        <f>IF(OR(-48227.29457="",-48227.29457=0),"-",-48227.29457)</f>
        <v>-48227.29457</v>
      </c>
      <c r="C57" s="34">
        <f>IF(OR(-51716.48697="",-51716.48697=0),"-",-51716.48697)</f>
        <v>-51716.48697</v>
      </c>
      <c r="D57" s="41">
        <f>IF(OR(-48227.29457="",-51716.48697="",-48227.29457=0,-51716.48697=0),"-",-51716.48697/-48227.29457*100)</f>
        <v>107.23489142633862</v>
      </c>
    </row>
    <row r="58" spans="1:4" ht="15.75">
      <c r="A58" s="29" t="s">
        <v>202</v>
      </c>
      <c r="B58" s="34">
        <f>IF(OR(-88192.80281="",-88192.80281=0),"-",-88192.80281)</f>
        <v>-88192.80281</v>
      </c>
      <c r="C58" s="34">
        <f>IF(OR(-87667.07892="",-87667.07892=0),"-",-87667.07892)</f>
        <v>-87667.07892</v>
      </c>
      <c r="D58" s="41">
        <f>IF(OR(-88192.80281="",-87667.07892="",-88192.80281=0,-87667.07892=0),"-",-87667.07892/-88192.80281*100)</f>
        <v>99.4038925249574</v>
      </c>
    </row>
    <row r="59" spans="1:4" ht="15.75">
      <c r="A59" s="29" t="s">
        <v>38</v>
      </c>
      <c r="B59" s="34">
        <f>IF(OR(-68923.21885="",-68923.21885=0),"-",-68923.21885)</f>
        <v>-68923.21885</v>
      </c>
      <c r="C59" s="34">
        <f>IF(OR(-62446.43594="",-62446.43594=0),"-",-62446.43594)</f>
        <v>-62446.43594</v>
      </c>
      <c r="D59" s="41">
        <f>IF(OR(-68923.21885="",-62446.43594="",-68923.21885=0,-62446.43594=0),"-",-62446.43594/-68923.21885*100)</f>
        <v>90.60290128919306</v>
      </c>
    </row>
    <row r="60" spans="1:4" ht="15.75">
      <c r="A60" s="29" t="s">
        <v>39</v>
      </c>
      <c r="B60" s="34">
        <f>IF(OR(-92618.24008="",-92618.24008=0),"-",-92618.24008)</f>
        <v>-92618.24008</v>
      </c>
      <c r="C60" s="34">
        <f>IF(OR(-97530.01516="",-97530.01516=0),"-",-97530.01516)</f>
        <v>-97530.01516</v>
      </c>
      <c r="D60" s="41">
        <f>IF(OR(-92618.24008="",-97530.01516="",-92618.24008=0,-97530.01516=0),"-",-97530.01516/-92618.24008*100)</f>
        <v>105.30324812451349</v>
      </c>
    </row>
    <row r="61" spans="1:4" ht="15.75">
      <c r="A61" s="51" t="s">
        <v>284</v>
      </c>
      <c r="B61" s="33">
        <f>IF(-524113.63627="","-",-524113.63627)</f>
        <v>-524113.63627</v>
      </c>
      <c r="C61" s="33">
        <f>IF(-472460.90814="","-",-472460.90814)</f>
        <v>-472460.90814</v>
      </c>
      <c r="D61" s="40">
        <f>IF(-524113.63627="","-",-472460.90814/-524113.63627*100)</f>
        <v>90.1447463764536</v>
      </c>
    </row>
    <row r="62" spans="1:4" ht="15.75">
      <c r="A62" s="29" t="s">
        <v>204</v>
      </c>
      <c r="B62" s="34">
        <f>IF(OR(-15367.53618="",-15367.53618=0),"-",-15367.53618)</f>
        <v>-15367.53618</v>
      </c>
      <c r="C62" s="34">
        <f>IF(OR(-12010.81453="",-12010.81453=0),"-",-12010.81453)</f>
        <v>-12010.81453</v>
      </c>
      <c r="D62" s="41">
        <f>IF(OR(-15367.53618="",-12010.81453="",-15367.53618=0,-12010.81453=0),"-",-12010.81453/-15367.53618*100)</f>
        <v>78.15706037270576</v>
      </c>
    </row>
    <row r="63" spans="1:4" ht="15.75">
      <c r="A63" s="29" t="s">
        <v>223</v>
      </c>
      <c r="B63" s="34">
        <f>IF(OR(-138644.13884="",-138644.13884=0),"-",-138644.13884)</f>
        <v>-138644.13884</v>
      </c>
      <c r="C63" s="34">
        <f>IF(OR(-125804.65127="",-125804.65127=0),"-",-125804.65127)</f>
        <v>-125804.65127</v>
      </c>
      <c r="D63" s="41">
        <f>IF(OR(-138644.13884="",-125804.65127="",-138644.13884=0,-125804.65127=0),"-",-125804.65127/-138644.13884*100)</f>
        <v>90.7392496520771</v>
      </c>
    </row>
    <row r="64" spans="1:4" ht="15.75">
      <c r="A64" s="29" t="s">
        <v>205</v>
      </c>
      <c r="B64" s="34">
        <f>IF(OR(-7806.99029="",-7806.99029=0),"-",-7806.99029)</f>
        <v>-7806.99029</v>
      </c>
      <c r="C64" s="34">
        <f>IF(OR(-5469.68986="",-5469.68986=0),"-",-5469.68986)</f>
        <v>-5469.68986</v>
      </c>
      <c r="D64" s="41">
        <f>IF(OR(-7806.99029="",-5469.68986="",-7806.99029=0,-5469.68986=0),"-",-5469.68986/-7806.99029*100)</f>
        <v>70.06144054010346</v>
      </c>
    </row>
    <row r="65" spans="1:4" ht="25.5">
      <c r="A65" s="29" t="s">
        <v>206</v>
      </c>
      <c r="B65" s="34">
        <f>IF(OR(-103013.60734="",-103013.60734=0),"-",-103013.60734)</f>
        <v>-103013.60734</v>
      </c>
      <c r="C65" s="34">
        <f>IF(OR(-110543.7244="",-110543.7244=0),"-",-110543.7244)</f>
        <v>-110543.7244</v>
      </c>
      <c r="D65" s="41">
        <f>IF(OR(-103013.60734="",-110543.7244="",-103013.60734=0,-110543.7244=0),"-",-110543.7244/-103013.60734*100)</f>
        <v>107.30982756010728</v>
      </c>
    </row>
    <row r="66" spans="1:4" ht="25.5">
      <c r="A66" s="29" t="s">
        <v>207</v>
      </c>
      <c r="B66" s="34">
        <f>IF(OR(-33451.53322="",-33451.53322=0),"-",-33451.53322)</f>
        <v>-33451.53322</v>
      </c>
      <c r="C66" s="34">
        <f>IF(OR(-28112.29626="",-28112.29626=0),"-",-28112.29626)</f>
        <v>-28112.29626</v>
      </c>
      <c r="D66" s="41">
        <f>IF(OR(-33451.53322="",-28112.29626="",-33451.53322=0,-28112.29626=0),"-",-28112.29626/-33451.53322*100)</f>
        <v>84.03888717182095</v>
      </c>
    </row>
    <row r="67" spans="1:4" ht="25.5">
      <c r="A67" s="29" t="s">
        <v>208</v>
      </c>
      <c r="B67" s="34">
        <f>IF(OR(-88369.13842="",-88369.13842=0),"-",-88369.13842)</f>
        <v>-88369.13842</v>
      </c>
      <c r="C67" s="34">
        <f>IF(OR(-102060.86688="",-102060.86688=0),"-",-102060.86688)</f>
        <v>-102060.86688</v>
      </c>
      <c r="D67" s="41">
        <f>IF(OR(-88369.13842="",-102060.86688="",-88369.13842=0,-102060.86688=0),"-",-102060.86688/-88369.13842*100)</f>
        <v>115.49378969264824</v>
      </c>
    </row>
    <row r="68" spans="1:4" ht="28.5" customHeight="1">
      <c r="A68" s="29" t="s">
        <v>224</v>
      </c>
      <c r="B68" s="34">
        <f>IF(OR(46088.524="",46088.524=0),"-",46088.524)</f>
        <v>46088.524</v>
      </c>
      <c r="C68" s="34">
        <f>IF(OR(110204.32201="",110204.32201=0),"-",110204.32201)</f>
        <v>110204.32201</v>
      </c>
      <c r="D68" s="41" t="s">
        <v>230</v>
      </c>
    </row>
    <row r="69" spans="1:4" ht="15.75">
      <c r="A69" s="29" t="s">
        <v>40</v>
      </c>
      <c r="B69" s="34">
        <f>IF(OR(-181533.95727="",-181533.95727=0),"-",-181533.95727)</f>
        <v>-181533.95727</v>
      </c>
      <c r="C69" s="34">
        <f>IF(OR(-197277.69639="",-197277.69639=0),"-",-197277.69639)</f>
        <v>-197277.69639</v>
      </c>
      <c r="D69" s="41">
        <f>IF(OR(-181533.95727="",-197277.69639="",-181533.95727=0,-197277.69639=0),"-",-197277.69639/-181533.95727*100)</f>
        <v>108.67261384964134</v>
      </c>
    </row>
    <row r="70" spans="1:4" ht="15.75">
      <c r="A70" s="29" t="s">
        <v>41</v>
      </c>
      <c r="B70" s="34">
        <f>IF(OR(-2015.25871="",-2015.25871=0),"-",-2015.25871)</f>
        <v>-2015.25871</v>
      </c>
      <c r="C70" s="34">
        <f>IF(OR(-1385.49056="",-1385.49056=0),"-",-1385.49056)</f>
        <v>-1385.49056</v>
      </c>
      <c r="D70" s="41">
        <f>IF(OR(-2015.25871="",-1385.49056="",-2015.25871=0,-1385.49056=0),"-",-1385.49056/-2015.25871*100)</f>
        <v>68.75000976921717</v>
      </c>
    </row>
    <row r="71" spans="1:4" ht="15.75">
      <c r="A71" s="51" t="s">
        <v>42</v>
      </c>
      <c r="B71" s="33">
        <f>IF(42877.4405="","-",42877.4405)</f>
        <v>42877.4405</v>
      </c>
      <c r="C71" s="33">
        <f>IF(-15882.80776="","-",-15882.80776)</f>
        <v>-15882.80776</v>
      </c>
      <c r="D71" s="40" t="s">
        <v>22</v>
      </c>
    </row>
    <row r="72" spans="1:4" ht="25.5">
      <c r="A72" s="29" t="s">
        <v>209</v>
      </c>
      <c r="B72" s="34">
        <f>IF(OR(-20985.87625="",-20985.87625=0),"-",-20985.87625)</f>
        <v>-20985.87625</v>
      </c>
      <c r="C72" s="34">
        <f>IF(OR(-23729.55917="",-23729.55917=0),"-",-23729.55917)</f>
        <v>-23729.55917</v>
      </c>
      <c r="D72" s="41">
        <f>IF(OR(-20985.87625="",-23729.55917="",-20985.87625=0,-23729.55917=0),"-",-23729.55917/-20985.87625*100)</f>
        <v>113.07394977133727</v>
      </c>
    </row>
    <row r="73" spans="1:4" ht="15.75">
      <c r="A73" s="29" t="s">
        <v>210</v>
      </c>
      <c r="B73" s="34">
        <f>IF(OR(71705.71115="",71705.71115=0),"-",71705.71115)</f>
        <v>71705.71115</v>
      </c>
      <c r="C73" s="34">
        <f>IF(OR(60821.98778="",60821.98778=0),"-",60821.98778)</f>
        <v>60821.98778</v>
      </c>
      <c r="D73" s="41">
        <f>IF(OR(71705.71115="",60821.98778="",71705.71115=0,60821.98778=0),"-",60821.98778/71705.71115*100)</f>
        <v>84.82167850307974</v>
      </c>
    </row>
    <row r="74" spans="1:4" ht="15.75">
      <c r="A74" s="29" t="s">
        <v>211</v>
      </c>
      <c r="B74" s="34">
        <f>IF(OR(6039.76515="",6039.76515=0),"-",6039.76515)</f>
        <v>6039.76515</v>
      </c>
      <c r="C74" s="34">
        <f>IF(OR(2574.1347="",2574.1347=0),"-",2574.1347)</f>
        <v>2574.1347</v>
      </c>
      <c r="D74" s="41">
        <f>IF(OR(6039.76515="",2574.1347="",6039.76515=0,2574.1347=0),"-",2574.1347/6039.76515*100)</f>
        <v>42.61978133371626</v>
      </c>
    </row>
    <row r="75" spans="1:4" ht="15.75">
      <c r="A75" s="29" t="s">
        <v>212</v>
      </c>
      <c r="B75" s="34">
        <f>IF(OR(117922.15558="",117922.15558=0),"-",117922.15558)</f>
        <v>117922.15558</v>
      </c>
      <c r="C75" s="34">
        <f>IF(OR(98848.40482="",98848.40482=0),"-",98848.40482)</f>
        <v>98848.40482</v>
      </c>
      <c r="D75" s="41">
        <f>IF(OR(117922.15558="",98848.40482="",117922.15558=0,98848.40482=0),"-",98848.40482/117922.15558*100)</f>
        <v>83.8251339061894</v>
      </c>
    </row>
    <row r="76" spans="1:4" ht="15.75">
      <c r="A76" s="29" t="s">
        <v>213</v>
      </c>
      <c r="B76" s="34">
        <f>IF(OR(-2468.61956="",-2468.61956=0),"-",-2468.61956)</f>
        <v>-2468.61956</v>
      </c>
      <c r="C76" s="34">
        <f>IF(OR(-7533.53398="",-7533.53398=0),"-",-7533.53398)</f>
        <v>-7533.53398</v>
      </c>
      <c r="D76" s="41" t="s">
        <v>276</v>
      </c>
    </row>
    <row r="77" spans="1:4" ht="15.75">
      <c r="A77" s="29" t="s">
        <v>214</v>
      </c>
      <c r="B77" s="34">
        <f>IF(OR(-21291.16421="",-21291.16421=0),"-",-21291.16421)</f>
        <v>-21291.16421</v>
      </c>
      <c r="C77" s="34">
        <f>IF(OR(-26387.32581="",-26387.32581=0),"-",-26387.32581)</f>
        <v>-26387.32581</v>
      </c>
      <c r="D77" s="41">
        <f>IF(OR(-21291.16421="",-26387.32581="",-21291.16421=0,-26387.32581=0),"-",-26387.32581/-21291.16421*100)</f>
        <v>123.93557040721355</v>
      </c>
    </row>
    <row r="78" spans="1:4" ht="25.5">
      <c r="A78" s="29" t="s">
        <v>215</v>
      </c>
      <c r="B78" s="34">
        <f>IF(OR(-5762.11814="",-5762.11814=0),"-",-5762.11814)</f>
        <v>-5762.11814</v>
      </c>
      <c r="C78" s="34">
        <f>IF(OR(-5049.63721="",-5049.63721=0),"-",-5049.63721)</f>
        <v>-5049.63721</v>
      </c>
      <c r="D78" s="41">
        <f>IF(OR(-5762.11814="",-5049.63721="",-5762.11814=0,-5049.63721=0),"-",-5049.63721/-5762.11814*100)</f>
        <v>87.63508639203292</v>
      </c>
    </row>
    <row r="79" spans="1:4" ht="15.75">
      <c r="A79" s="29" t="s">
        <v>43</v>
      </c>
      <c r="B79" s="34">
        <f>IF(OR(-102282.41322="",-102282.41322=0),"-",-102282.41322)</f>
        <v>-102282.41322</v>
      </c>
      <c r="C79" s="34">
        <f>IF(OR(-115427.27889="",-115427.27889=0),"-",-115427.27889)</f>
        <v>-115427.27889</v>
      </c>
      <c r="D79" s="41">
        <f>IF(OR(-102282.41322="",-115427.27889="",-102282.41322=0,-115427.27889=0),"-",-115427.27889/-102282.41322*100)</f>
        <v>112.85154041264806</v>
      </c>
    </row>
    <row r="80" spans="1:4" ht="16.5" customHeight="1">
      <c r="A80" s="53" t="s">
        <v>216</v>
      </c>
      <c r="B80" s="54">
        <f>IF(444.06704="","-",444.06704)</f>
        <v>444.06704</v>
      </c>
      <c r="C80" s="54">
        <f>IF(321.08823="","-",321.08823)</f>
        <v>321.08823</v>
      </c>
      <c r="D80" s="55">
        <f>IF(444.06704="","-",321.08823/444.06704*100)</f>
        <v>72.3062513263763</v>
      </c>
    </row>
    <row r="81" ht="15.75">
      <c r="A81" s="52" t="s">
        <v>21</v>
      </c>
    </row>
  </sheetData>
  <sheetProtection/>
  <mergeCells count="5">
    <mergeCell ref="A1:D1"/>
    <mergeCell ref="A2:D2"/>
    <mergeCell ref="A4:A5"/>
    <mergeCell ref="D4:D5"/>
    <mergeCell ref="B4:C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Eni</dc:creator>
  <cp:keywords/>
  <dc:description/>
  <cp:lastModifiedBy>Doina Vudvud</cp:lastModifiedBy>
  <cp:lastPrinted>2019-10-11T06:13:22Z</cp:lastPrinted>
  <dcterms:created xsi:type="dcterms:W3CDTF">2016-09-01T07:59:47Z</dcterms:created>
  <dcterms:modified xsi:type="dcterms:W3CDTF">2019-10-15T05:19:49Z</dcterms:modified>
  <cp:category/>
  <cp:version/>
  <cp:contentType/>
  <cp:contentStatus/>
</cp:coreProperties>
</file>