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75" activeTab="0"/>
  </bookViews>
  <sheets>
    <sheet name="Export_Tari" sheetId="1" r:id="rId1"/>
    <sheet name="Import_Tari" sheetId="2" r:id="rId2"/>
    <sheet name="Balanta Comerciala_Tari" sheetId="3" r:id="rId3"/>
    <sheet name="Export_Moduri_Transport" sheetId="4" r:id="rId4"/>
    <sheet name="Import_Moduri_Transport" sheetId="5" r:id="rId5"/>
    <sheet name="Export_Grupe_Marfuri_CSCI" sheetId="6" r:id="rId6"/>
    <sheet name="Import_Grupe_Marfuri_CSCI" sheetId="7" r:id="rId7"/>
    <sheet name="Balanta_Comerciala_Gr_Marf_CSCI" sheetId="8" r:id="rId8"/>
    <sheet name="Лист1" sheetId="9" r:id="rId9"/>
  </sheets>
  <definedNames>
    <definedName name="_xlnm.Print_Titles" localSheetId="2">'Balanta Comerciala_Tari'!$3:$4</definedName>
    <definedName name="_xlnm.Print_Titles" localSheetId="7">'Balanta_Comerciala_Gr_Marf_CSCI'!$4:$5</definedName>
    <definedName name="_xlnm.Print_Titles" localSheetId="5">'Export_Grupe_Marfuri_CSCI'!$4:$6</definedName>
    <definedName name="_xlnm.Print_Titles" localSheetId="0">'Export_Tari'!$3:$5</definedName>
    <definedName name="_xlnm.Print_Titles" localSheetId="6">'Import_Grupe_Marfuri_CSCI'!$4:$6</definedName>
    <definedName name="_xlnm.Print_Titles" localSheetId="1">'Import_Tari'!$3:$5</definedName>
  </definedNames>
  <calcPr fullCalcOnLoad="1"/>
</workbook>
</file>

<file path=xl/sharedStrings.xml><?xml version="1.0" encoding="utf-8"?>
<sst xmlns="http://schemas.openxmlformats.org/spreadsheetml/2006/main" count="777" uniqueCount="299">
  <si>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</si>
  <si>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</si>
  <si>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</si>
  <si>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</si>
  <si>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</si>
  <si>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</si>
  <si>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</si>
  <si>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</si>
  <si>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</si>
  <si>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</si>
  <si>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</si>
  <si>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</si>
  <si>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</si>
  <si>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</si>
  <si>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</si>
  <si>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</si>
  <si>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</si>
  <si>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</si>
  <si>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</si>
  <si>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</si>
  <si>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</si>
  <si>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</si>
  <si>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</si>
  <si>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conform Clasificării Standard de Comerţ Internaţional</t>
  </si>
  <si>
    <t>Animale vii</t>
  </si>
  <si>
    <t>Zahăr, preparate pe bază de zahăr; miere</t>
  </si>
  <si>
    <t>Hrană destinată animalelor (exclusiv cereale nemăcinate)</t>
  </si>
  <si>
    <t>Materiale brute necomestibile, exclusiv combustibili</t>
  </si>
  <si>
    <t>Alte materii brute de origine animală sau vegetală</t>
  </si>
  <si>
    <t>Energie electrică</t>
  </si>
  <si>
    <t>Produse chimice organice</t>
  </si>
  <si>
    <t>Produse chimice anorganice</t>
  </si>
  <si>
    <t>Materiale plastice sub forme primare</t>
  </si>
  <si>
    <t>Materiale plastice prelucrate</t>
  </si>
  <si>
    <t>Mărfuri manufacturate, clasificate mai ales după materia primă</t>
  </si>
  <si>
    <t>Cauciuc prelucrat</t>
  </si>
  <si>
    <t>Articole din lemn (exclusiv mobilă)</t>
  </si>
  <si>
    <t>Articole din minerale nemetalice</t>
  </si>
  <si>
    <t>Metale neferoase</t>
  </si>
  <si>
    <t>Articole prelucrate din metal</t>
  </si>
  <si>
    <t>Vehicule rutiere (inclusiv vehicule cu pernă de aer)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</si>
  <si>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</si>
  <si>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</si>
  <si>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</si>
  <si>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</si>
  <si>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</si>
  <si>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</si>
  <si>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</si>
  <si>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</si>
  <si>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</si>
  <si>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</si>
  <si>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</si>
  <si>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</si>
  <si>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</si>
  <si>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</si>
  <si>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</si>
  <si>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</si>
  <si>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</si>
  <si>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</si>
  <si>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</si>
  <si>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</si>
  <si>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</si>
  <si>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</si>
  <si>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</si>
  <si>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</si>
  <si>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</si>
  <si>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</si>
  <si>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</si>
  <si>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</si>
  <si>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</si>
  <si>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</si>
  <si>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</si>
  <si>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</si>
  <si>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</si>
  <si>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</si>
  <si>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</si>
  <si>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</si>
  <si>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</si>
  <si>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</si>
  <si>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</si>
  <si>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</si>
  <si>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</si>
  <si>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</si>
  <si>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</si>
  <si>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</si>
  <si>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</si>
  <si>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</si>
  <si>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Cambodjia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</si>
  <si>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</si>
  <si>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</si>
  <si>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</si>
  <si>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</si>
  <si>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</si>
  <si>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</si>
  <si>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</si>
  <si>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</si>
  <si>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</si>
  <si>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</si>
  <si>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</si>
  <si>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Uruguay</t>
  </si>
  <si>
    <t>Tunisia</t>
  </si>
  <si>
    <t>Columbia</t>
  </si>
  <si>
    <t>Australia</t>
  </si>
  <si>
    <t>Noua Zeelandă</t>
  </si>
  <si>
    <t>de 2,1 ori</t>
  </si>
  <si>
    <t>Mongolia</t>
  </si>
  <si>
    <t>Peru</t>
  </si>
  <si>
    <t>Kenya</t>
  </si>
  <si>
    <t>mii dolari        SUA</t>
  </si>
  <si>
    <t>EXPORT - total</t>
  </si>
  <si>
    <t>Oman</t>
  </si>
  <si>
    <t>Ghana</t>
  </si>
  <si>
    <t>Albania</t>
  </si>
  <si>
    <t>de 1,8 ori</t>
  </si>
  <si>
    <t>de 1,7 ori</t>
  </si>
  <si>
    <t>de 1,6 ori</t>
  </si>
  <si>
    <t>Gradul de influenţă a grupelor de mărfuri  la creşterea (+),  scăderea (-) exporturilor, %</t>
  </si>
  <si>
    <t>Qatar</t>
  </si>
  <si>
    <t xml:space="preserve">. </t>
  </si>
  <si>
    <t>Ponderea, %</t>
  </si>
  <si>
    <t>Swaziland</t>
  </si>
  <si>
    <t>2018¹</t>
  </si>
  <si>
    <t>mii dolari         SUA</t>
  </si>
  <si>
    <t>Belize</t>
  </si>
  <si>
    <t>de 3,2 ori</t>
  </si>
  <si>
    <t>-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</si>
  <si>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</si>
  <si>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</si>
  <si>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</si>
  <si>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</si>
  <si>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</si>
  <si>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</si>
  <si>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</si>
  <si>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r>
      <rPr>
        <b/>
        <sz val="12"/>
        <rFont val="Times New Roman"/>
        <family val="1"/>
      </rPr>
      <t xml:space="preserve">Anexa 1. </t>
    </r>
    <r>
      <rPr>
        <b/>
        <i/>
        <sz val="12"/>
        <rFont val="Times New Roman"/>
        <family val="1"/>
      </rPr>
      <t>Exporturile structurate pe principalele ţări de destinaţie a mărfurilor şi grupe de ţări</t>
    </r>
  </si>
  <si>
    <r>
      <rPr>
        <b/>
        <sz val="12"/>
        <color indexed="8"/>
        <rFont val="Times New Roman"/>
        <family val="1"/>
      </rPr>
      <t xml:space="preserve">Anexa 2. </t>
    </r>
    <r>
      <rPr>
        <b/>
        <i/>
        <sz val="12"/>
        <color indexed="8"/>
        <rFont val="Times New Roman"/>
        <family val="1"/>
      </rPr>
      <t>Importurile structurate pe principalele ţări de origine a mărfurilor şi grupe de ţări</t>
    </r>
  </si>
  <si>
    <r>
      <rPr>
        <b/>
        <sz val="12"/>
        <color indexed="8"/>
        <rFont val="Times New Roman"/>
        <family val="1"/>
      </rPr>
      <t xml:space="preserve">Anexa 3. </t>
    </r>
    <r>
      <rPr>
        <b/>
        <i/>
        <sz val="12"/>
        <color indexed="8"/>
        <rFont val="Times New Roman"/>
        <family val="1"/>
      </rPr>
      <t>Balanţa comercială structurată pe principalele ţări şi grupe de ţări</t>
    </r>
  </si>
  <si>
    <r>
      <rPr>
        <b/>
        <sz val="12"/>
        <rFont val="Times New Roman"/>
        <family val="1"/>
      </rPr>
      <t xml:space="preserve">Anexa 4. </t>
    </r>
    <r>
      <rPr>
        <b/>
        <i/>
        <sz val="12"/>
        <rFont val="Times New Roman"/>
        <family val="1"/>
      </rPr>
      <t xml:space="preserve">Exporturile structurate pe grupe de ţări și moduri de transport a mărfurilor </t>
    </r>
  </si>
  <si>
    <r>
      <rPr>
        <b/>
        <sz val="12"/>
        <rFont val="Times New Roman"/>
        <family val="1"/>
      </rPr>
      <t>Anexa 5.</t>
    </r>
    <r>
      <rPr>
        <b/>
        <i/>
        <sz val="12"/>
        <rFont val="Times New Roman"/>
        <family val="1"/>
      </rPr>
      <t xml:space="preserve"> Importurile structurate pe grupe de ţări și moduri de transport a mărfurilor</t>
    </r>
  </si>
  <si>
    <r>
      <rPr>
        <b/>
        <sz val="12"/>
        <color indexed="8"/>
        <rFont val="Times New Roman"/>
        <family val="1"/>
      </rPr>
      <t>Anexa 6.</t>
    </r>
    <r>
      <rPr>
        <b/>
        <i/>
        <sz val="12"/>
        <color indexed="8"/>
        <rFont val="Times New Roman"/>
        <family val="1"/>
      </rPr>
      <t xml:space="preserve"> Exporturile structurate pe grupe de mărfuri, </t>
    </r>
  </si>
  <si>
    <r>
      <rPr>
        <b/>
        <sz val="12"/>
        <color indexed="8"/>
        <rFont val="Times New Roman"/>
        <family val="1"/>
      </rPr>
      <t>Anexa 7.</t>
    </r>
    <r>
      <rPr>
        <b/>
        <i/>
        <sz val="12"/>
        <color indexed="8"/>
        <rFont val="Times New Roman"/>
        <family val="1"/>
      </rPr>
      <t xml:space="preserve"> Importurile structurate pe grupe de mărfuri, </t>
    </r>
  </si>
  <si>
    <r>
      <rPr>
        <b/>
        <sz val="12"/>
        <color indexed="8"/>
        <rFont val="Times New Roman"/>
        <family val="1"/>
      </rPr>
      <t xml:space="preserve">Anexa 8. </t>
    </r>
    <r>
      <rPr>
        <b/>
        <i/>
        <sz val="12"/>
        <color indexed="8"/>
        <rFont val="Times New Roman"/>
        <family val="1"/>
      </rPr>
      <t xml:space="preserve">Balanţa comercială structurată pe grupe de mărfuri, </t>
    </r>
  </si>
  <si>
    <t xml:space="preserve"> 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</si>
  <si>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</si>
  <si>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</si>
  <si>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2019¹</t>
  </si>
  <si>
    <t>mii dolari             SUA</t>
  </si>
  <si>
    <t>de 1,5 ori</t>
  </si>
  <si>
    <t>Kârgâzstan</t>
  </si>
  <si>
    <t>Siria</t>
  </si>
  <si>
    <t>Afganistan</t>
  </si>
  <si>
    <t>Kuwait</t>
  </si>
  <si>
    <t>Statul Palestina</t>
  </si>
  <si>
    <t>Montenegro</t>
  </si>
  <si>
    <t>Libia</t>
  </si>
  <si>
    <t>IMPORT - total</t>
  </si>
  <si>
    <t>Insulele Faroe</t>
  </si>
  <si>
    <t>San Marino</t>
  </si>
  <si>
    <t>Tanzania</t>
  </si>
  <si>
    <t>Etiopia</t>
  </si>
  <si>
    <t>Bahrain</t>
  </si>
  <si>
    <t>Senegal</t>
  </si>
  <si>
    <t xml:space="preserve">   din care:</t>
  </si>
  <si>
    <t xml:space="preserve">IMPORT - total      </t>
  </si>
  <si>
    <t xml:space="preserve">EXPORT - total      </t>
  </si>
  <si>
    <t>BALANŢA COMERCIALĂ - total, mii dolari SUA</t>
  </si>
  <si>
    <t>Cote D'Ivoire</t>
  </si>
  <si>
    <t>Madagascar</t>
  </si>
  <si>
    <t xml:space="preserve">     din care:</t>
  </si>
  <si>
    <t>Franţa</t>
  </si>
  <si>
    <t>Regatul Unit al Marii Britanii şi Irlandei de Nord</t>
  </si>
  <si>
    <t>Croaţia</t>
  </si>
  <si>
    <t>Federaţia Rusă</t>
  </si>
  <si>
    <t>Şri Lanka</t>
  </si>
  <si>
    <t>Elveţia</t>
  </si>
  <si>
    <t>Gibraltar</t>
  </si>
  <si>
    <t>Bosnia şi Herţegovina</t>
  </si>
  <si>
    <t>Mali</t>
  </si>
  <si>
    <t>Somalia</t>
  </si>
  <si>
    <t>Macedonia de Nord</t>
  </si>
  <si>
    <t>de 2,3 ori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</si>
  <si>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</si>
  <si>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</si>
  <si>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</si>
  <si>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</si>
  <si>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</si>
  <si>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</si>
  <si>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</si>
  <si>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</si>
  <si>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</si>
  <si>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Tutun brut şi prelucrat</t>
  </si>
  <si>
    <t>Piei crude, piei tăbăcite şi blănuri brute</t>
  </si>
  <si>
    <t>Lemn şi plută</t>
  </si>
  <si>
    <t>Îngrăşăminte naturale şi minerale naturale (exclusiv cărbune, petrol şi pietre preţioase)</t>
  </si>
  <si>
    <t>Minereuri metalifere şi deşeuri de metale</t>
  </si>
  <si>
    <t>Combustibili minerali, lubrifianţi şi materiale derivate</t>
  </si>
  <si>
    <t>Petrol, produse petroliere şi produse înrudite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</si>
  <si>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</si>
  <si>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</si>
  <si>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</si>
  <si>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</si>
  <si>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</si>
  <si>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</si>
  <si>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</si>
  <si>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</si>
  <si>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</si>
  <si>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Hârtie, carton şi articole din pastă de celuloză, din hârtie sau din carton</t>
  </si>
  <si>
    <t>Fire, ţesături,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</si>
  <si>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</si>
  <si>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</si>
  <si>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</si>
  <si>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</si>
  <si>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</si>
  <si>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</si>
  <si>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</si>
  <si>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Construcţii prefabricate; alte instalaţii şi accesorii pentru instalaţii sanitare, de încălzit şi de iluminat</t>
  </si>
  <si>
    <t>Mobilă şi părţile ei</t>
  </si>
  <si>
    <t>Articole de voiaj; sacoşe şi similare</t>
  </si>
  <si>
    <t>Îmbrăcăminte şi accesorii</t>
  </si>
  <si>
    <t>Încălţăminte</t>
  </si>
  <si>
    <t>Instrumente şi aparate, profesionale, ştiinţifice şi de control</t>
  </si>
  <si>
    <t>Aparate fotografice, echipamente şi furnituri de optică; ceasuri şi orologii</t>
  </si>
  <si>
    <t>Bunuri neclasificate în altă secţiune din CSCI</t>
  </si>
  <si>
    <t>Seminţe şi fructe oleaginoase</t>
  </si>
  <si>
    <t>Cauciuc brut (inclusiv cauciuc sintetic şi regenerat)</t>
  </si>
  <si>
    <t>Fibre textile (cu excepţia lânii în fuior şi a lânii pieptănate) şi deşeurile lor (neprelucrate în fire sau ţesături)</t>
  </si>
  <si>
    <t>Gaz şi produse industriale obţinute din gaz</t>
  </si>
  <si>
    <t>Uleiuri şi grăsimi de origine animală</t>
  </si>
  <si>
    <t>Alte uleiuri şi grăsimi animale sau vegetale prelucrate; ceară de origine animală sau vegetală, amestecuri sau preparate necomestibile din uleiuri animale sau vegetale</t>
  </si>
  <si>
    <t>Maşini şi aparate specializate pentru industriile specifice</t>
  </si>
  <si>
    <t>Maşini şi aparate electrice şi părţi ale acestora (inclusiv echivalente neelectrice ale maşinilor şi aparatelor de uz casnic)</t>
  </si>
  <si>
    <t>de 4,5 ori</t>
  </si>
  <si>
    <t>Niger</t>
  </si>
  <si>
    <t>de 2,2 ori</t>
  </si>
  <si>
    <t>Băuturi (alcoolice şi nealcoolice)</t>
  </si>
  <si>
    <t>Pastă de hârtie şi deşeuri de hârtie</t>
  </si>
  <si>
    <t>de 2,4 ori</t>
  </si>
  <si>
    <t>Celelalte ţări ale lumii - total</t>
  </si>
  <si>
    <t>de 4,0 ori</t>
  </si>
  <si>
    <t>Insulele Folkland</t>
  </si>
  <si>
    <t>de 14,4 ori</t>
  </si>
  <si>
    <t>de 6,1 ori</t>
  </si>
  <si>
    <t>Ţările Uniunii Europene (UE-28) - total</t>
  </si>
  <si>
    <t>Țările Uniunii Europene (UE-28) - total</t>
  </si>
  <si>
    <t xml:space="preserve">Țările CSI - total </t>
  </si>
  <si>
    <t xml:space="preserve">Celelalte țări ale lumii - total </t>
  </si>
  <si>
    <t>Liberia</t>
  </si>
  <si>
    <t>de 7,6 ori</t>
  </si>
  <si>
    <t>Fire, tesături, articole textile necuprinse în altă parte şi produse conexe</t>
  </si>
  <si>
    <t>Instrumente şi aparate, profesionale, ştiintifice şi de control</t>
  </si>
  <si>
    <t>Carbune, cocs şi brichete</t>
  </si>
  <si>
    <t>Celelalte țări ale lumii - total</t>
  </si>
  <si>
    <t>BALANŢA COMERCIALĂ – total, mii dolari SUA</t>
  </si>
  <si>
    <t>Ţările CSI - total</t>
  </si>
  <si>
    <t>de 1,9 ori</t>
  </si>
  <si>
    <t>de 25,3 ori</t>
  </si>
  <si>
    <t>Ianuarie - iulie 2019</t>
  </si>
  <si>
    <t>în % faţă de ianuarie - iulie 2018¹</t>
  </si>
  <si>
    <t>ianuarie - iulie</t>
  </si>
  <si>
    <t>Ianuarie - iulie</t>
  </si>
  <si>
    <t>Ianuarie - iulie 2019  în % faţă de                          ianuarie - iulie 2018¹</t>
  </si>
  <si>
    <t>Ianuarie - iulie 2019          în % faţă de                          ianuarie - iulie 2018¹</t>
  </si>
  <si>
    <t>de 4,6 ori</t>
  </si>
  <si>
    <t>de 14,7 ori</t>
  </si>
  <si>
    <t>de 4,9 ori</t>
  </si>
  <si>
    <t>de 58,5 ori</t>
  </si>
  <si>
    <t>de 38,5 ori</t>
  </si>
  <si>
    <t>de 14,3 ori</t>
  </si>
  <si>
    <t>de 3475,7 ori</t>
  </si>
  <si>
    <t>de 4,1 ori</t>
  </si>
  <si>
    <t>de 9,3 ori</t>
  </si>
  <si>
    <t>de 2,5 ori</t>
  </si>
  <si>
    <t>de 26,2 ori</t>
  </si>
  <si>
    <t>de 2358,0 ori</t>
  </si>
  <si>
    <t>de 3,5 ori</t>
  </si>
  <si>
    <r>
      <t xml:space="preserve"> </t>
    </r>
    <r>
      <rPr>
        <sz val="10"/>
        <rFont val="Times New Roman"/>
        <family val="1"/>
      </rPr>
      <t xml:space="preserve">  din care:</t>
    </r>
  </si>
  <si>
    <t xml:space="preserve">Ţările CSI - total </t>
  </si>
  <si>
    <t>de 2,9 ori</t>
  </si>
  <si>
    <t>de 9,7 ori</t>
  </si>
  <si>
    <t>de 9,2 ori</t>
  </si>
  <si>
    <t>Grasimi şi uleiuri vegetale fixate, brute, rafinate sau fracţionate</t>
  </si>
  <si>
    <t>Marfuri manufacturate, clasificate mai ales după materia primă</t>
  </si>
  <si>
    <t>de 12,0 ori</t>
  </si>
  <si>
    <t>Pasta de hârtie şi deşeuri de hârtie</t>
  </si>
  <si>
    <t>Cărbune, cocs şi brichete</t>
  </si>
  <si>
    <t>de 8,6 ori</t>
  </si>
  <si>
    <t>de 4,8 ori</t>
  </si>
  <si>
    <t>Lemn si plută</t>
  </si>
  <si>
    <t>de 23,0 ori</t>
  </si>
  <si>
    <t>de 19,3 ori</t>
  </si>
  <si>
    <t>de 30,3 ori</t>
  </si>
  <si>
    <t>de 29,8 ori</t>
  </si>
  <si>
    <t>de 3,9 ori</t>
  </si>
  <si>
    <t>de 4,2 ori</t>
  </si>
  <si>
    <t>de 6,0 ori</t>
  </si>
  <si>
    <t>de 7,9 ori</t>
  </si>
  <si>
    <t>de 12,1 ori</t>
  </si>
  <si>
    <t xml:space="preserve"> -</t>
  </si>
  <si>
    <t>de 495,9 or</t>
  </si>
  <si>
    <t>de 5,0 ori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</si>
</sst>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67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2"/>
    </font>
    <font>
      <sz val="10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i/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Calibri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C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164" fontId="12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13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4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2" fontId="13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0" xfId="0" applyNumberFormat="1" applyFont="1" applyFill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NumberFormat="1" applyFont="1" applyFill="1" applyAlignment="1" applyProtection="1">
      <alignment horizontal="left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top" wrapText="1"/>
      <protection/>
    </xf>
    <xf numFmtId="38" fontId="12" fillId="0" borderId="0" xfId="0" applyNumberFormat="1" applyFont="1" applyFill="1" applyAlignment="1" applyProtection="1">
      <alignment horizontal="left" vertical="top" wrapText="1"/>
      <protection/>
    </xf>
    <xf numFmtId="4" fontId="59" fillId="0" borderId="0" xfId="0" applyNumberFormat="1" applyFont="1" applyAlignment="1">
      <alignment horizontal="right" vertical="top" wrapText="1"/>
    </xf>
    <xf numFmtId="4" fontId="63" fillId="0" borderId="0" xfId="0" applyNumberFormat="1" applyFont="1" applyFill="1" applyAlignment="1" applyProtection="1">
      <alignment horizontal="right" vertical="top" wrapText="1"/>
      <protection/>
    </xf>
    <xf numFmtId="38" fontId="10" fillId="0" borderId="0" xfId="0" applyNumberFormat="1" applyFont="1" applyFill="1" applyAlignment="1" applyProtection="1">
      <alignment horizontal="left" vertical="top" wrapText="1"/>
      <protection/>
    </xf>
    <xf numFmtId="38" fontId="10" fillId="0" borderId="13" xfId="0" applyNumberFormat="1" applyFont="1" applyFill="1" applyBorder="1" applyAlignment="1" applyProtection="1">
      <alignment horizontal="left" vertical="top" wrapText="1"/>
      <protection/>
    </xf>
    <xf numFmtId="0" fontId="21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38" fontId="12" fillId="0" borderId="13" xfId="0" applyNumberFormat="1" applyFont="1" applyFill="1" applyBorder="1" applyAlignment="1" applyProtection="1">
      <alignment horizontal="left" vertical="top" wrapText="1"/>
      <protection/>
    </xf>
    <xf numFmtId="38" fontId="10" fillId="0" borderId="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 horizontal="right" vertical="top"/>
    </xf>
    <xf numFmtId="0" fontId="21" fillId="0" borderId="14" xfId="0" applyNumberFormat="1" applyFont="1" applyFill="1" applyBorder="1" applyAlignment="1" applyProtection="1">
      <alignment/>
      <protection/>
    </xf>
    <xf numFmtId="4" fontId="21" fillId="0" borderId="14" xfId="0" applyNumberFormat="1" applyFont="1" applyFill="1" applyBorder="1" applyAlignment="1" applyProtection="1">
      <alignment horizontal="right" vertical="top" wrapText="1"/>
      <protection/>
    </xf>
    <xf numFmtId="4" fontId="12" fillId="0" borderId="0" xfId="0" applyNumberFormat="1" applyFont="1" applyFill="1" applyAlignment="1" applyProtection="1">
      <alignment horizontal="right" vertical="top" wrapText="1"/>
      <protection/>
    </xf>
    <xf numFmtId="4" fontId="10" fillId="0" borderId="0" xfId="0" applyNumberFormat="1" applyFont="1" applyFill="1" applyAlignment="1" applyProtection="1">
      <alignment horizontal="right" vertical="top" wrapText="1"/>
      <protection/>
    </xf>
    <xf numFmtId="4" fontId="21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" fontId="10" fillId="0" borderId="13" xfId="0" applyNumberFormat="1" applyFont="1" applyFill="1" applyBorder="1" applyAlignment="1" applyProtection="1">
      <alignment horizontal="right" vertical="top" wrapText="1"/>
      <protection/>
    </xf>
    <xf numFmtId="0" fontId="64" fillId="0" borderId="0" xfId="0" applyNumberFormat="1" applyFont="1" applyFill="1" applyBorder="1" applyAlignment="1" applyProtection="1">
      <alignment horizontal="left" vertical="top" wrapText="1"/>
      <protection/>
    </xf>
    <xf numFmtId="4" fontId="65" fillId="0" borderId="0" xfId="0" applyNumberFormat="1" applyFont="1" applyFill="1" applyBorder="1" applyAlignment="1" applyProtection="1">
      <alignment horizontal="right" vertical="top" wrapText="1"/>
      <protection/>
    </xf>
    <xf numFmtId="4" fontId="10" fillId="0" borderId="0" xfId="0" applyNumberFormat="1" applyFont="1" applyFill="1" applyBorder="1" applyAlignment="1" applyProtection="1">
      <alignment horizontal="right" vertical="top" wrapText="1"/>
      <protection/>
    </xf>
    <xf numFmtId="4" fontId="12" fillId="0" borderId="13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27" fillId="0" borderId="0" xfId="0" applyNumberFormat="1" applyFont="1" applyFill="1" applyBorder="1" applyAlignment="1" applyProtection="1">
      <alignment horizontal="left" vertical="top" wrapText="1"/>
      <protection/>
    </xf>
    <xf numFmtId="4" fontId="21" fillId="0" borderId="0" xfId="0" applyNumberFormat="1" applyFont="1" applyFill="1" applyAlignment="1" applyProtection="1">
      <alignment horizontal="right" vertical="top" wrapText="1"/>
      <protection/>
    </xf>
    <xf numFmtId="4" fontId="12" fillId="0" borderId="0" xfId="0" applyNumberFormat="1" applyFont="1" applyFill="1" applyAlignment="1" applyProtection="1">
      <alignment horizontal="right" vertical="top" wrapText="1" shrinkToFit="1"/>
      <protection/>
    </xf>
    <xf numFmtId="4" fontId="10" fillId="0" borderId="0" xfId="0" applyNumberFormat="1" applyFont="1" applyFill="1" applyAlignment="1" applyProtection="1">
      <alignment horizontal="right" vertical="top" wrapText="1" shrinkToFit="1"/>
      <protection/>
    </xf>
    <xf numFmtId="0" fontId="27" fillId="0" borderId="0" xfId="0" applyFont="1" applyAlignment="1">
      <alignment/>
    </xf>
    <xf numFmtId="4" fontId="21" fillId="0" borderId="14" xfId="0" applyNumberFormat="1" applyFont="1" applyFill="1" applyBorder="1" applyAlignment="1" applyProtection="1">
      <alignment horizontal="right" vertical="top" wrapText="1" indent="1"/>
      <protection/>
    </xf>
    <xf numFmtId="4" fontId="21" fillId="0" borderId="0" xfId="0" applyNumberFormat="1" applyFont="1" applyFill="1" applyBorder="1" applyAlignment="1" applyProtection="1">
      <alignment horizontal="right" vertical="top" wrapText="1" indent="1"/>
      <protection/>
    </xf>
    <xf numFmtId="4" fontId="12" fillId="0" borderId="0" xfId="0" applyNumberFormat="1" applyFont="1" applyFill="1" applyAlignment="1" applyProtection="1">
      <alignment horizontal="right" vertical="top" wrapText="1" indent="1"/>
      <protection/>
    </xf>
    <xf numFmtId="4" fontId="10" fillId="0" borderId="0" xfId="0" applyNumberFormat="1" applyFont="1" applyFill="1" applyAlignment="1" applyProtection="1">
      <alignment horizontal="right" vertical="top" wrapText="1" indent="1"/>
      <protection/>
    </xf>
    <xf numFmtId="4" fontId="10" fillId="0" borderId="0" xfId="0" applyNumberFormat="1" applyFont="1" applyFill="1" applyBorder="1" applyAlignment="1" applyProtection="1">
      <alignment horizontal="right" vertical="top" wrapText="1" indent="1"/>
      <protection/>
    </xf>
    <xf numFmtId="4" fontId="12" fillId="0" borderId="13" xfId="0" applyNumberFormat="1" applyFont="1" applyFill="1" applyBorder="1" applyAlignment="1" applyProtection="1">
      <alignment horizontal="right" vertical="top" wrapText="1" indent="1"/>
      <protection/>
    </xf>
    <xf numFmtId="4" fontId="66" fillId="0" borderId="0" xfId="0" applyNumberFormat="1" applyFont="1" applyAlignment="1">
      <alignment horizontal="right" vertical="top" wrapText="1" indent="1"/>
    </xf>
    <xf numFmtId="4" fontId="10" fillId="0" borderId="0" xfId="0" applyNumberFormat="1" applyFont="1" applyAlignment="1">
      <alignment horizontal="right" vertical="top" wrapText="1" indent="1"/>
    </xf>
    <xf numFmtId="4" fontId="10" fillId="0" borderId="0" xfId="0" applyNumberFormat="1" applyFont="1" applyBorder="1" applyAlignment="1">
      <alignment horizontal="right" vertical="top" wrapText="1" indent="1"/>
    </xf>
    <xf numFmtId="4" fontId="10" fillId="0" borderId="13" xfId="0" applyNumberFormat="1" applyFont="1" applyBorder="1" applyAlignment="1">
      <alignment horizontal="right" vertical="top" wrapText="1" indent="1"/>
    </xf>
    <xf numFmtId="4" fontId="59" fillId="0" borderId="0" xfId="0" applyNumberFormat="1" applyFont="1" applyAlignment="1">
      <alignment horizontal="right" vertical="top" wrapText="1" indent="1"/>
    </xf>
    <xf numFmtId="4" fontId="12" fillId="0" borderId="0" xfId="0" applyNumberFormat="1" applyFont="1" applyFill="1" applyAlignment="1" applyProtection="1">
      <alignment horizontal="right" vertical="top" wrapText="1" indent="1" shrinkToFit="1"/>
      <protection/>
    </xf>
    <xf numFmtId="4" fontId="10" fillId="0" borderId="0" xfId="0" applyNumberFormat="1" applyFont="1" applyFill="1" applyAlignment="1" applyProtection="1">
      <alignment horizontal="right" vertical="top" wrapText="1" indent="1" shrinkToFit="1"/>
      <protection/>
    </xf>
    <xf numFmtId="4" fontId="10" fillId="0" borderId="13" xfId="0" applyNumberFormat="1" applyFont="1" applyFill="1" applyBorder="1" applyAlignment="1" applyProtection="1">
      <alignment horizontal="right" vertical="top" wrapText="1" indent="1"/>
      <protection/>
    </xf>
    <xf numFmtId="0" fontId="17" fillId="0" borderId="0" xfId="0" applyFont="1" applyAlignment="1">
      <alignment horizontal="center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3" xfId="64"/>
    <cellStyle name="Обычный 3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09"/>
  <sheetViews>
    <sheetView tabSelected="1" zoomScalePageLayoutView="0" workbookViewId="0" topLeftCell="A1">
      <selection activeCell="K20" sqref="K20"/>
    </sheetView>
  </sheetViews>
  <sheetFormatPr defaultColWidth="9.00390625" defaultRowHeight="15.75"/>
  <cols>
    <col min="1" max="1" width="33.00390625" style="9" customWidth="1"/>
    <col min="2" max="2" width="11.125" style="9" customWidth="1"/>
    <col min="3" max="3" width="10.00390625" style="9" customWidth="1"/>
    <col min="4" max="4" width="7.875" style="9" customWidth="1"/>
    <col min="5" max="5" width="7.625" style="9" customWidth="1"/>
    <col min="6" max="7" width="9.75390625" style="9" customWidth="1"/>
  </cols>
  <sheetData>
    <row r="1" spans="1:7" ht="15.75">
      <c r="A1" s="72" t="s">
        <v>133</v>
      </c>
      <c r="B1" s="72"/>
      <c r="C1" s="72"/>
      <c r="D1" s="72"/>
      <c r="E1" s="72"/>
      <c r="F1" s="72"/>
      <c r="G1" s="72"/>
    </row>
    <row r="2" ht="9" customHeight="1"/>
    <row r="3" spans="1:7" ht="54" customHeight="1">
      <c r="A3" s="73"/>
      <c r="B3" s="76" t="s">
        <v>255</v>
      </c>
      <c r="C3" s="77"/>
      <c r="D3" s="76" t="s">
        <v>119</v>
      </c>
      <c r="E3" s="77"/>
      <c r="F3" s="78" t="s">
        <v>1</v>
      </c>
      <c r="G3" s="79"/>
    </row>
    <row r="4" spans="1:7" ht="24" customHeight="1">
      <c r="A4" s="74"/>
      <c r="B4" s="80" t="s">
        <v>108</v>
      </c>
      <c r="C4" s="82" t="s">
        <v>256</v>
      </c>
      <c r="D4" s="84" t="s">
        <v>257</v>
      </c>
      <c r="E4" s="84"/>
      <c r="F4" s="84" t="s">
        <v>257</v>
      </c>
      <c r="G4" s="76"/>
    </row>
    <row r="5" spans="1:7" ht="22.5" customHeight="1">
      <c r="A5" s="75"/>
      <c r="B5" s="81"/>
      <c r="C5" s="83"/>
      <c r="D5" s="22">
        <v>2018</v>
      </c>
      <c r="E5" s="22">
        <v>2019</v>
      </c>
      <c r="F5" s="22" t="s">
        <v>121</v>
      </c>
      <c r="G5" s="18" t="s">
        <v>144</v>
      </c>
    </row>
    <row r="6" spans="1:7" ht="15.75" customHeight="1">
      <c r="A6" s="40" t="s">
        <v>109</v>
      </c>
      <c r="B6" s="41">
        <f>IF(1581580.75115="","-",1581580.75115)</f>
        <v>1581580.75115</v>
      </c>
      <c r="C6" s="41">
        <f>IF(1533630.30697="","-",1581580.75115/1533630.30697*100)</f>
        <v>103.12659732675313</v>
      </c>
      <c r="D6" s="41">
        <v>100</v>
      </c>
      <c r="E6" s="41">
        <v>100</v>
      </c>
      <c r="F6" s="41">
        <f>IF(1219791.03674="","-",(1533630.30697-1219791.03674)/1219791.03674*100)</f>
        <v>25.728937234099007</v>
      </c>
      <c r="G6" s="41">
        <f>IF(1533630.30697="","-",(1581580.75115-1533630.30697)/1533630.30697*100)</f>
        <v>3.126597326753132</v>
      </c>
    </row>
    <row r="7" spans="1:7" ht="15.75" customHeight="1">
      <c r="A7" s="45" t="s">
        <v>161</v>
      </c>
      <c r="B7" s="44"/>
      <c r="C7" s="44"/>
      <c r="D7" s="44"/>
      <c r="E7" s="44"/>
      <c r="F7" s="44"/>
      <c r="G7" s="44"/>
    </row>
    <row r="8" spans="1:7" ht="15.75" customHeight="1">
      <c r="A8" s="25" t="s">
        <v>241</v>
      </c>
      <c r="B8" s="42">
        <f>IF(1034036.19812="","-",1034036.19812)</f>
        <v>1034036.19812</v>
      </c>
      <c r="C8" s="42">
        <f>IF(1053310.74893="","-",1034036.19812/1053310.74893*100)</f>
        <v>98.17009834661043</v>
      </c>
      <c r="D8" s="42">
        <f>IF(1053310.74893="","-",1053310.74893/1533630.30697*100)</f>
        <v>68.68087727159164</v>
      </c>
      <c r="E8" s="42">
        <f>IF(1034036.19812="","-",1034036.19812/1581580.75115*100)</f>
        <v>65.37991799458428</v>
      </c>
      <c r="F8" s="42">
        <f>IF(1219791.03674="","-",(1053310.74893-778221.72122)/1219791.03674*100)</f>
        <v>22.552143721698428</v>
      </c>
      <c r="G8" s="42">
        <f>IF(1533630.30697="","-",(1034036.19812-1053310.74893)/1533630.30697*100)</f>
        <v>-1.2567925087553113</v>
      </c>
    </row>
    <row r="9" spans="1:7" ht="15.75" customHeight="1">
      <c r="A9" s="33" t="s">
        <v>2</v>
      </c>
      <c r="B9" s="43">
        <f>IF(448253.02459="","-",448253.02459)</f>
        <v>448253.02459</v>
      </c>
      <c r="C9" s="43">
        <f>IF(OR(412124.37951="",448253.02459=""),"-",448253.02459/412124.37951*100)</f>
        <v>108.76644209278655</v>
      </c>
      <c r="D9" s="43">
        <f>IF(412124.37951="","-",412124.37951/1533630.30697*100)</f>
        <v>26.872472305547735</v>
      </c>
      <c r="E9" s="43">
        <f>IF(448253.02459="","-",448253.02459/1581580.75115*100)</f>
        <v>28.342089031120665</v>
      </c>
      <c r="F9" s="43">
        <f>IF(OR(1219791.03674="",299983.93806="",412124.37951=""),"-",(412124.37951-299983.93806)/1219791.03674*100)</f>
        <v>9.193414123594914</v>
      </c>
      <c r="G9" s="43">
        <f>IF(OR(1533630.30697="",448253.02459="",412124.37951=""),"-",(448253.02459-412124.37951)/1533630.30697*100)</f>
        <v>2.3557597235659427</v>
      </c>
    </row>
    <row r="10" spans="1:7" ht="15.75" customHeight="1">
      <c r="A10" s="33" t="s">
        <v>3</v>
      </c>
      <c r="B10" s="43">
        <f>IF(160661.20907="","-",160661.20907)</f>
        <v>160661.20907</v>
      </c>
      <c r="C10" s="43">
        <f>IF(OR(176924.98215="",160661.20907=""),"-",160661.20907/176924.98215*100)</f>
        <v>90.80753159765122</v>
      </c>
      <c r="D10" s="43">
        <f>IF(176924.98215="","-",176924.98215/1533630.30697*100)</f>
        <v>11.536351449623568</v>
      </c>
      <c r="E10" s="43">
        <f>IF(160661.20907="","-",160661.20907/1581580.75115*100)</f>
        <v>10.158267856584619</v>
      </c>
      <c r="F10" s="43">
        <f>IF(OR(1219791.03674="",110747.51583="",176924.98215=""),"-",(176924.98215-110747.51583)/1219791.03674*100)</f>
        <v>5.425311740022714</v>
      </c>
      <c r="G10" s="43">
        <f>IF(OR(1533630.30697="",160661.20907="",176924.98215=""),"-",(160661.20907-176924.98215)/1533630.30697*100)</f>
        <v>-1.0604754617905532</v>
      </c>
    </row>
    <row r="11" spans="1:7" ht="15.75" customHeight="1">
      <c r="A11" s="33" t="s">
        <v>4</v>
      </c>
      <c r="B11" s="43">
        <f>IF(140725.04138="","-",140725.04138)</f>
        <v>140725.04138</v>
      </c>
      <c r="C11" s="43">
        <f>IF(OR(129436.56273="",140725.04138=""),"-",140725.04138/129436.56273*100)</f>
        <v>108.72124414609755</v>
      </c>
      <c r="D11" s="43">
        <f>IF(129436.56273="","-",129436.56273/1533630.30697*100)</f>
        <v>8.439880337636804</v>
      </c>
      <c r="E11" s="43">
        <f>IF(140725.04138="","-",140725.04138/1581580.75115*100)</f>
        <v>8.897746212305375</v>
      </c>
      <c r="F11" s="43">
        <f>IF(OR(1219791.03674="",81907.88465="",129436.56273=""),"-",(129436.56273-81907.88465)/1219791.03674*100)</f>
        <v>3.8964606763322855</v>
      </c>
      <c r="G11" s="43">
        <f>IF(OR(1533630.30697="",140725.04138="",129436.56273=""),"-",(140725.04138-129436.56273)/1533630.30697*100)</f>
        <v>0.7360625698837877</v>
      </c>
    </row>
    <row r="12" spans="1:7" ht="13.5" customHeight="1">
      <c r="A12" s="33" t="s">
        <v>5</v>
      </c>
      <c r="B12" s="43">
        <f>IF(60858.82551="","-",60858.82551)</f>
        <v>60858.82551</v>
      </c>
      <c r="C12" s="43">
        <f>IF(OR(52935.78027="",60858.82551=""),"-",60858.82551/52935.78027*100)</f>
        <v>114.9672777081746</v>
      </c>
      <c r="D12" s="43">
        <f>IF(52935.78027="","-",52935.78027/1533630.30697*100)</f>
        <v>3.451664982715779</v>
      </c>
      <c r="E12" s="43">
        <f>IF(60858.82551="","-",60858.82551/1581580.75115*100)</f>
        <v>3.847974595400728</v>
      </c>
      <c r="F12" s="43">
        <f>IF(OR(1219791.03674="",39443.51002="",52935.78027=""),"-",(52935.78027-39443.51002)/1219791.03674*100)</f>
        <v>1.1061132475656892</v>
      </c>
      <c r="G12" s="43">
        <f>IF(OR(1533630.30697="",60858.82551="",52935.78027=""),"-",(60858.82551-52935.78027)/1533630.30697*100)</f>
        <v>0.5166202835188876</v>
      </c>
    </row>
    <row r="13" spans="1:7" ht="15.75" customHeight="1">
      <c r="A13" s="33" t="s">
        <v>169</v>
      </c>
      <c r="B13" s="43">
        <f>IF(32409.21088="","-",32409.21088)</f>
        <v>32409.21088</v>
      </c>
      <c r="C13" s="43">
        <f>IF(OR(50561.85961="",32409.21088=""),"-",32409.21088/50561.85961*100)</f>
        <v>64.09813865625739</v>
      </c>
      <c r="D13" s="43">
        <f>IF(50561.85961="","-",50561.85961/1533630.30697*100)</f>
        <v>3.2968740497763953</v>
      </c>
      <c r="E13" s="43">
        <f>IF(32409.21088="","-",32409.21088/1581580.75115*100)</f>
        <v>2.04916573854573</v>
      </c>
      <c r="F13" s="43">
        <f>IF(OR(1219791.03674="",74210.46552="",50561.85961=""),"-",(50561.85961-74210.46552)/1219791.03674*100)</f>
        <v>-1.938742390926482</v>
      </c>
      <c r="G13" s="43">
        <f>IF(OR(1533630.30697="",32409.21088="",50561.85961=""),"-",(32409.21088-50561.85961)/1533630.30697*100)</f>
        <v>-1.1836391500285532</v>
      </c>
    </row>
    <row r="14" spans="1:7" s="13" customFormat="1" ht="15.75">
      <c r="A14" s="33" t="s">
        <v>7</v>
      </c>
      <c r="B14" s="43">
        <f>IF(29351.25823="","-",29351.25823)</f>
        <v>29351.25823</v>
      </c>
      <c r="C14" s="43">
        <f>IF(OR(23914.83151="",29351.25823=""),"-",29351.25823/23914.83151*100)</f>
        <v>122.73244834581733</v>
      </c>
      <c r="D14" s="43">
        <f>IF(23914.83151="","-",23914.83151/1533630.30697*100)</f>
        <v>1.5593609099476284</v>
      </c>
      <c r="E14" s="43">
        <f>IF(29351.25823="","-",29351.25823/1581580.75115*100)</f>
        <v>1.8558178713706586</v>
      </c>
      <c r="F14" s="43">
        <f>IF(OR(1219791.03674="",17138.3246="",23914.83151=""),"-",(23914.83151-17138.3246)/1219791.03674*100)</f>
        <v>0.5555465408329953</v>
      </c>
      <c r="G14" s="43">
        <f>IF(OR(1533630.30697="",29351.25823="",23914.83151=""),"-",(29351.25823-23914.83151)/1533630.30697*100)</f>
        <v>0.3544809133787119</v>
      </c>
    </row>
    <row r="15" spans="1:7" s="13" customFormat="1" ht="15.75">
      <c r="A15" s="33" t="s">
        <v>6</v>
      </c>
      <c r="B15" s="43">
        <f>IF(23235.5396="","-",23235.5396)</f>
        <v>23235.5396</v>
      </c>
      <c r="C15" s="43">
        <f>IF(OR(32007.68056="",23235.5396=""),"-",23235.5396/32007.68056*100)</f>
        <v>72.59363750660975</v>
      </c>
      <c r="D15" s="43">
        <f>IF(32007.68056="","-",32007.68056/1533630.30697*100)</f>
        <v>2.0870532105770465</v>
      </c>
      <c r="E15" s="43">
        <f>IF(23235.5396="","-",23235.5396/1581580.75115*100)</f>
        <v>1.4691339397691179</v>
      </c>
      <c r="F15" s="43">
        <f>IF(OR(1219791.03674="",44852.39623="",32007.68056=""),"-",(32007.68056-44852.39623)/1219791.03674*100)</f>
        <v>-1.0530259104320558</v>
      </c>
      <c r="G15" s="43">
        <f>IF(OR(1533630.30697="",23235.5396="",32007.68056=""),"-",(23235.5396-32007.68056)/1533630.30697*100)</f>
        <v>-0.5719853683206846</v>
      </c>
    </row>
    <row r="16" spans="1:7" s="13" customFormat="1" ht="15.75">
      <c r="A16" s="33" t="s">
        <v>10</v>
      </c>
      <c r="B16" s="43">
        <f>IF(22140.21237="","-",22140.21237)</f>
        <v>22140.21237</v>
      </c>
      <c r="C16" s="43">
        <f>IF(OR(22590.37999="",22140.21237=""),"-",22140.21237/22590.37999*100)</f>
        <v>98.0072596379553</v>
      </c>
      <c r="D16" s="43">
        <f>IF(22590.37999="","-",22590.37999/1533630.30697*100)</f>
        <v>1.4730003630817594</v>
      </c>
      <c r="E16" s="43">
        <f>IF(22140.21237="","-",22140.21237/1581580.75115*100)</f>
        <v>1.3998787196860736</v>
      </c>
      <c r="F16" s="43">
        <f>IF(OR(1219791.03674="",13008.34368="",22590.37999=""),"-",(22590.37999-13008.34368)/1219791.03674*100)</f>
        <v>0.7855473619160906</v>
      </c>
      <c r="G16" s="43">
        <f>IF(OR(1533630.30697="",22140.21237="",22590.37999=""),"-",(22140.21237-22590.37999)/1533630.30697*100)</f>
        <v>-0.02935307276819524</v>
      </c>
    </row>
    <row r="17" spans="1:7" s="13" customFormat="1" ht="15.75">
      <c r="A17" s="33" t="s">
        <v>168</v>
      </c>
      <c r="B17" s="43">
        <f>IF(20774.62256="","-",20774.62256)</f>
        <v>20774.62256</v>
      </c>
      <c r="C17" s="43">
        <f>IF(OR(33792.3882="",20774.62256=""),"-",20774.62256/33792.3882*100)</f>
        <v>61.47722509887596</v>
      </c>
      <c r="D17" s="43">
        <f>IF(33792.3882="","-",33792.3882/1533630.30697*100)</f>
        <v>2.203424648458061</v>
      </c>
      <c r="E17" s="43">
        <f>IF(20774.62256="","-",20774.62256/1581580.75115*100)</f>
        <v>1.3135353692749703</v>
      </c>
      <c r="F17" s="43">
        <f>IF(OR(1219791.03674="",20295.59399="",33792.3882=""),"-",(33792.3882-20295.59399)/1219791.03674*100)</f>
        <v>1.1064841274839488</v>
      </c>
      <c r="G17" s="43">
        <f>IF(OR(1533630.30697="",20774.62256="",33792.3882=""),"-",(20774.62256-33792.3882)/1533630.30697*100)</f>
        <v>-0.8488203174413823</v>
      </c>
    </row>
    <row r="18" spans="1:7" s="13" customFormat="1" ht="15.75">
      <c r="A18" s="33" t="s">
        <v>48</v>
      </c>
      <c r="B18" s="43">
        <f>IF(20106.75285="","-",20106.75285)</f>
        <v>20106.75285</v>
      </c>
      <c r="C18" s="43">
        <f>IF(OR(18351.10061="",20106.75285=""),"-",20106.75285/18351.10061*100)</f>
        <v>109.5670133214969</v>
      </c>
      <c r="D18" s="43">
        <f>IF(18351.10061="","-",18351.10061/1533630.30697*100)</f>
        <v>1.1965791577408476</v>
      </c>
      <c r="E18" s="43">
        <f>IF(20106.75285="","-",20106.75285/1581580.75115*100)</f>
        <v>1.2713073825272574</v>
      </c>
      <c r="F18" s="43">
        <f>IF(OR(1219791.03674="",11578.77861="",18351.10061=""),"-",(18351.10061-11578.77861)/1219791.03674*100)</f>
        <v>0.5552034566592353</v>
      </c>
      <c r="G18" s="43">
        <f>IF(OR(1533630.30697="",20106.75285="",18351.10061=""),"-",(20106.75285-18351.10061)/1533630.30697*100)</f>
        <v>0.11447688742332232</v>
      </c>
    </row>
    <row r="19" spans="1:7" s="13" customFormat="1" ht="15.75">
      <c r="A19" s="33" t="s">
        <v>8</v>
      </c>
      <c r="B19" s="43">
        <f>IF(17256.46255="","-",17256.46255)</f>
        <v>17256.46255</v>
      </c>
      <c r="C19" s="43">
        <f>IF(OR(24792.5254="",17256.46255=""),"-",17256.46255/24792.5254*100)</f>
        <v>69.60348843688188</v>
      </c>
      <c r="D19" s="43">
        <f>IF(24792.5254="","-",24792.5254/1533630.30697*100)</f>
        <v>1.6165907316335382</v>
      </c>
      <c r="E19" s="43">
        <f>IF(17256.46255="","-",17256.46255/1581580.75115*100)</f>
        <v>1.0910895657684547</v>
      </c>
      <c r="F19" s="43">
        <f>IF(OR(1219791.03674="",17924.8812="",24792.5254=""),"-",(24792.5254-17924.8812)/1219791.03674*100)</f>
        <v>0.5630180902422754</v>
      </c>
      <c r="G19" s="43">
        <f>IF(OR(1533630.30697="",17256.46255="",24792.5254=""),"-",(17256.46255-24792.5254)/1533630.30697*100)</f>
        <v>-0.4913871886692843</v>
      </c>
    </row>
    <row r="20" spans="1:7" s="15" customFormat="1" ht="15.75">
      <c r="A20" s="33" t="s">
        <v>9</v>
      </c>
      <c r="B20" s="43">
        <f>IF(15695.64628="","-",15695.64628)</f>
        <v>15695.64628</v>
      </c>
      <c r="C20" s="43">
        <f>IF(OR(21373.31453="",15695.64628=""),"-",15695.64628/21373.31453*100)</f>
        <v>73.43571469913704</v>
      </c>
      <c r="D20" s="43">
        <f>IF(21373.31453="","-",21373.31453/1533630.30697*100)</f>
        <v>1.3936418987589878</v>
      </c>
      <c r="E20" s="43">
        <f>IF(15695.64628="","-",15695.64628/1581580.75115*100)</f>
        <v>0.9924024599178621</v>
      </c>
      <c r="F20" s="43">
        <f>IF(OR(1219791.03674="",13064.41924="",21373.31453=""),"-",(21373.31453-13064.41924)/1219791.03674*100)</f>
        <v>0.6811736633355057</v>
      </c>
      <c r="G20" s="43">
        <f>IF(OR(1533630.30697="",15695.64628="",21373.31453=""),"-",(15695.64628-21373.31453)/1533630.30697*100)</f>
        <v>-0.37021101005870133</v>
      </c>
    </row>
    <row r="21" spans="1:7" s="13" customFormat="1" ht="15.75">
      <c r="A21" s="33" t="s">
        <v>49</v>
      </c>
      <c r="B21" s="43">
        <f>IF(9030.65262="","-",9030.65262)</f>
        <v>9030.65262</v>
      </c>
      <c r="C21" s="43">
        <f>IF(OR(9117.28618="",9030.65262=""),"-",9030.65262/9117.28618*100)</f>
        <v>99.0497878613261</v>
      </c>
      <c r="D21" s="43">
        <f>IF(9117.28618="","-",9117.28618/1533630.30697*100)</f>
        <v>0.5944904804348227</v>
      </c>
      <c r="E21" s="43">
        <f>IF(9030.65262="","-",9030.65262/1581580.75115*100)</f>
        <v>0.5709890319184542</v>
      </c>
      <c r="F21" s="43">
        <f>IF(OR(1219791.03674="",7146.6219="",9117.28618=""),"-",(9117.28618-7146.6219)/1219791.03674*100)</f>
        <v>0.16155753081009472</v>
      </c>
      <c r="G21" s="43">
        <f>IF(OR(1533630.30697="",9030.65262="",9117.28618=""),"-",(9030.65262-9117.28618)/1533630.30697*100)</f>
        <v>-0.005648920708352503</v>
      </c>
    </row>
    <row r="22" spans="1:7" s="13" customFormat="1" ht="15.75">
      <c r="A22" s="33" t="s">
        <v>55</v>
      </c>
      <c r="B22" s="43">
        <f>IF(7736.07946="","-",7736.07946)</f>
        <v>7736.07946</v>
      </c>
      <c r="C22" s="43" t="s">
        <v>115</v>
      </c>
      <c r="D22" s="43">
        <f>IF(4780.20398="","-",4780.20398/1533630.30697*100)</f>
        <v>0.3116920654394389</v>
      </c>
      <c r="E22" s="43">
        <f>IF(7736.07946="","-",7736.07946/1581580.75115*100)</f>
        <v>0.4891359138238713</v>
      </c>
      <c r="F22" s="43">
        <f>IF(OR(1219791.03674="",4831.00119="",4780.20398=""),"-",(4780.20398-4831.00119)/1219791.03674*100)</f>
        <v>-0.004164419025061849</v>
      </c>
      <c r="G22" s="43">
        <f>IF(OR(1533630.30697="",7736.07946="",4780.20398=""),"-",(7736.07946-4780.20398)/1533630.30697*100)</f>
        <v>0.19273715879023906</v>
      </c>
    </row>
    <row r="23" spans="1:7" s="13" customFormat="1" ht="15.75">
      <c r="A23" s="33" t="s">
        <v>52</v>
      </c>
      <c r="B23" s="43">
        <f>IF(6846.76332="","-",6846.76332)</f>
        <v>6846.76332</v>
      </c>
      <c r="C23" s="43">
        <f>IF(OR(12040.4375="",6846.76332=""),"-",6846.76332/12040.4375*100)</f>
        <v>56.864738677477455</v>
      </c>
      <c r="D23" s="43">
        <f>IF(12040.4375="","-",12040.4375/1533630.30697*100)</f>
        <v>0.7850938681427302</v>
      </c>
      <c r="E23" s="43">
        <f>IF(6846.76332="","-",6846.76332/1581580.75115*100)</f>
        <v>0.43290633848582044</v>
      </c>
      <c r="F23" s="43">
        <f>IF(OR(1219791.03674="",5074.92414="",12040.4375=""),"-",(12040.4375-5074.92414)/1219791.03674*100)</f>
        <v>0.5710415268024887</v>
      </c>
      <c r="G23" s="43">
        <f>IF(OR(1533630.30697="",6846.76332="",12040.4375=""),"-",(6846.76332-12040.4375)/1533630.30697*100)</f>
        <v>-0.3386522916504672</v>
      </c>
    </row>
    <row r="24" spans="1:7" s="13" customFormat="1" ht="15.75">
      <c r="A24" s="33" t="s">
        <v>51</v>
      </c>
      <c r="B24" s="43">
        <f>IF(4849.02136="","-",4849.02136)</f>
        <v>4849.02136</v>
      </c>
      <c r="C24" s="43">
        <f>IF(OR(6048.33101="",4849.02136=""),"-",4849.02136/6048.33101*100)</f>
        <v>80.17122991421728</v>
      </c>
      <c r="D24" s="43">
        <f>IF(6048.33101="","-",6048.33101/1533630.30697*100)</f>
        <v>0.3943799873093088</v>
      </c>
      <c r="E24" s="43">
        <f>IF(4849.02136="","-",4849.02136/1581580.75115*100)</f>
        <v>0.3065933469710084</v>
      </c>
      <c r="F24" s="43">
        <f>IF(OR(1219791.03674="",4891.48898="",6048.33101=""),"-",(6048.33101-4891.48898)/1219791.03674*100)</f>
        <v>0.09483936142798385</v>
      </c>
      <c r="G24" s="43">
        <f>IF(OR(1533630.30697="",4849.02136="",6048.33101=""),"-",(4849.02136-6048.33101)/1533630.30697*100)</f>
        <v>-0.07820070094790194</v>
      </c>
    </row>
    <row r="25" spans="1:9" s="13" customFormat="1" ht="15.75">
      <c r="A25" s="33" t="s">
        <v>50</v>
      </c>
      <c r="B25" s="43">
        <f>IF(4834.5906="","-",4834.5906)</f>
        <v>4834.5906</v>
      </c>
      <c r="C25" s="43">
        <f>IF(OR(4306.02613="",4834.5906=""),"-",4834.5906/4306.02613*100)</f>
        <v>112.2749944854608</v>
      </c>
      <c r="D25" s="43">
        <f>IF(4306.02613="","-",4306.02613/1533630.30697*100)</f>
        <v>0.2807734113254083</v>
      </c>
      <c r="E25" s="43">
        <f>IF(4834.5906="","-",4834.5906/1581580.75115*100)</f>
        <v>0.3056809205906603</v>
      </c>
      <c r="F25" s="43">
        <f>IF(OR(1219791.03674="",4615.84547="",4306.02613=""),"-",(4306.02613-4615.84547)/1219791.03674*100)</f>
        <v>-0.025399378308929025</v>
      </c>
      <c r="G25" s="43">
        <f>IF(OR(1533630.30697="",4834.5906="",4306.02613=""),"-",(4834.5906-4306.02613)/1533630.30697*100)</f>
        <v>0.03446492075683398</v>
      </c>
      <c r="I25" s="13" t="s">
        <v>141</v>
      </c>
    </row>
    <row r="26" spans="1:7" s="13" customFormat="1" ht="15.75">
      <c r="A26" s="33" t="s">
        <v>53</v>
      </c>
      <c r="B26" s="43">
        <f>IF(4583.16736="","-",4583.16736)</f>
        <v>4583.16736</v>
      </c>
      <c r="C26" s="43">
        <f>IF(OR(3535.73831="",4583.16736=""),"-",4583.16736/3535.73831*100)</f>
        <v>129.6240546716253</v>
      </c>
      <c r="D26" s="43">
        <f>IF(3535.73831="","-",3535.73831/1533630.30697*100)</f>
        <v>0.23054697692989476</v>
      </c>
      <c r="E26" s="43">
        <f>IF(4583.16736="","-",4583.16736/1581580.75115*100)</f>
        <v>0.28978396181589117</v>
      </c>
      <c r="F26" s="43">
        <f>IF(OR(1219791.03674="",2595.08388="",3535.73831=""),"-",(3535.73831-2595.08388)/1219791.03674*100)</f>
        <v>0.07711603066980904</v>
      </c>
      <c r="G26" s="43">
        <f>IF(OR(1533630.30697="",4583.16736="",3535.73831=""),"-",(4583.16736-3535.73831)/1533630.30697*100)</f>
        <v>0.06829736248949138</v>
      </c>
    </row>
    <row r="27" spans="1:7" s="9" customFormat="1" ht="15.75">
      <c r="A27" s="33" t="s">
        <v>54</v>
      </c>
      <c r="B27" s="43">
        <f>IF(2086.94166="","-",2086.94166)</f>
        <v>2086.94166</v>
      </c>
      <c r="C27" s="43">
        <f>IF(OR(1971.99155="",2086.94166=""),"-",2086.94166/1971.99155*100)</f>
        <v>105.82913806096177</v>
      </c>
      <c r="D27" s="43">
        <f>IF(1971.99155="","-",1971.99155/1533630.30697*100)</f>
        <v>0.12858324076133262</v>
      </c>
      <c r="E27" s="43">
        <f>IF(2086.94166="","-",2086.94166/1581580.75115*100)</f>
        <v>0.1319528995584033</v>
      </c>
      <c r="F27" s="43">
        <f>IF(OR(1219791.03674="",1804.41385="",1971.99155=""),"-",(1971.99155-1804.41385)/1219791.03674*100)</f>
        <v>0.013738230151933756</v>
      </c>
      <c r="G27" s="43">
        <f>IF(OR(1533630.30697="",2086.94166="",1971.99155=""),"-",(2086.94166-1971.99155)/1533630.30697*100)</f>
        <v>0.007495294627236953</v>
      </c>
    </row>
    <row r="28" spans="1:7" s="9" customFormat="1" ht="15.75">
      <c r="A28" s="33" t="s">
        <v>57</v>
      </c>
      <c r="B28" s="43">
        <f>IF(610.70413="","-",610.70413)</f>
        <v>610.70413</v>
      </c>
      <c r="C28" s="43" t="s">
        <v>261</v>
      </c>
      <c r="D28" s="43">
        <f>IF(134.21912="","-",134.21912/1533630.30697*100)</f>
        <v>0.008751725848791898</v>
      </c>
      <c r="E28" s="43">
        <f>IF(610.70413="","-",610.70413/1581580.75115*100)</f>
        <v>0.03861352824103002</v>
      </c>
      <c r="F28" s="43">
        <f>IF(OR(1219791.03674="",76.3035="",134.21912=""),"-",(134.21912-76.3035)/1219791.03674*100)</f>
        <v>0.004747995210293121</v>
      </c>
      <c r="G28" s="43">
        <f>IF(OR(1533630.30697="",610.70413="",134.21912=""),"-",(610.70413-134.21912)/1533630.30697*100)</f>
        <v>0.03106909193398724</v>
      </c>
    </row>
    <row r="29" spans="1:7" s="13" customFormat="1" ht="15.75">
      <c r="A29" s="33" t="s">
        <v>58</v>
      </c>
      <c r="B29" s="43">
        <f>IF(499.63612="","-",499.63612)</f>
        <v>499.63612</v>
      </c>
      <c r="C29" s="43">
        <f>IF(OR(622.48584="",499.63612=""),"-",499.63612/622.48584*100)</f>
        <v>80.26465630125819</v>
      </c>
      <c r="D29" s="43">
        <f>IF(622.48584="","-",622.48584/1533630.30697*100)</f>
        <v>0.040589041385720136</v>
      </c>
      <c r="E29" s="43">
        <f>IF(499.63612="","-",499.63612/1581580.75115*100)</f>
        <v>0.031590933288528224</v>
      </c>
      <c r="F29" s="43">
        <f>IF(OR(1219791.03674="",875.22353="",622.48584=""),"-",(622.48584-875.22353)/1219791.03674*100)</f>
        <v>-0.020719753005847944</v>
      </c>
      <c r="G29" s="43">
        <f>IF(OR(1533630.30697="",499.63612="",622.48584=""),"-",(499.63612-622.48584)/1533630.30697*100)</f>
        <v>-0.008010386821496426</v>
      </c>
    </row>
    <row r="30" spans="1:7" s="13" customFormat="1" ht="15.75">
      <c r="A30" s="33" t="s">
        <v>56</v>
      </c>
      <c r="B30" s="43">
        <f>IF(468.40414="","-",468.40414)</f>
        <v>468.40414</v>
      </c>
      <c r="C30" s="43">
        <f>IF(OR(1260.9765="",468.40414=""),"-",468.40414/1260.9765*100)</f>
        <v>37.146143484831</v>
      </c>
      <c r="D30" s="43">
        <f>IF(1260.9765="","-",1260.9765/1533630.30697*100)</f>
        <v>0.08222167325913875</v>
      </c>
      <c r="E30" s="43">
        <f>IF(468.40414="","-",468.40414/1581580.75115*100)</f>
        <v>0.02961620136432577</v>
      </c>
      <c r="F30" s="43">
        <f>IF(OR(1219791.03674="",1059.94841="",1260.9765=""),"-",(1260.9765-1059.94841)/1219791.03674*100)</f>
        <v>0.016480535103558843</v>
      </c>
      <c r="G30" s="43">
        <f>IF(OR(1533630.30697="",468.40414="",1260.9765=""),"-",(468.40414-1260.9765)/1533630.30697*100)</f>
        <v>-0.05167949253467015</v>
      </c>
    </row>
    <row r="31" spans="1:7" s="9" customFormat="1" ht="15.75">
      <c r="A31" s="33" t="s">
        <v>63</v>
      </c>
      <c r="B31" s="43">
        <f>IF(461.08919="","-",461.08919)</f>
        <v>461.08919</v>
      </c>
      <c r="C31" s="43">
        <f>IF(OR(573.68424="",461.08919=""),"-",461.08919/573.68424*100)</f>
        <v>80.37334091659899</v>
      </c>
      <c r="D31" s="43">
        <f>IF(573.68424="","-",573.68424/1533630.30697*100)</f>
        <v>0.03740694464583388</v>
      </c>
      <c r="E31" s="43">
        <f>IF(461.08919="","-",461.08919/1581580.75115*100)</f>
        <v>0.029153692574010688</v>
      </c>
      <c r="F31" s="43">
        <f>IF(OR(1219791.03674="",15.78333="",573.68424=""),"-",(573.68424-15.78333)/1219791.03674*100)</f>
        <v>0.045737416753859735</v>
      </c>
      <c r="G31" s="43">
        <f>IF(OR(1533630.30697="",461.08919="",573.68424=""),"-",(461.08919-573.68424)/1533630.30697*100)</f>
        <v>-0.0073417334991543425</v>
      </c>
    </row>
    <row r="32" spans="1:7" s="9" customFormat="1" ht="15.75">
      <c r="A32" s="33" t="s">
        <v>170</v>
      </c>
      <c r="B32" s="43">
        <f>IF(363.03501="","-",363.03501)</f>
        <v>363.03501</v>
      </c>
      <c r="C32" s="43">
        <f>IF(OR(437.83025="",363.03501=""),"-",363.03501/437.83025*100)</f>
        <v>82.91684048783748</v>
      </c>
      <c r="D32" s="43">
        <f>IF(437.83025="","-",437.83025/1533630.30697*100)</f>
        <v>0.028548617486897677</v>
      </c>
      <c r="E32" s="43">
        <f>IF(363.03501="","-",363.03501/1581580.75115*100)</f>
        <v>0.02295393452000663</v>
      </c>
      <c r="F32" s="43">
        <f>IF(OR(1219791.03674="",210.52149="",437.83025=""),"-",(437.83025-210.52149)/1219791.03674*100)</f>
        <v>0.018635057411759876</v>
      </c>
      <c r="G32" s="43">
        <f>IF(OR(1533630.30697="",363.03501="",437.83025=""),"-",(363.03501-437.83025)/1533630.30697*100)</f>
        <v>-0.004877005863803856</v>
      </c>
    </row>
    <row r="33" spans="1:7" s="9" customFormat="1" ht="15.75">
      <c r="A33" s="33" t="s">
        <v>59</v>
      </c>
      <c r="B33" s="43">
        <f>IF(78.03909="","-",78.03909)</f>
        <v>78.03909</v>
      </c>
      <c r="C33" s="43">
        <f>IF(OR(9328.23862="",78.03909=""),"-",78.03909/9328.23862*100)</f>
        <v>0.8365897698273074</v>
      </c>
      <c r="D33" s="43">
        <f>IF(9328.23862="","-",9328.23862/1533630.30697*100)</f>
        <v>0.6082455841936145</v>
      </c>
      <c r="E33" s="43">
        <f>IF(78.03909="","-",78.03909/1581580.75115*100)</f>
        <v>0.004934246319276216</v>
      </c>
      <c r="F33" s="43">
        <f>IF(OR(1219791.03674="",66.77642="",9328.23862=""),"-",(9328.23862-66.77642)/1219791.03674*100)</f>
        <v>0.759266294065587</v>
      </c>
      <c r="G33" s="43">
        <f>IF(OR(1533630.30697="",78.03909="",9328.23862=""),"-",(78.03909-9328.23862)/1533630.30697*100)</f>
        <v>-0.6031570638608243</v>
      </c>
    </row>
    <row r="34" spans="1:7" s="9" customFormat="1" ht="15.75">
      <c r="A34" s="33" t="s">
        <v>62</v>
      </c>
      <c r="B34" s="43">
        <f>IF(61.68467="","-",61.68467)</f>
        <v>61.68467</v>
      </c>
      <c r="C34" s="43" t="s">
        <v>232</v>
      </c>
      <c r="D34" s="43">
        <f>IF(27.75621="","-",27.75621/1533630.30697*100)</f>
        <v>0.0018098370822390737</v>
      </c>
      <c r="E34" s="43">
        <f>IF(61.68467="","-",61.68467/1581580.75115*100)</f>
        <v>0.0039001909927866667</v>
      </c>
      <c r="F34" s="43">
        <f>IF(OR(1219791.03674="",27.10437="",27.75621=""),"-",(27.75621-27.10437)/1219791.03674*100)</f>
        <v>5.343866124333069E-05</v>
      </c>
      <c r="G34" s="43">
        <f>IF(OR(1533630.30697="",61.68467="",27.75621=""),"-",(61.68467-27.75621)/1533630.30697*100)</f>
        <v>0.0022122971778663274</v>
      </c>
    </row>
    <row r="35" spans="1:7" s="9" customFormat="1" ht="15.75">
      <c r="A35" s="33" t="s">
        <v>60</v>
      </c>
      <c r="B35" s="43">
        <f>IF(43.03206="","-",43.03206)</f>
        <v>43.03206</v>
      </c>
      <c r="C35" s="43" t="s">
        <v>262</v>
      </c>
      <c r="D35" s="43">
        <f>IF(2.92765="","-",2.92765/1533630.30697*100)</f>
        <v>0.00019089672306907984</v>
      </c>
      <c r="E35" s="43">
        <f>IF(43.03206="","-",43.03206/1581580.75115*100)</f>
        <v>0.002720825981772382</v>
      </c>
      <c r="F35" s="43">
        <f>IF(OR(1219791.03674="",247.44813="",2.92765=""),"-",(2.92765-247.44813)/1219791.03674*100)</f>
        <v>-0.02004609581764945</v>
      </c>
      <c r="G35" s="43">
        <f>IF(OR(1533630.30697="",43.03206="",2.92765=""),"-",(43.03206-2.92765)/1533630.30697*100)</f>
        <v>0.002614998531115002</v>
      </c>
    </row>
    <row r="36" spans="1:7" s="9" customFormat="1" ht="15.75">
      <c r="A36" s="33" t="s">
        <v>61</v>
      </c>
      <c r="B36" s="43">
        <f>IF(15.55146="","-",15.55146)</f>
        <v>15.55146</v>
      </c>
      <c r="C36" s="43">
        <f>IF(OR(316.83077="",15.55146=""),"-",15.55146/316.83077*100)</f>
        <v>4.908443709555105</v>
      </c>
      <c r="D36" s="43">
        <f>IF(316.83077="","-",316.83077/1533630.30697*100)</f>
        <v>0.020658875125255178</v>
      </c>
      <c r="E36" s="43">
        <f>IF(15.55146="","-",15.55146/1581580.75115*100)</f>
        <v>0.0009832858669209406</v>
      </c>
      <c r="F36" s="43">
        <f>IF(OR(1219791.03674="",527.181="",316.83077=""),"-",(316.83077-527.181)/1219791.03674*100)</f>
        <v>-0.017244775839817598</v>
      </c>
      <c r="G36" s="43">
        <f>IF(OR(1533630.30697="",15.55146="",316.83077=""),"-",(15.55146-316.83077)/1533630.30697*100)</f>
        <v>-0.019644845868704748</v>
      </c>
    </row>
    <row r="37" spans="1:7" s="9" customFormat="1" ht="15.75">
      <c r="A37" s="25" t="s">
        <v>275</v>
      </c>
      <c r="B37" s="42">
        <f>IF(232937.39113="","-",232937.39113)</f>
        <v>232937.39113</v>
      </c>
      <c r="C37" s="42">
        <f>IF(245216.07228="","-",232937.39113/245216.07228*100)</f>
        <v>94.99270947624527</v>
      </c>
      <c r="D37" s="42">
        <f>IF(245216.07228="","-",245216.07228/1533630.30697*100)</f>
        <v>15.989255765587629</v>
      </c>
      <c r="E37" s="42">
        <f>IF(232937.39113="","-",232937.39113/1581580.75115*100)</f>
        <v>14.728137716687966</v>
      </c>
      <c r="F37" s="42">
        <f>IF(1219791.03674="","-",(245216.07228-255229.24124)/1219791.03674*100)</f>
        <v>-0.8208921576240711</v>
      </c>
      <c r="G37" s="42">
        <f>IF(1533630.30697="","-",(232937.39113-245216.07228)/1533630.30697*100)</f>
        <v>-0.8006284887691762</v>
      </c>
    </row>
    <row r="38" spans="1:7" s="9" customFormat="1" ht="15.75">
      <c r="A38" s="33" t="s">
        <v>171</v>
      </c>
      <c r="B38" s="43">
        <f>IF(132009.97552="","-",132009.97552)</f>
        <v>132009.97552</v>
      </c>
      <c r="C38" s="43">
        <f>IF(OR(127189.84941="",132009.97552=""),"-",132009.97552/127189.84941*100)</f>
        <v>103.78970973891337</v>
      </c>
      <c r="D38" s="43">
        <f>IF(127189.84941="","-",127189.84941/1533630.30697*100)</f>
        <v>8.293383929096285</v>
      </c>
      <c r="E38" s="43">
        <f>IF(132009.97552="","-",132009.97552/1581580.75115*100)</f>
        <v>8.346711062588035</v>
      </c>
      <c r="F38" s="43">
        <f>IF(OR(1219791.03674="",138309.15669="",127189.84941=""),"-",(127189.84941-138309.15669)/1219791.03674*100)</f>
        <v>-0.911574765274333</v>
      </c>
      <c r="G38" s="43">
        <f>IF(OR(1533630.30697="",132009.97552="",127189.84941=""),"-",(132009.97552-127189.84941)/1533630.30697*100)</f>
        <v>0.3142951784464377</v>
      </c>
    </row>
    <row r="39" spans="1:7" s="9" customFormat="1" ht="14.25" customHeight="1">
      <c r="A39" s="33" t="s">
        <v>11</v>
      </c>
      <c r="B39" s="43">
        <f>IF(47473.17532="","-",47473.17532)</f>
        <v>47473.17532</v>
      </c>
      <c r="C39" s="43">
        <f>IF(OR(55676.73866="",47473.17532=""),"-",47473.17532/55676.73866*100)</f>
        <v>85.2657257996081</v>
      </c>
      <c r="D39" s="43">
        <f>IF(55676.73866="","-",55676.73866/1533630.30697*100)</f>
        <v>3.6303885236853968</v>
      </c>
      <c r="E39" s="43">
        <f>IF(47473.17532="","-",47473.17532/1581580.75115*100)</f>
        <v>3.0016282940647376</v>
      </c>
      <c r="F39" s="43">
        <f>IF(OR(1219791.03674="",65073.82961="",55676.73866=""),"-",(55676.73866-65073.82961)/1219791.03674*100)</f>
        <v>-0.7703853092013662</v>
      </c>
      <c r="G39" s="43">
        <f>IF(OR(1533630.30697="",47473.17532="",55676.73866=""),"-",(47473.17532-55676.73866)/1533630.30697*100)</f>
        <v>-0.5349113996193656</v>
      </c>
    </row>
    <row r="40" spans="1:7" s="14" customFormat="1" ht="14.25" customHeight="1">
      <c r="A40" s="33" t="s">
        <v>12</v>
      </c>
      <c r="B40" s="43">
        <f>IF(42147.30199="","-",42147.30199)</f>
        <v>42147.30199</v>
      </c>
      <c r="C40" s="43">
        <f>IF(OR(47136.75271="",42147.30199=""),"-",42147.30199/47136.75271*100)</f>
        <v>89.41494601739612</v>
      </c>
      <c r="D40" s="43">
        <f>IF(47136.75271="","-",47136.75271/1533630.30697*100)</f>
        <v>3.0735407676657283</v>
      </c>
      <c r="E40" s="43">
        <f>IF(42147.30199="","-",42147.30199/1581580.75115*100)</f>
        <v>2.664884607336921</v>
      </c>
      <c r="F40" s="43">
        <f>IF(OR(1219791.03674="",35252.44681="",47136.75271=""),"-",(47136.75271-35252.44681)/1219791.03674*100)</f>
        <v>0.9742903121965762</v>
      </c>
      <c r="G40" s="43">
        <f>IF(OR(1533630.30697="",42147.30199="",47136.75271=""),"-",(42147.30199-47136.75271)/1533630.30697*100)</f>
        <v>-0.32533594943475524</v>
      </c>
    </row>
    <row r="41" spans="1:7" s="14" customFormat="1" ht="14.25" customHeight="1">
      <c r="A41" s="33" t="s">
        <v>13</v>
      </c>
      <c r="B41" s="43">
        <f>IF(5003.31426="","-",5003.31426)</f>
        <v>5003.31426</v>
      </c>
      <c r="C41" s="43">
        <f>IF(OR(9013.56984="",5003.31426=""),"-",5003.31426/9013.56984*100)</f>
        <v>55.50868688892302</v>
      </c>
      <c r="D41" s="43">
        <f>IF(9013.56984="","-",9013.56984/1533630.30697*100)</f>
        <v>0.587727681112937</v>
      </c>
      <c r="E41" s="43">
        <f>IF(5003.31426="","-",5003.31426/1581580.75115*100)</f>
        <v>0.31634896013763364</v>
      </c>
      <c r="F41" s="43">
        <f>IF(OR(1219791.03674="",8648.02873="",9013.56984=""),"-",(9013.56984-8648.02873)/1219791.03674*100)</f>
        <v>0.029967518942993817</v>
      </c>
      <c r="G41" s="43">
        <f>IF(OR(1533630.30697="",5003.31426="",9013.56984=""),"-",(5003.31426-9013.56984)/1533630.30697*100)</f>
        <v>-0.2614877628444289</v>
      </c>
    </row>
    <row r="42" spans="1:7" s="14" customFormat="1" ht="14.25" customHeight="1">
      <c r="A42" s="33" t="s">
        <v>14</v>
      </c>
      <c r="B42" s="43">
        <f>IF(2787.08452="","-",2787.08452)</f>
        <v>2787.08452</v>
      </c>
      <c r="C42" s="43">
        <f>IF(OR(2501.17716="",2787.08452=""),"-",2787.08452/2501.17716*100)</f>
        <v>111.43091199505434</v>
      </c>
      <c r="D42" s="43">
        <f>IF(2501.17716="","-",2501.17716/1533630.30697*100)</f>
        <v>0.16308866280437473</v>
      </c>
      <c r="E42" s="43">
        <f>IF(2787.08452="","-",2787.08452/1581580.75115*100)</f>
        <v>0.17622144920349173</v>
      </c>
      <c r="F42" s="43">
        <f>IF(OR(1219791.03674="",2736.45376="",2501.17716=""),"-",(2501.17716-2736.45376)/1219791.03674*100)</f>
        <v>-0.01928827093440507</v>
      </c>
      <c r="G42" s="43">
        <f>IF(OR(1533630.30697="",2787.08452="",2501.17716=""),"-",(2787.08452-2501.17716)/1533630.30697*100)</f>
        <v>0.018642521519079008</v>
      </c>
    </row>
    <row r="43" spans="1:7" s="14" customFormat="1" ht="14.25" customHeight="1">
      <c r="A43" s="33" t="s">
        <v>15</v>
      </c>
      <c r="B43" s="43">
        <f>IF(1343.83929="","-",1343.83929)</f>
        <v>1343.83929</v>
      </c>
      <c r="C43" s="43">
        <f>IF(OR(1566.63354="",1343.83929=""),"-",1343.83929/1566.63354*100)</f>
        <v>85.77878972257928</v>
      </c>
      <c r="D43" s="43">
        <f>IF(1566.63354="","-",1566.63354/1533630.30697*100)</f>
        <v>0.10215196797298592</v>
      </c>
      <c r="E43" s="43">
        <f>IF(1343.83929="","-",1343.83929/1581580.75115*100)</f>
        <v>0.08496811111433081</v>
      </c>
      <c r="F43" s="43">
        <f>IF(OR(1219791.03674="",3390.15549="",1566.63354=""),"-",(1566.63354-3390.15549)/1219791.03674*100)</f>
        <v>-0.1494946179366529</v>
      </c>
      <c r="G43" s="43">
        <f>IF(OR(1533630.30697="",1343.83929="",1566.63354=""),"-",(1343.83929-1566.63354)/1533630.30697*100)</f>
        <v>-0.014527246167961801</v>
      </c>
    </row>
    <row r="44" spans="1:7" s="12" customFormat="1" ht="14.25" customHeight="1">
      <c r="A44" s="33" t="s">
        <v>17</v>
      </c>
      <c r="B44" s="43">
        <f>IF(1116.64305="","-",1116.64305)</f>
        <v>1116.64305</v>
      </c>
      <c r="C44" s="43">
        <f>IF(OR(1070.32681="",1116.64305=""),"-",1116.64305/1070.32681*100)</f>
        <v>104.32729887425691</v>
      </c>
      <c r="D44" s="43">
        <f>IF(1070.32681="","-",1070.32681/1533630.30697*100)</f>
        <v>0.0697904054931367</v>
      </c>
      <c r="E44" s="43">
        <f>IF(1116.64305="","-",1116.64305/1581580.75115*100)</f>
        <v>0.07060297421981557</v>
      </c>
      <c r="F44" s="43">
        <f>IF(OR(1219791.03674="",524.2461="",1070.32681=""),"-",(1070.32681-524.2461)/1219791.03674*100)</f>
        <v>0.0447683819237965</v>
      </c>
      <c r="G44" s="43">
        <f>IF(OR(1533630.30697="",1116.64305="",1070.32681=""),"-",(1116.64305-1070.32681)/1533630.30697*100)</f>
        <v>0.0030200394312438353</v>
      </c>
    </row>
    <row r="45" spans="1:7" s="14" customFormat="1" ht="14.25" customHeight="1">
      <c r="A45" s="33" t="s">
        <v>147</v>
      </c>
      <c r="B45" s="43">
        <f>IF(603.57396="","-",603.57396)</f>
        <v>603.57396</v>
      </c>
      <c r="C45" s="43">
        <f>IF(OR(609.52505="",603.57396=""),"-",603.57396/609.52505*100)</f>
        <v>99.02365128389721</v>
      </c>
      <c r="D45" s="43">
        <f>IF(609.52505="","-",609.52505/1533630.30697*100)</f>
        <v>0.03974393615135587</v>
      </c>
      <c r="E45" s="43">
        <f>IF(603.57396="","-",603.57396/1581580.75115*100)</f>
        <v>0.038162702698621556</v>
      </c>
      <c r="F45" s="43">
        <f>IF(OR(1219791.03674="",531.21992="",609.52505=""),"-",(609.52505-531.21992)/1219791.03674*100)</f>
        <v>0.006419552828431777</v>
      </c>
      <c r="G45" s="43">
        <f>IF(OR(1533630.30697="",603.57396="",609.52505=""),"-",(603.57396-609.52505)/1533630.30697*100)</f>
        <v>-0.0003880394103424771</v>
      </c>
    </row>
    <row r="46" spans="1:7" s="12" customFormat="1" ht="14.25" customHeight="1">
      <c r="A46" s="33" t="s">
        <v>16</v>
      </c>
      <c r="B46" s="43">
        <f>IF(334.95943="","-",334.95943)</f>
        <v>334.95943</v>
      </c>
      <c r="C46" s="43" t="s">
        <v>115</v>
      </c>
      <c r="D46" s="43">
        <f>IF(213.28975="","-",213.28975/1533630.30697*100)</f>
        <v>0.01390750750233917</v>
      </c>
      <c r="E46" s="43">
        <f>IF(334.95943="","-",334.95943/1581580.75115*100)</f>
        <v>0.021178775080339347</v>
      </c>
      <c r="F46" s="43">
        <f>IF(OR(1219791.03674="",467.20791="",213.28975=""),"-",(213.28975-467.20791)/1219791.03674*100)</f>
        <v>-0.020816529417909062</v>
      </c>
      <c r="G46" s="43">
        <f>IF(OR(1533630.30697="",334.95943="",213.28975=""),"-",(334.95943-213.28975)/1533630.30697*100)</f>
        <v>0.007933442593501122</v>
      </c>
    </row>
    <row r="47" spans="1:7" s="12" customFormat="1" ht="14.25" customHeight="1">
      <c r="A47" s="33" t="s">
        <v>18</v>
      </c>
      <c r="B47" s="43">
        <f>IF(117.52379="","-",117.52379)</f>
        <v>117.52379</v>
      </c>
      <c r="C47" s="43">
        <f>IF(OR(238.20935="",117.52379=""),"-",117.52379/238.20935*100)</f>
        <v>49.3363463692756</v>
      </c>
      <c r="D47" s="43">
        <f>IF(238.20935="","-",238.20935/1533630.30697*100)</f>
        <v>0.015532384103091393</v>
      </c>
      <c r="E47" s="43">
        <f>IF(117.52379="","-",117.52379/1581580.75115*100)</f>
        <v>0.007430780244040403</v>
      </c>
      <c r="F47" s="43">
        <f>IF(OR(1219791.03674="",296.49622="",238.20935=""),"-",(238.20935-296.49622)/1219791.03674*100)</f>
        <v>-0.004778430751202832</v>
      </c>
      <c r="G47" s="43">
        <f>IF(OR(1533630.30697="",117.52379="",238.20935=""),"-",(117.52379-238.20935)/1533630.30697*100)</f>
        <v>-0.007869273282583923</v>
      </c>
    </row>
    <row r="48" spans="1:7" s="12" customFormat="1" ht="14.25" customHeight="1">
      <c r="A48" s="25" t="s">
        <v>236</v>
      </c>
      <c r="B48" s="42">
        <f>IF(314607.1619="","-",314607.1619)</f>
        <v>314607.1619</v>
      </c>
      <c r="C48" s="42">
        <f>IF(235103.48576="","-",314607.1619/235103.48576*100)</f>
        <v>133.81645996570185</v>
      </c>
      <c r="D48" s="42">
        <f>IF(235103.48576="","-",235103.48576/1533630.30697*100)</f>
        <v>15.329866962820718</v>
      </c>
      <c r="E48" s="42">
        <f>IF(314607.1619="","-",314607.1619/1581580.75115*100)</f>
        <v>19.891944288727757</v>
      </c>
      <c r="F48" s="42">
        <f>IF(1219791.03674="","-",(235103.48576-186340.07428)/1219791.03674*100)</f>
        <v>3.9976856700246435</v>
      </c>
      <c r="G48" s="42">
        <f>IF(1533630.30697="","-",(314607.1619-235103.48576)/1533630.30697*100)</f>
        <v>5.184018324277625</v>
      </c>
    </row>
    <row r="49" spans="1:7" s="12" customFormat="1" ht="14.25" customHeight="1">
      <c r="A49" s="33" t="s">
        <v>64</v>
      </c>
      <c r="B49" s="43">
        <f>IF(125376.13988="","-",125376.13988)</f>
        <v>125376.13988</v>
      </c>
      <c r="C49" s="43" t="s">
        <v>179</v>
      </c>
      <c r="D49" s="43">
        <f>IF(54692.91641="","-",54692.91641/1533630.30697*100)</f>
        <v>3.5662386274862437</v>
      </c>
      <c r="E49" s="43">
        <f>IF(125376.13988="","-",125376.13988/1581580.75115*100)</f>
        <v>7.92726769017873</v>
      </c>
      <c r="F49" s="43">
        <f>IF(OR(1219791.03674="",54968.7025="",54692.91641=""),"-",(54692.91641-54968.7025)/1219791.03674*100)</f>
        <v>-0.022609289763028943</v>
      </c>
      <c r="G49" s="43">
        <f>IF(OR(1533630.30697="",125376.13988="",54692.91641=""),"-",(125376.13988-54692.91641)/1533630.30697*100)</f>
        <v>4.608882802378178</v>
      </c>
    </row>
    <row r="50" spans="1:7" s="12" customFormat="1" ht="14.25" customHeight="1">
      <c r="A50" s="33" t="s">
        <v>173</v>
      </c>
      <c r="B50" s="43">
        <f>IF(44058.69382="","-",44058.69382)</f>
        <v>44058.69382</v>
      </c>
      <c r="C50" s="43">
        <f>IF(OR(30133.14568="",44058.69382=""),"-",44058.69382/30133.14568*100)</f>
        <v>146.2133900253324</v>
      </c>
      <c r="D50" s="43">
        <f>IF(30133.14568="","-",30133.14568/1533630.30697*100)</f>
        <v>1.9648246088416306</v>
      </c>
      <c r="E50" s="43">
        <f>IF(44058.69382="","-",44058.69382/1581580.75115*100)</f>
        <v>2.7857378630818577</v>
      </c>
      <c r="F50" s="43">
        <f>IF(OR(1219791.03674="",14603.71641="",30133.14568=""),"-",(30133.14568-14603.71641)/1219791.03674*100)</f>
        <v>1.2731221006102638</v>
      </c>
      <c r="G50" s="43">
        <f>IF(OR(1533630.30697="",44058.69382="",30133.14568=""),"-",(44058.69382-30133.14568)/1533630.30697*100)</f>
        <v>0.9080120597976943</v>
      </c>
    </row>
    <row r="51" spans="1:7" s="9" customFormat="1" ht="15.75">
      <c r="A51" s="33" t="s">
        <v>19</v>
      </c>
      <c r="B51" s="43">
        <f>IF(12848.11919="","-",12848.11919)</f>
        <v>12848.11919</v>
      </c>
      <c r="C51" s="43">
        <f>IF(OR(12953.4273="",12848.11919=""),"-",12848.11919/12953.4273*100)</f>
        <v>99.18702512037105</v>
      </c>
      <c r="D51" s="43">
        <f>IF(12953.4273="","-",12953.4273/1533630.30697*100)</f>
        <v>0.8446251512590504</v>
      </c>
      <c r="E51" s="43">
        <f>IF(12848.11919="","-",12848.11919/1581580.75115*100)</f>
        <v>0.8123593550729464</v>
      </c>
      <c r="F51" s="43">
        <f>IF(OR(1219791.03674="",10065.45265="",12953.4273=""),"-",(12953.4273-10065.45265)/1219791.03674*100)</f>
        <v>0.23675978614487686</v>
      </c>
      <c r="G51" s="43">
        <f>IF(OR(1533630.30697="",12848.11919="",12953.4273=""),"-",(12848.11919-12953.4273)/1533630.30697*100)</f>
        <v>-0.006866590306764191</v>
      </c>
    </row>
    <row r="52" spans="1:7" s="9" customFormat="1" ht="15.75">
      <c r="A52" s="33" t="s">
        <v>66</v>
      </c>
      <c r="B52" s="43">
        <f>IF(11738.88381="","-",11738.88381)</f>
        <v>11738.88381</v>
      </c>
      <c r="C52" s="43">
        <f>IF(OR(12263.41155="",11738.88381=""),"-",11738.88381/12263.41155*100)</f>
        <v>95.72282363792968</v>
      </c>
      <c r="D52" s="43">
        <f>IF(12263.41155="","-",12263.41155/1533630.30697*100)</f>
        <v>0.7996328381269978</v>
      </c>
      <c r="E52" s="43">
        <f>IF(11738.88381="","-",11738.88381/1581580.75115*100)</f>
        <v>0.7422247521326</v>
      </c>
      <c r="F52" s="43">
        <f>IF(OR(1219791.03674="",10238.62139="",12263.41155=""),"-",(12263.41155-10238.62139)/1219791.03674*100)</f>
        <v>0.16599483837915652</v>
      </c>
      <c r="G52" s="43">
        <f>IF(OR(1533630.30697="",11738.88381="",12263.41155=""),"-",(11738.88381-12263.41155)/1533630.30697*100)</f>
        <v>-0.03420170673571997</v>
      </c>
    </row>
    <row r="53" spans="1:7" s="9" customFormat="1" ht="15.75">
      <c r="A53" s="33" t="s">
        <v>67</v>
      </c>
      <c r="B53" s="43">
        <f>IF(9496.31009="","-",9496.31009)</f>
        <v>9496.31009</v>
      </c>
      <c r="C53" s="43">
        <f>IF(OR(9865.45329="",9496.31009=""),"-",9496.31009/9865.45329*100)</f>
        <v>96.25822362998589</v>
      </c>
      <c r="D53" s="43">
        <f>IF(9865.45329="","-",9865.45329/1533630.30697*100)</f>
        <v>0.6432745391874276</v>
      </c>
      <c r="E53" s="43">
        <f>IF(9496.31009="","-",9496.31009/1581580.75115*100)</f>
        <v>0.6004315671580498</v>
      </c>
      <c r="F53" s="43">
        <f>IF(OR(1219791.03674="",7576.24719="",9865.45329=""),"-",(9865.45329-7576.24719)/1219791.03674*100)</f>
        <v>0.1876719889759238</v>
      </c>
      <c r="G53" s="43">
        <f>IF(OR(1533630.30697="",9496.31009="",9865.45329=""),"-",(9496.31009-9865.45329)/1533630.30697*100)</f>
        <v>-0.02406989470163226</v>
      </c>
    </row>
    <row r="54" spans="1:7" s="13" customFormat="1" ht="15.75">
      <c r="A54" s="33" t="s">
        <v>148</v>
      </c>
      <c r="B54" s="43">
        <f>IF(8945.0687="","-",8945.0687)</f>
        <v>8945.0687</v>
      </c>
      <c r="C54" s="43" t="s">
        <v>263</v>
      </c>
      <c r="D54" s="43">
        <f>IF(1814.36371="","-",1814.36371/1533630.30697*100)</f>
        <v>0.1183051548834247</v>
      </c>
      <c r="E54" s="43">
        <f>IF(8945.0687="","-",8945.0687/1581580.75115*100)</f>
        <v>0.5655777419835096</v>
      </c>
      <c r="F54" s="43">
        <f>IF(OR(1219791.03674="",3580.22734="",1814.36371=""),"-",(1814.36371-3580.22734)/1219791.03674*100)</f>
        <v>-0.14476771650326498</v>
      </c>
      <c r="G54" s="43">
        <f>IF(OR(1533630.30697="",8945.0687="",1814.36371=""),"-",(8945.0687-1814.36371)/1533630.30697*100)</f>
        <v>0.46495592566165206</v>
      </c>
    </row>
    <row r="55" spans="1:7" s="15" customFormat="1" ht="15.75">
      <c r="A55" s="33" t="s">
        <v>68</v>
      </c>
      <c r="B55" s="43">
        <f>IF(8433.15779="","-",8433.15779)</f>
        <v>8433.15779</v>
      </c>
      <c r="C55" s="43">
        <f>IF(OR(10053.30492="",8433.15779=""),"-",8433.15779/10053.30492*100)</f>
        <v>83.8844326030847</v>
      </c>
      <c r="D55" s="43">
        <f>IF(10053.30492="","-",10053.30492/1533630.30697*100)</f>
        <v>0.6555233601155391</v>
      </c>
      <c r="E55" s="43">
        <f>IF(8433.15779="","-",8433.15779/1581580.75115*100)</f>
        <v>0.5332106997298796</v>
      </c>
      <c r="F55" s="43">
        <f>IF(OR(1219791.03674="",5453.6699="",10053.30492=""),"-",(10053.30492-5453.6699)/1219791.03674*100)</f>
        <v>0.37708385136957023</v>
      </c>
      <c r="G55" s="43">
        <f>IF(OR(1533630.30697="",8433.15779="",10053.30492=""),"-",(8433.15779-10053.30492)/1533630.30697*100)</f>
        <v>-0.10564130890194344</v>
      </c>
    </row>
    <row r="56" spans="1:7" s="9" customFormat="1" ht="15.75">
      <c r="A56" s="33" t="s">
        <v>73</v>
      </c>
      <c r="B56" s="43">
        <f>IF(6637.93526="","-",6637.93526)</f>
        <v>6637.93526</v>
      </c>
      <c r="C56" s="43" t="s">
        <v>179</v>
      </c>
      <c r="D56" s="43">
        <f>IF(2852.64542="","-",2852.64542/1533630.30697*100)</f>
        <v>0.18600606724028448</v>
      </c>
      <c r="E56" s="43">
        <f>IF(6637.93526="","-",6637.93526/1581580.75115*100)</f>
        <v>0.4197025826960413</v>
      </c>
      <c r="F56" s="43">
        <f>IF(OR(1219791.03674="",1974.39333="",2852.64542=""),"-",(2852.64542-1974.39333)/1219791.03674*100)</f>
        <v>0.07200020852319153</v>
      </c>
      <c r="G56" s="43">
        <f>IF(OR(1533630.30697="",6637.93526="",2852.64542=""),"-",(6637.93526-2852.64542)/1533630.30697*100)</f>
        <v>0.24681892518664514</v>
      </c>
    </row>
    <row r="57" spans="1:7" s="15" customFormat="1" ht="15.75">
      <c r="A57" s="33" t="s">
        <v>65</v>
      </c>
      <c r="B57" s="43">
        <f>IF(6626.62425="","-",6626.62425)</f>
        <v>6626.62425</v>
      </c>
      <c r="C57" s="43">
        <f>IF(OR(8267.47752="",6626.62425=""),"-",6626.62425/8267.47752*100)</f>
        <v>80.15291525098698</v>
      </c>
      <c r="D57" s="43">
        <f>IF(8267.47752="","-",8267.47752/1533630.30697*100)</f>
        <v>0.5390789085496159</v>
      </c>
      <c r="E57" s="43">
        <f>IF(6626.62425="","-",6626.62425/1581580.75115*100)</f>
        <v>0.41898741149837876</v>
      </c>
      <c r="F57" s="43">
        <f>IF(OR(1219791.03674="",10445.73782="",8267.47752=""),"-",(8267.47752-10445.73782)/1219791.03674*100)</f>
        <v>-0.17857651305764588</v>
      </c>
      <c r="G57" s="43">
        <f>IF(OR(1533630.30697="",6626.62425="",8267.47752=""),"-",(6626.62425-8267.47752)/1533630.30697*100)</f>
        <v>-0.10699144784389669</v>
      </c>
    </row>
    <row r="58" spans="1:7" s="13" customFormat="1" ht="15.75">
      <c r="A58" s="33" t="s">
        <v>74</v>
      </c>
      <c r="B58" s="43">
        <f>IF(5957.43511="","-",5957.43511)</f>
        <v>5957.43511</v>
      </c>
      <c r="C58" s="43">
        <f>IF(OR(15369.84138="",5957.43511=""),"-",5957.43511/15369.84138*100)</f>
        <v>38.76055037075471</v>
      </c>
      <c r="D58" s="43">
        <f>IF(15369.84138="","-",15369.84138/1533630.30697*100)</f>
        <v>1.0021868575593202</v>
      </c>
      <c r="E58" s="43">
        <f>IF(5957.43511="","-",5957.43511/1581580.75115*100)</f>
        <v>0.37667599998724227</v>
      </c>
      <c r="F58" s="43">
        <f>IF(OR(1219791.03674="",4198.30535="",15369.84138=""),"-",(15369.84138-4198.30535)/1219791.03674*100)</f>
        <v>0.9158565437451421</v>
      </c>
      <c r="G58" s="43">
        <f>IF(OR(1533630.30697="",5957.43511="",15369.84138=""),"-",(5957.43511-15369.84138)/1533630.30697*100)</f>
        <v>-0.6137337158259563</v>
      </c>
    </row>
    <row r="59" spans="1:7" s="9" customFormat="1" ht="15.75">
      <c r="A59" s="33" t="s">
        <v>76</v>
      </c>
      <c r="B59" s="43">
        <f>IF(5297.0952="","-",5297.0952)</f>
        <v>5297.0952</v>
      </c>
      <c r="C59" s="43" t="s">
        <v>232</v>
      </c>
      <c r="D59" s="43">
        <f>IF(2435.63705="","-",2435.63705/1533630.30697*100)</f>
        <v>0.15881513549455722</v>
      </c>
      <c r="E59" s="43">
        <f>IF(5297.0952="","-",5297.0952/1581580.75115*100)</f>
        <v>0.33492410654014176</v>
      </c>
      <c r="F59" s="43">
        <f>IF(OR(1219791.03674="",2851.53314="",2435.63705=""),"-",(2435.63705-2851.53314)/1219791.03674*100)</f>
        <v>-0.03409568339766781</v>
      </c>
      <c r="G59" s="43">
        <f>IF(OR(1533630.30697="",5297.0952="",2435.63705=""),"-",(5297.0952-2435.63705)/1533630.30697*100)</f>
        <v>0.18658069920732037</v>
      </c>
    </row>
    <row r="60" spans="1:7" s="9" customFormat="1" ht="15.75">
      <c r="A60" s="33" t="s">
        <v>70</v>
      </c>
      <c r="B60" s="43">
        <f>IF(4749.35576="","-",4749.35576)</f>
        <v>4749.35576</v>
      </c>
      <c r="C60" s="43" t="s">
        <v>235</v>
      </c>
      <c r="D60" s="43">
        <f>IF(1957.46614="","-",1957.46614/1533630.30697*100)</f>
        <v>0.12763611485139298</v>
      </c>
      <c r="E60" s="43">
        <f>IF(4749.35576="","-",4749.35576/1581580.75115*100)</f>
        <v>0.30029170224451995</v>
      </c>
      <c r="F60" s="43">
        <f>IF(OR(1219791.03674="",1912.7019="",1957.46614=""),"-",(1957.46614-1912.7019)/1219791.03674*100)</f>
        <v>0.003669828573231394</v>
      </c>
      <c r="G60" s="43">
        <f>IF(OR(1533630.30697="",4749.35576="",1957.46614=""),"-",(4749.35576-1957.46614)/1533630.30697*100)</f>
        <v>0.18204449972796566</v>
      </c>
    </row>
    <row r="61" spans="1:7" s="15" customFormat="1" ht="15.75">
      <c r="A61" s="33" t="s">
        <v>149</v>
      </c>
      <c r="B61" s="43">
        <f>IF(2995.41757="","-",2995.41757)</f>
        <v>2995.41757</v>
      </c>
      <c r="C61" s="43" t="s">
        <v>264</v>
      </c>
      <c r="D61" s="43">
        <f>IF(51.19136="","-",51.19136/1533630.30697*100)</f>
        <v>0.0033379204732292356</v>
      </c>
      <c r="E61" s="43">
        <f>IF(2995.41757="","-",2995.41757/1581580.75115*100)</f>
        <v>0.18939390655974855</v>
      </c>
      <c r="F61" s="43">
        <f>IF(OR(1219791.03674="",0.5586="",51.19136=""),"-",(51.19136-0.5586)/1219791.03674*100)</f>
        <v>0.004150937207681125</v>
      </c>
      <c r="G61" s="43">
        <f>IF(OR(1533630.30697="",2995.41757="",51.19136=""),"-",(2995.41757-51.19136)/1533630.30697*100)</f>
        <v>0.19197757090604975</v>
      </c>
    </row>
    <row r="62" spans="1:7" s="9" customFormat="1" ht="15.75">
      <c r="A62" s="33" t="s">
        <v>69</v>
      </c>
      <c r="B62" s="43">
        <f>IF(2877.57442="","-",2877.57442)</f>
        <v>2877.57442</v>
      </c>
      <c r="C62" s="43">
        <f>IF(OR(3306.9327="",2877.57442=""),"-",2877.57442/3306.9327*100)</f>
        <v>87.01641917296956</v>
      </c>
      <c r="D62" s="43">
        <f>IF(3306.9327="","-",3306.9327/1533630.30697*100)</f>
        <v>0.2156277614605518</v>
      </c>
      <c r="E62" s="43">
        <f>IF(2877.57442="","-",2877.57442/1581580.75115*100)</f>
        <v>0.1819429338595362</v>
      </c>
      <c r="F62" s="43">
        <f>IF(OR(1219791.03674="",4365.13506="",3306.9327=""),"-",(3306.9327-4365.13506)/1219791.03674*100)</f>
        <v>-0.08675275749099942</v>
      </c>
      <c r="G62" s="43">
        <f>IF(OR(1533630.30697="",2877.57442="",3306.9327=""),"-",(2877.57442-3306.9327)/1533630.30697*100)</f>
        <v>-0.027996204694747128</v>
      </c>
    </row>
    <row r="63" spans="1:7" s="13" customFormat="1" ht="15.75">
      <c r="A63" s="33" t="s">
        <v>71</v>
      </c>
      <c r="B63" s="43">
        <f>IF(1968.70341="","-",1968.70341)</f>
        <v>1968.70341</v>
      </c>
      <c r="C63" s="43" t="s">
        <v>237</v>
      </c>
      <c r="D63" s="43">
        <f>IF(491.5651="","-",491.5651/1533630.30697*100)</f>
        <v>0.03205238562161615</v>
      </c>
      <c r="E63" s="43">
        <f>IF(1968.70341="","-",1968.70341/1581580.75115*100)</f>
        <v>0.12447694552228934</v>
      </c>
      <c r="F63" s="43">
        <f>IF(OR(1219791.03674="",183.27403="",491.5651=""),"-",(491.5651-183.27403)/1219791.03674*100)</f>
        <v>0.02527408881638738</v>
      </c>
      <c r="G63" s="43">
        <f>IF(OR(1533630.30697="",1968.70341="",491.5651=""),"-",(1968.70341-491.5651)/1533630.30697*100)</f>
        <v>0.09631645275179705</v>
      </c>
    </row>
    <row r="64" spans="1:7" s="9" customFormat="1" ht="15.75">
      <c r="A64" s="33" t="s">
        <v>45</v>
      </c>
      <c r="B64" s="43">
        <f>IF(1855.59137="","-",1855.59137)</f>
        <v>1855.59137</v>
      </c>
      <c r="C64" s="43">
        <f>IF(OR(4378.35985="",1855.59137=""),"-",1855.59137/4378.35985*100)</f>
        <v>42.38096989675255</v>
      </c>
      <c r="D64" s="43">
        <f>IF(4378.35985="","-",4378.35985/1533630.30697*100)</f>
        <v>0.2854899143621088</v>
      </c>
      <c r="E64" s="43">
        <f>IF(1855.59137="","-",1855.59137/1581580.75115*100)</f>
        <v>0.117325110883574</v>
      </c>
      <c r="F64" s="43">
        <f>IF(OR(1219791.03674="",2350.03172="",4378.35985=""),"-",(4378.35985-2350.03172)/1219791.03674*100)</f>
        <v>0.16628488559982268</v>
      </c>
      <c r="G64" s="43">
        <f>IF(OR(1533630.30697="",1855.59137="",4378.35985=""),"-",(1855.59137-4378.35985)/1533630.30697*100)</f>
        <v>-0.16449651969803886</v>
      </c>
    </row>
    <row r="65" spans="1:7" s="13" customFormat="1" ht="15.75">
      <c r="A65" s="33" t="s">
        <v>94</v>
      </c>
      <c r="B65" s="43">
        <f>IF(1811.61972="","-",1811.61972)</f>
        <v>1811.61972</v>
      </c>
      <c r="C65" s="43" t="s">
        <v>114</v>
      </c>
      <c r="D65" s="43">
        <f>IF(1091.21396="","-",1091.21396/1533630.30697*100)</f>
        <v>0.07115234714915852</v>
      </c>
      <c r="E65" s="43">
        <f>IF(1811.61972="","-",1811.61972/1581580.75115*100)</f>
        <v>0.114544876616811</v>
      </c>
      <c r="F65" s="43">
        <f>IF(OR(1219791.03674="",344.43468="",1091.21396=""),"-",(1091.21396-344.43468)/1219791.03674*100)</f>
        <v>0.06122190256421576</v>
      </c>
      <c r="G65" s="43">
        <f>IF(OR(1533630.30697="",1811.61972="",1091.21396=""),"-",(1811.61972-1091.21396)/1533630.30697*100)</f>
        <v>0.04697388651788635</v>
      </c>
    </row>
    <row r="66" spans="1:7" s="9" customFormat="1" ht="15.75">
      <c r="A66" s="33" t="s">
        <v>83</v>
      </c>
      <c r="B66" s="43">
        <f>IF(1387.19517="","-",1387.19517)</f>
        <v>1387.19517</v>
      </c>
      <c r="C66" s="43">
        <f>IF(OR(8518.92496="",1387.19517=""),"-",1387.19517/8518.92496*100)</f>
        <v>16.283688100476002</v>
      </c>
      <c r="D66" s="43">
        <f>IF(8518.92496="","-",8518.92496/1533630.30697*100)</f>
        <v>0.5554744791677257</v>
      </c>
      <c r="E66" s="43">
        <f>IF(1387.19517="","-",1387.19517/1581580.75115*100)</f>
        <v>0.08770941154862576</v>
      </c>
      <c r="F66" s="43">
        <f>IF(OR(1219791.03674="",1823.01009="",8518.92496=""),"-",(8518.92496-1823.01009)/1219791.03674*100)</f>
        <v>0.5489395042527472</v>
      </c>
      <c r="G66" s="43">
        <f>IF(OR(1533630.30697="",1387.19517="",8518.92496=""),"-",(1387.19517-8518.92496)/1533630.30697*100)</f>
        <v>-0.4650227475023097</v>
      </c>
    </row>
    <row r="67" spans="1:7" s="13" customFormat="1" ht="15.75">
      <c r="A67" s="33" t="s">
        <v>47</v>
      </c>
      <c r="B67" s="43">
        <f>IF(1220.21153="","-",1220.21153)</f>
        <v>1220.21153</v>
      </c>
      <c r="C67" s="43" t="s">
        <v>179</v>
      </c>
      <c r="D67" s="43">
        <f>IF(531.03305="","-",531.03305/1533630.30697*100)</f>
        <v>0.03462588392956085</v>
      </c>
      <c r="E67" s="43">
        <f>IF(1220.21153="","-",1220.21153/1581580.75115*100)</f>
        <v>0.07715138977967197</v>
      </c>
      <c r="F67" s="43">
        <f>IF(OR(1219791.03674="",15.36018="",531.03305=""),"-",(531.03305-15.36018)/1219791.03674*100)</f>
        <v>0.04227550903949759</v>
      </c>
      <c r="G67" s="43">
        <f>IF(OR(1533630.30697="",1220.21153="",531.03305=""),"-",(1220.21153-531.03305)/1533630.30697*100)</f>
        <v>0.04493771914051522</v>
      </c>
    </row>
    <row r="68" spans="1:7" s="9" customFormat="1" ht="15.75">
      <c r="A68" s="33" t="s">
        <v>100</v>
      </c>
      <c r="B68" s="43">
        <f>IF(1175.53676="","-",1175.53676)</f>
        <v>1175.53676</v>
      </c>
      <c r="C68" s="43" t="s">
        <v>265</v>
      </c>
      <c r="D68" s="43">
        <f>IF(30.51845="","-",30.51845/1533630.30697*100)</f>
        <v>0.001989948285535347</v>
      </c>
      <c r="E68" s="43">
        <f>IF(1175.53676="","-",1175.53676/1581580.75115*100)</f>
        <v>0.07432669872500933</v>
      </c>
      <c r="F68" s="43">
        <f>IF(OR(1219791.03674="",17.77175="",30.51845=""),"-",(30.51845-17.77175)/1219791.03674*100)</f>
        <v>0.0010449904627981765</v>
      </c>
      <c r="G68" s="43">
        <f>IF(OR(1533630.30697="",1175.53676="",30.51845=""),"-",(1175.53676-30.51845)/1533630.30697*100)</f>
        <v>0.07466064701487397</v>
      </c>
    </row>
    <row r="69" spans="1:7" s="9" customFormat="1" ht="15.75">
      <c r="A69" s="33" t="s">
        <v>72</v>
      </c>
      <c r="B69" s="43">
        <f>IF(1042.87491="","-",1042.87491)</f>
        <v>1042.87491</v>
      </c>
      <c r="C69" s="43">
        <f>IF(OR(2412.19793="",1042.87491=""),"-",1042.87491/2412.19793*100)</f>
        <v>43.23338881233515</v>
      </c>
      <c r="D69" s="43">
        <f>IF(2412.19793="","-",2412.19793/1533630.30697*100)</f>
        <v>0.15728679324065978</v>
      </c>
      <c r="E69" s="43">
        <f>IF(1042.87491="","-",1042.87491/1581580.75115*100)</f>
        <v>0.0659387710201774</v>
      </c>
      <c r="F69" s="43">
        <f>IF(OR(1219791.03674="",459.50868="",2412.19793=""),"-",(2412.19793-459.50868)/1219791.03674*100)</f>
        <v>0.16008391529246974</v>
      </c>
      <c r="G69" s="43">
        <f>IF(OR(1533630.30697="",1042.87491="",2412.19793=""),"-",(1042.87491-2412.19793)/1533630.30697*100)</f>
        <v>-0.08928638236847165</v>
      </c>
    </row>
    <row r="70" spans="1:7" s="13" customFormat="1" ht="15.75">
      <c r="A70" s="33" t="s">
        <v>84</v>
      </c>
      <c r="B70" s="43">
        <f>IF(1017.68197="","-",1017.68197)</f>
        <v>1017.68197</v>
      </c>
      <c r="C70" s="43">
        <f>IF(OR(1036.95165="",1017.68197=""),"-",1017.68197/1036.95165*100)</f>
        <v>98.14169927787859</v>
      </c>
      <c r="D70" s="43">
        <f>IF(1036.95165="","-",1036.95165/1533630.30697*100)</f>
        <v>0.06761418611038732</v>
      </c>
      <c r="E70" s="43">
        <f>IF(1017.68197="","-",1017.68197/1581580.75115*100)</f>
        <v>0.06434587480026059</v>
      </c>
      <c r="F70" s="43">
        <f>IF(OR(1219791.03674="",694.77861="",1036.95165=""),"-",(1036.95165-694.77861)/1219791.03674*100)</f>
        <v>0.02805177523803486</v>
      </c>
      <c r="G70" s="43">
        <f>IF(OR(1533630.30697="",1017.68197="",1036.95165=""),"-",(1017.68197-1036.95165)/1533630.30697*100)</f>
        <v>-0.0012564749087458492</v>
      </c>
    </row>
    <row r="71" spans="1:7" s="15" customFormat="1" ht="15.75">
      <c r="A71" s="33" t="s">
        <v>174</v>
      </c>
      <c r="B71" s="43">
        <f>IF(1001.23142="","-",1001.23142)</f>
        <v>1001.23142</v>
      </c>
      <c r="C71" s="43" t="s">
        <v>266</v>
      </c>
      <c r="D71" s="43">
        <f>IF(69.77432="","-",69.77432/1533630.30697*100)</f>
        <v>0.0045496179674391945</v>
      </c>
      <c r="E71" s="43">
        <f>IF(1001.23142="","-",1001.23142/1581580.75115*100)</f>
        <v>0.06330574137754168</v>
      </c>
      <c r="F71" s="43">
        <f>IF(OR(1219791.03674="",1034.90358="",69.77432=""),"-",(69.77432-1034.90358)/1219791.03674*100)</f>
        <v>-0.07912250794852484</v>
      </c>
      <c r="G71" s="43">
        <f>IF(OR(1533630.30697="",1001.23142="",69.77432=""),"-",(1001.23142-69.77432)/1533630.30697*100)</f>
        <v>0.060735439027693953</v>
      </c>
    </row>
    <row r="72" spans="1:7" s="9" customFormat="1" ht="15.75">
      <c r="A72" s="33" t="s">
        <v>120</v>
      </c>
      <c r="B72" s="43">
        <f>IF(962.50047="","-",962.50047)</f>
        <v>962.50047</v>
      </c>
      <c r="C72" s="43" t="s">
        <v>113</v>
      </c>
      <c r="D72" s="43">
        <f>IF(545.57265="","-",545.57265/1533630.30697*100)</f>
        <v>0.03557393509508104</v>
      </c>
      <c r="E72" s="43">
        <f>IF(962.50047="","-",962.50047/1581580.75115*100)</f>
        <v>0.060856865468307327</v>
      </c>
      <c r="F72" s="43">
        <f>IF(OR(1219791.03674="",175.37435="",545.57265=""),"-",(545.57265-175.37435)/1219791.03674*100)</f>
        <v>0.03034932122385387</v>
      </c>
      <c r="G72" s="43">
        <f>IF(OR(1533630.30697="",962.50047="",545.57265=""),"-",(962.50047-545.57265)/1533630.30697*100)</f>
        <v>0.027185679502104137</v>
      </c>
    </row>
    <row r="73" spans="1:7" s="9" customFormat="1" ht="15.75">
      <c r="A73" s="33" t="s">
        <v>80</v>
      </c>
      <c r="B73" s="43">
        <f>IF(881.9413="","-",881.9413)</f>
        <v>881.9413</v>
      </c>
      <c r="C73" s="43" t="s">
        <v>113</v>
      </c>
      <c r="D73" s="43">
        <f>IF(485.95273="","-",485.95273/1533630.30697*100)</f>
        <v>0.0316864323684434</v>
      </c>
      <c r="E73" s="43">
        <f>IF(881.9413="","-",881.9413/1581580.75115*100)</f>
        <v>0.05576327982992473</v>
      </c>
      <c r="F73" s="43">
        <f>IF(OR(1219791.03674="",963.394="",485.95273=""),"-",(485.95273-963.394)/1219791.03674*100)</f>
        <v>-0.03914123449177036</v>
      </c>
      <c r="G73" s="43">
        <f>IF(OR(1533630.30697="",881.9413="",485.95273=""),"-",(881.9413-485.95273)/1533630.30697*100)</f>
        <v>0.025820340677953624</v>
      </c>
    </row>
    <row r="74" spans="1:7" s="9" customFormat="1" ht="15.75">
      <c r="A74" s="33" t="s">
        <v>175</v>
      </c>
      <c r="B74" s="43">
        <f>IF(809.47462="","-",809.47462)</f>
        <v>809.47462</v>
      </c>
      <c r="C74" s="43">
        <f>IF(OR(753.24939="",809.47462=""),"-",809.47462/753.24939*100)</f>
        <v>107.46435785364525</v>
      </c>
      <c r="D74" s="43">
        <f>IF(753.24939="","-",753.24939/1533630.30697*100)</f>
        <v>0.04911544761319942</v>
      </c>
      <c r="E74" s="43">
        <f>IF(809.47462="","-",809.47462/1581580.75115*100)</f>
        <v>0.05118136518868318</v>
      </c>
      <c r="F74" s="43">
        <f>IF(OR(1219791.03674="",714.38061="",753.24939=""),"-",(753.24939-714.38061)/1219791.03674*100)</f>
        <v>0.003186511363772616</v>
      </c>
      <c r="G74" s="43">
        <f>IF(OR(1533630.30697="",809.47462="",753.24939=""),"-",(809.47462-753.24939)/1533630.30697*100)</f>
        <v>0.0036661527712688745</v>
      </c>
    </row>
    <row r="75" spans="1:7" s="9" customFormat="1" ht="15.75">
      <c r="A75" s="33" t="s">
        <v>78</v>
      </c>
      <c r="B75" s="43">
        <f>IF(769.37608="","-",769.37608)</f>
        <v>769.37608</v>
      </c>
      <c r="C75" s="43">
        <f>IF(OR(1023.65573="",769.37608=""),"-",769.37608/1023.65573*100)</f>
        <v>75.15965157543738</v>
      </c>
      <c r="D75" s="43">
        <f>IF(1023.65573="","-",1023.65573/1533630.30697*100)</f>
        <v>0.06674722880395087</v>
      </c>
      <c r="E75" s="43">
        <f>IF(769.37608="","-",769.37608/1581580.75115*100)</f>
        <v>0.04864601946126183</v>
      </c>
      <c r="F75" s="43">
        <f>IF(OR(1219791.03674="",540.56731="",1023.65573=""),"-",(1023.65573-540.56731)/1219791.03674*100)</f>
        <v>0.039604194935806115</v>
      </c>
      <c r="G75" s="43">
        <f>IF(OR(1533630.30697="",769.37608="",1023.65573=""),"-",(769.37608-1023.65573)/1533630.30697*100)</f>
        <v>-0.016580244198641417</v>
      </c>
    </row>
    <row r="76" spans="1:7" s="9" customFormat="1" ht="15.75">
      <c r="A76" s="33" t="s">
        <v>85</v>
      </c>
      <c r="B76" s="43">
        <f>IF(755.5937="","-",755.5937)</f>
        <v>755.5937</v>
      </c>
      <c r="C76" s="43">
        <f>IF(OR(897.49674="",755.5937=""),"-",755.5937/897.49674*100)</f>
        <v>84.18901889270371</v>
      </c>
      <c r="D76" s="43">
        <f>IF(897.49674="","-",897.49674/1533630.30697*100)</f>
        <v>0.0585210618179024</v>
      </c>
      <c r="E76" s="43">
        <f>IF(755.5937="","-",755.5937/1581580.75115*100)</f>
        <v>0.04777458877459101</v>
      </c>
      <c r="F76" s="43">
        <f>IF(OR(1219791.03674="",310.46381="",897.49674=""),"-",(897.49674-310.46381)/1219791.03674*100)</f>
        <v>0.048125696313435606</v>
      </c>
      <c r="G76" s="43">
        <f>IF(OR(1533630.30697="",755.5937="",897.49674=""),"-",(755.5937-897.49674)/1533630.30697*100)</f>
        <v>-0.009252754027817726</v>
      </c>
    </row>
    <row r="77" spans="1:7" s="9" customFormat="1" ht="15.75">
      <c r="A77" s="33" t="s">
        <v>151</v>
      </c>
      <c r="B77" s="43">
        <f>IF(746.18636="","-",746.18636)</f>
        <v>746.18636</v>
      </c>
      <c r="C77" s="43" t="str">
        <f>IF(OR(""="",746.18636=""),"-",746.18636/""*100)</f>
        <v>-</v>
      </c>
      <c r="D77" s="43" t="str">
        <f>IF(""="","-",""/1533630.30697*100)</f>
        <v>-</v>
      </c>
      <c r="E77" s="43">
        <f>IF(746.18636="","-",746.18636/1581580.75115*100)</f>
        <v>0.04717978259772272</v>
      </c>
      <c r="F77" s="43" t="str">
        <f>IF(OR(1219791.03674="",""="",""=""),"-",(""-"")/1219791.03674*100)</f>
        <v>-</v>
      </c>
      <c r="G77" s="43" t="str">
        <f>IF(OR(1533630.30697="",746.18636="",""=""),"-",(746.18636-"")/1533630.30697*100)</f>
        <v>-</v>
      </c>
    </row>
    <row r="78" spans="1:7" s="9" customFormat="1" ht="15.75">
      <c r="A78" s="33" t="s">
        <v>178</v>
      </c>
      <c r="B78" s="43">
        <f>IF(682.64384="","-",682.64384)</f>
        <v>682.64384</v>
      </c>
      <c r="C78" s="43">
        <f>IF(OR(1273.53666="",682.64384=""),"-",682.64384/1273.53666*100)</f>
        <v>53.6022135397343</v>
      </c>
      <c r="D78" s="43">
        <f>IF(1273.53666="","-",1273.53666/1533630.30697*100)</f>
        <v>0.08304065550948402</v>
      </c>
      <c r="E78" s="43">
        <f>IF(682.64384="","-",682.64384/1581580.75115*100)</f>
        <v>0.04316212368566294</v>
      </c>
      <c r="F78" s="43">
        <f>IF(OR(1219791.03674="",2621.88902="",1273.53666=""),"-",(1273.53666-2621.88902)/1219791.03674*100)</f>
        <v>-0.11053961862218563</v>
      </c>
      <c r="G78" s="43">
        <f>IF(OR(1533630.30697="",682.64384="",1273.53666=""),"-",(682.64384-1273.53666)/1533630.30697*100)</f>
        <v>-0.038529026018495255</v>
      </c>
    </row>
    <row r="79" spans="1:7" s="9" customFormat="1" ht="15.75">
      <c r="A79" s="33" t="s">
        <v>92</v>
      </c>
      <c r="B79" s="43">
        <f>IF(660.6675="","-",660.6675)</f>
        <v>660.6675</v>
      </c>
      <c r="C79" s="43" t="s">
        <v>267</v>
      </c>
      <c r="D79" s="43">
        <f>IF(0.19008="","-",0.19008/1533630.30697*100)</f>
        <v>1.2394121264826977E-05</v>
      </c>
      <c r="E79" s="43">
        <f>IF(660.6675="","-",660.6675/1581580.75115*100)</f>
        <v>0.04177260626873557</v>
      </c>
      <c r="F79" s="43">
        <f>IF(OR(1219791.03674="",0.72611="",0.19008=""),"-",(0.19008-0.72611)/1219791.03674*100)</f>
        <v>-4.394441210460013E-05</v>
      </c>
      <c r="G79" s="43">
        <f>IF(OR(1533630.30697="",660.6675="",0.19008=""),"-",(660.6675-0.19008)/1533630.30697*100)</f>
        <v>0.04306627333838414</v>
      </c>
    </row>
    <row r="80" spans="1:7" s="9" customFormat="1" ht="15.75">
      <c r="A80" s="33" t="s">
        <v>46</v>
      </c>
      <c r="B80" s="43">
        <f>IF(624.43887="","-",624.43887)</f>
        <v>624.43887</v>
      </c>
      <c r="C80" s="43" t="s">
        <v>124</v>
      </c>
      <c r="D80" s="43">
        <f>IF(194.23366="","-",194.23366/1533630.30697*100)</f>
        <v>0.012664959678825614</v>
      </c>
      <c r="E80" s="43">
        <f>IF(624.43887="","-",624.43887/1581580.75115*100)</f>
        <v>0.03948194675143571</v>
      </c>
      <c r="F80" s="43">
        <f>IF(OR(1219791.03674="",244.33876="",194.23366=""),"-",(194.23366-244.33876)/1219791.03674*100)</f>
        <v>-0.004107678978680673</v>
      </c>
      <c r="G80" s="43">
        <f>IF(OR(1533630.30697="",624.43887="",194.23366=""),"-",(624.43887-194.23366)/1533630.30697*100)</f>
        <v>0.028051428564290586</v>
      </c>
    </row>
    <row r="81" spans="1:7" ht="15.75">
      <c r="A81" s="33" t="s">
        <v>79</v>
      </c>
      <c r="B81" s="43">
        <f>IF(544.95549="","-",544.95549)</f>
        <v>544.95549</v>
      </c>
      <c r="C81" s="43">
        <f>IF(OR(1719.58758="",544.95549=""),"-",544.95549/1719.58758*100)</f>
        <v>31.691057573235092</v>
      </c>
      <c r="D81" s="43">
        <f>IF(1719.58758="","-",1719.58758/1533630.30697*100)</f>
        <v>0.11212529983170433</v>
      </c>
      <c r="E81" s="43">
        <f>IF(544.95549="","-",544.95549/1581580.75115*100)</f>
        <v>0.034456381035476796</v>
      </c>
      <c r="F81" s="43" t="str">
        <f>IF(OR(1219791.03674="",""="",1719.58758=""),"-",(1719.58758-"")/1219791.03674*100)</f>
        <v>-</v>
      </c>
      <c r="G81" s="43">
        <f>IF(OR(1533630.30697="",544.95549="",1719.58758=""),"-",(544.95549-1719.58758)/1533630.30697*100)</f>
        <v>-0.07659160650787643</v>
      </c>
    </row>
    <row r="82" spans="1:7" ht="15.75">
      <c r="A82" s="33" t="s">
        <v>82</v>
      </c>
      <c r="B82" s="43">
        <f>IF(485.06986="","-",485.06986)</f>
        <v>485.06986</v>
      </c>
      <c r="C82" s="43" t="s">
        <v>115</v>
      </c>
      <c r="D82" s="43">
        <f>IF(309.72906="","-",309.72906/1533630.30697*100)</f>
        <v>0.020195809811031515</v>
      </c>
      <c r="E82" s="43">
        <f>IF(485.06986="","-",485.06986/1581580.75115*100)</f>
        <v>0.030669939530263993</v>
      </c>
      <c r="F82" s="43" t="str">
        <f>IF(OR(1219791.03674="",""="",309.72906=""),"-",(309.72906-"")/1219791.03674*100)</f>
        <v>-</v>
      </c>
      <c r="G82" s="43">
        <f>IF(OR(1533630.30697="",485.06986="",309.72906=""),"-",(485.06986-309.72906)/1533630.30697*100)</f>
        <v>0.011433055228702515</v>
      </c>
    </row>
    <row r="83" spans="1:7" ht="15.75">
      <c r="A83" s="33" t="s">
        <v>111</v>
      </c>
      <c r="B83" s="43">
        <f>IF(457.76888="","-",457.76888)</f>
        <v>457.76888</v>
      </c>
      <c r="C83" s="43">
        <f>IF(OR(452.00756="",457.76888=""),"-",457.76888/452.00756*100)</f>
        <v>101.27460699993603</v>
      </c>
      <c r="D83" s="43">
        <f>IF(452.00756="","-",452.00756/1533630.30697*100)</f>
        <v>0.029473045618994925</v>
      </c>
      <c r="E83" s="43">
        <f>IF(457.76888="","-",457.76888/1581580.75115*100)</f>
        <v>0.02894375640745165</v>
      </c>
      <c r="F83" s="43">
        <f>IF(OR(1219791.03674="",249.95917="",452.00756=""),"-",(452.00756-249.95917)/1219791.03674*100)</f>
        <v>0.016564180578010502</v>
      </c>
      <c r="G83" s="43">
        <f>IF(OR(1533630.30697="",457.76888="",452.00756=""),"-",(457.76888-452.00756)/1533630.30697*100)</f>
        <v>0.0003756655025540462</v>
      </c>
    </row>
    <row r="84" spans="1:7" ht="15.75">
      <c r="A84" s="33" t="s">
        <v>153</v>
      </c>
      <c r="B84" s="43">
        <f>IF(390.55589="","-",390.55589)</f>
        <v>390.55589</v>
      </c>
      <c r="C84" s="43" t="s">
        <v>268</v>
      </c>
      <c r="D84" s="43">
        <f>IF(95.45752="","-",95.45752/1533630.30697*100)</f>
        <v>0.006224284924871877</v>
      </c>
      <c r="E84" s="43">
        <f>IF(390.55589="","-",390.55589/1581580.75115*100)</f>
        <v>0.024694021453916835</v>
      </c>
      <c r="F84" s="43">
        <f>IF(OR(1219791.03674="",346.8895="",95.45752=""),"-",(95.45752-346.8895)/1219791.03674*100)</f>
        <v>-0.02061270926141369</v>
      </c>
      <c r="G84" s="43">
        <f>IF(OR(1533630.30697="",390.55589="",95.45752=""),"-",(390.55589-95.45752)/1533630.30697*100)</f>
        <v>0.019241819143690966</v>
      </c>
    </row>
    <row r="85" spans="1:7" ht="15.75">
      <c r="A85" s="33" t="s">
        <v>110</v>
      </c>
      <c r="B85" s="43">
        <f>IF(341.46998="","-",341.46998)</f>
        <v>341.46998</v>
      </c>
      <c r="C85" s="43">
        <f>IF(OR(275.52119="",341.46998=""),"-",341.46998/275.52119*100)</f>
        <v>123.93601377810543</v>
      </c>
      <c r="D85" s="43">
        <f>IF(275.52119="","-",275.52119/1533630.30697*100)</f>
        <v>0.017965293770462087</v>
      </c>
      <c r="E85" s="43">
        <f>IF(341.46998="","-",341.46998/1581580.75115*100)</f>
        <v>0.02159042336293674</v>
      </c>
      <c r="F85" s="43">
        <f>IF(OR(1219791.03674="",502.8375="",275.52119=""),"-",(275.52119-502.8375)/1219791.03674*100)</f>
        <v>-0.018635676370234944</v>
      </c>
      <c r="G85" s="43">
        <f>IF(OR(1533630.30697="",341.46998="",275.52119=""),"-",(341.46998-275.52119)/1533630.30697*100)</f>
        <v>0.004300175192174922</v>
      </c>
    </row>
    <row r="86" spans="1:7" ht="15.75">
      <c r="A86" s="33" t="s">
        <v>105</v>
      </c>
      <c r="B86" s="43">
        <f>IF(335.15055="","-",335.15055)</f>
        <v>335.15055</v>
      </c>
      <c r="C86" s="43">
        <f>IF(OR(323.36257="",335.15055=""),"-",335.15055/323.36257*100)</f>
        <v>103.64543738009009</v>
      </c>
      <c r="D86" s="43">
        <f>IF(323.36257="","-",323.36257/1533630.30697*100)</f>
        <v>0.021084779593256005</v>
      </c>
      <c r="E86" s="43">
        <f>IF(335.15055="","-",335.15055/1581580.75115*100)</f>
        <v>0.021190859193013393</v>
      </c>
      <c r="F86" s="43">
        <f>IF(OR(1219791.03674="",150.64701="",323.36257=""),"-",(323.36257-150.64701)/1219791.03674*100)</f>
        <v>0.014159438362622973</v>
      </c>
      <c r="G86" s="43">
        <f>IF(OR(1533630.30697="",335.15055="",323.36257=""),"-",(335.15055-323.36257)/1533630.30697*100)</f>
        <v>0.000768632436802163</v>
      </c>
    </row>
    <row r="87" spans="1:7" ht="15.75">
      <c r="A87" s="33" t="s">
        <v>152</v>
      </c>
      <c r="B87" s="43">
        <f>IF(278.85084="","-",278.85084)</f>
        <v>278.85084</v>
      </c>
      <c r="C87" s="43" t="s">
        <v>269</v>
      </c>
      <c r="D87" s="43">
        <f>IF(30.13138="","-",30.13138/1533630.30697*100)</f>
        <v>0.0019647094780964975</v>
      </c>
      <c r="E87" s="43">
        <f>IF(278.85084="","-",278.85084/1581580.75115*100)</f>
        <v>0.01763114781191171</v>
      </c>
      <c r="F87" s="43">
        <f>IF(OR(1219791.03674="",34.16933="",30.13138=""),"-",(30.13138-34.16933)/1219791.03674*100)</f>
        <v>-0.00033103620852894465</v>
      </c>
      <c r="G87" s="43">
        <f>IF(OR(1533630.30697="",278.85084="",30.13138=""),"-",(278.85084-30.13138)/1533630.30697*100)</f>
        <v>0.016217693329978335</v>
      </c>
    </row>
    <row r="88" spans="1:7" ht="15.75">
      <c r="A88" s="33" t="s">
        <v>160</v>
      </c>
      <c r="B88" s="43">
        <f>IF(264.90504="","-",264.90504)</f>
        <v>264.90504</v>
      </c>
      <c r="C88" s="43">
        <f>IF(OR(294.76208="",264.90504=""),"-",264.90504/294.76208*100)</f>
        <v>89.87080020605092</v>
      </c>
      <c r="D88" s="43">
        <f>IF(294.76208="","-",294.76208/1533630.30697*100)</f>
        <v>0.019219891434094225</v>
      </c>
      <c r="E88" s="43">
        <f>IF(264.90504="","-",264.90504/1581580.75115*100)</f>
        <v>0.016749384424878846</v>
      </c>
      <c r="F88" s="43">
        <f>IF(OR(1219791.03674="",116.8245="",294.76208=""),"-",(294.76208-116.8245)/1219791.03674*100)</f>
        <v>0.01458754611573094</v>
      </c>
      <c r="G88" s="43">
        <f>IF(OR(1533630.30697="",264.90504="",294.76208=""),"-",(264.90504-294.76208)/1533630.30697*100)</f>
        <v>-0.0019468212035395102</v>
      </c>
    </row>
    <row r="89" spans="1:7" ht="15.75">
      <c r="A89" s="33" t="s">
        <v>123</v>
      </c>
      <c r="B89" s="43">
        <f>IF(256.45194="","-",256.45194)</f>
        <v>256.45194</v>
      </c>
      <c r="C89" s="43">
        <f>IF(OR(410.44875="",256.45194=""),"-",256.45194/410.44875*100)</f>
        <v>62.48086758700081</v>
      </c>
      <c r="D89" s="43">
        <f>IF(410.44875="","-",410.44875/1533630.30697*100)</f>
        <v>0.026763213281232382</v>
      </c>
      <c r="E89" s="43">
        <f>IF(256.45194="","-",256.45194/1581580.75115*100)</f>
        <v>0.01621491282146223</v>
      </c>
      <c r="F89" s="43" t="str">
        <f>IF(OR(1219791.03674="",""="",410.44875=""),"-",(410.44875-"")/1219791.03674*100)</f>
        <v>-</v>
      </c>
      <c r="G89" s="43">
        <f>IF(OR(1533630.30697="",256.45194="",410.44875=""),"-",(256.45194-410.44875)/1533630.30697*100)</f>
        <v>-0.010041325428958964</v>
      </c>
    </row>
    <row r="90" spans="1:7" ht="15.75">
      <c r="A90" s="33" t="s">
        <v>117</v>
      </c>
      <c r="B90" s="43">
        <f>IF(251.15687="","-",251.15687)</f>
        <v>251.15687</v>
      </c>
      <c r="C90" s="43">
        <f>IF(OR(259.06681="",251.15687=""),"-",251.15687/259.06681*100)</f>
        <v>96.94675670727564</v>
      </c>
      <c r="D90" s="43">
        <f>IF(259.06681="","-",259.06681/1533630.30697*100)</f>
        <v>0.016892389829713222</v>
      </c>
      <c r="E90" s="43">
        <f>IF(251.15687="","-",251.15687/1581580.75115*100)</f>
        <v>0.015880116764027296</v>
      </c>
      <c r="F90" s="43">
        <f>IF(OR(1219791.03674="",126.93445="",259.06681=""),"-",(259.06681-126.93445)/1219791.03674*100)</f>
        <v>0.010832376695694982</v>
      </c>
      <c r="G90" s="43">
        <f>IF(OR(1533630.30697="",251.15687="",259.06681=""),"-",(251.15687-259.06681)/1533630.30697*100)</f>
        <v>-0.000515765759456572</v>
      </c>
    </row>
    <row r="91" spans="1:7" ht="15.75">
      <c r="A91" s="33" t="s">
        <v>150</v>
      </c>
      <c r="B91" s="43">
        <f>IF(246.37357="","-",246.37357)</f>
        <v>246.37357</v>
      </c>
      <c r="C91" s="43" t="s">
        <v>270</v>
      </c>
      <c r="D91" s="43">
        <f>IF(99.05="","-",99.05/1533630.30697*100)</f>
        <v>0.006458531730224705</v>
      </c>
      <c r="E91" s="43">
        <f>IF(246.37357="","-",246.37357/1581580.75115*100)</f>
        <v>0.01557767883940524</v>
      </c>
      <c r="F91" s="43">
        <f>IF(OR(1219791.03674="",35.91411="",99.05=""),"-",(99.05-35.91411)/1219791.03674*100)</f>
        <v>0.005175959496204882</v>
      </c>
      <c r="G91" s="43">
        <f>IF(OR(1533630.30697="",246.37357="",99.05=""),"-",(246.37357-99.05)/1533630.30697*100)</f>
        <v>0.00960619839934357</v>
      </c>
    </row>
    <row r="92" spans="1:7" ht="15.75">
      <c r="A92" s="33" t="s">
        <v>77</v>
      </c>
      <c r="B92" s="43">
        <f>IF(235.20008="","-",235.20008)</f>
        <v>235.20008</v>
      </c>
      <c r="C92" s="43" t="s">
        <v>230</v>
      </c>
      <c r="D92" s="43">
        <f>IF(52.5428="","-",52.5428/1533630.30697*100)</f>
        <v>0.003426040797524994</v>
      </c>
      <c r="E92" s="43">
        <f>IF(235.20008="","-",235.20008/1581580.75115*100)</f>
        <v>0.014871202739979049</v>
      </c>
      <c r="F92" s="43">
        <f>IF(OR(1219791.03674="",324.67315="",52.5428=""),"-",(52.5428-324.67315)/1219791.03674*100)</f>
        <v>-0.02230958760996413</v>
      </c>
      <c r="G92" s="43">
        <f>IF(OR(1533630.30697="",235.20008="",52.5428=""),"-",(235.20008-52.5428)/1533630.30697*100)</f>
        <v>0.01191012456977828</v>
      </c>
    </row>
    <row r="93" spans="1:7" ht="15.75">
      <c r="A93" s="33" t="s">
        <v>91</v>
      </c>
      <c r="B93" s="43">
        <f>IF(223.8653="","-",223.8653)</f>
        <v>223.8653</v>
      </c>
      <c r="C93" s="43">
        <f>IF(OR(1015.42984="",223.8653=""),"-",223.8653/1015.42984*100)</f>
        <v>22.04635822008146</v>
      </c>
      <c r="D93" s="43">
        <f>IF(1015.42984="","-",1015.42984/1533630.30697*100)</f>
        <v>0.06621086159976775</v>
      </c>
      <c r="E93" s="43">
        <f>IF(223.8653="","-",223.8653/1581580.75115*100)</f>
        <v>0.014154528615577984</v>
      </c>
      <c r="F93" s="43">
        <f>IF(OR(1219791.03674="",200.16525="",1015.42984=""),"-",(1015.42984-200.16525)/1219791.03674*100)</f>
        <v>0.0668364142254125</v>
      </c>
      <c r="G93" s="43">
        <f>IF(OR(1533630.30697="",223.8653="",1015.42984=""),"-",(223.8653-1015.42984)/1533630.30697*100)</f>
        <v>-0.051613777870880596</v>
      </c>
    </row>
    <row r="94" spans="1:7" ht="15.75">
      <c r="A94" s="33" t="s">
        <v>159</v>
      </c>
      <c r="B94" s="43">
        <f>IF(187.01941="","-",187.01941)</f>
        <v>187.01941</v>
      </c>
      <c r="C94" s="43" t="s">
        <v>271</v>
      </c>
      <c r="D94" s="43">
        <f>IF(7.147="","-",7.147/1533630.30697*100)</f>
        <v>0.0004660184379193939</v>
      </c>
      <c r="E94" s="43">
        <f>IF(187.01941="","-",187.01941/1581580.75115*100)</f>
        <v>0.011824841056266924</v>
      </c>
      <c r="F94" s="43" t="str">
        <f>IF(OR(1219791.03674="",""="",7.147=""),"-",(7.147-"")/1219791.03674*100)</f>
        <v>-</v>
      </c>
      <c r="G94" s="43">
        <f>IF(OR(1533630.30697="",187.01941="",7.147=""),"-",(187.01941-7.147)/1533630.30697*100)</f>
        <v>0.011728537782705578</v>
      </c>
    </row>
    <row r="95" spans="1:7" ht="15.75">
      <c r="A95" s="33" t="s">
        <v>44</v>
      </c>
      <c r="B95" s="43">
        <f>IF(179.27325="","-",179.27325)</f>
        <v>179.27325</v>
      </c>
      <c r="C95" s="43">
        <f>IF(OR(203.31856="",179.27325=""),"-",179.27325/203.31856*100)</f>
        <v>88.17357844753573</v>
      </c>
      <c r="D95" s="43">
        <f>IF(203.31856="","-",203.31856/1533630.30697*100)</f>
        <v>0.01325733842608375</v>
      </c>
      <c r="E95" s="43">
        <f>IF(179.27325="","-",179.27325/1581580.75115*100)</f>
        <v>0.011335067771256493</v>
      </c>
      <c r="F95" s="43">
        <f>IF(OR(1219791.03674="",210.91391="",203.31856=""),"-",(203.31856-210.91391)/1219791.03674*100)</f>
        <v>-0.0006226763249793379</v>
      </c>
      <c r="G95" s="43">
        <f>IF(OR(1533630.30697="",179.27325="",203.31856=""),"-",(179.27325-203.31856)/1533630.30697*100)</f>
        <v>-0.0015678687289054963</v>
      </c>
    </row>
    <row r="96" spans="1:7" ht="15.75">
      <c r="A96" s="33" t="s">
        <v>176</v>
      </c>
      <c r="B96" s="43">
        <f>IF(149.53541="","-",149.53541)</f>
        <v>149.53541</v>
      </c>
      <c r="C96" s="43">
        <f>IF(OR(193.27301="",149.53541=""),"-",149.53541/193.27301*100)</f>
        <v>77.37004251136773</v>
      </c>
      <c r="D96" s="43">
        <f>IF(193.27301="","-",193.27301/1533630.30697*100)</f>
        <v>0.012602320723685377</v>
      </c>
      <c r="E96" s="43">
        <f>IF(149.53541="","-",149.53541/1581580.75115*100)</f>
        <v>0.00945480715361955</v>
      </c>
      <c r="F96" s="43">
        <f>IF(OR(1219791.03674="",17.03616="",193.27301=""),"-",(193.27301-17.03616)/1219791.03674*100)</f>
        <v>0.014448118135956194</v>
      </c>
      <c r="G96" s="43">
        <f>IF(OR(1533630.30697="",149.53541="",193.27301=""),"-",(149.53541-193.27301)/1533630.30697*100)</f>
        <v>-0.002851899822351095</v>
      </c>
    </row>
    <row r="97" spans="1:7" ht="15.75">
      <c r="A97" s="33" t="s">
        <v>96</v>
      </c>
      <c r="B97" s="43">
        <f>IF(121.64734="","-",121.64734)</f>
        <v>121.64734</v>
      </c>
      <c r="C97" s="43">
        <f>IF(OR(142.6303="",121.64734=""),"-",121.64734/142.6303*100)</f>
        <v>85.2885677166773</v>
      </c>
      <c r="D97" s="43">
        <f>IF(142.6303="","-",142.6303/1533630.30697*100)</f>
        <v>0.009300174843427248</v>
      </c>
      <c r="E97" s="43">
        <f>IF(121.64734="","-",121.64734/1581580.75115*100)</f>
        <v>0.007691503573974818</v>
      </c>
      <c r="F97" s="43" t="str">
        <f>IF(OR(1219791.03674="",""="",142.6303=""),"-",(142.6303-"")/1219791.03674*100)</f>
        <v>-</v>
      </c>
      <c r="G97" s="43">
        <f>IF(OR(1533630.30697="",121.64734="",142.6303=""),"-",(121.64734-142.6303)/1533630.30697*100)</f>
        <v>-0.0013681889243214115</v>
      </c>
    </row>
    <row r="98" spans="1:7" ht="15.75">
      <c r="A98" s="33" t="s">
        <v>95</v>
      </c>
      <c r="B98" s="43">
        <f>IF(117.03364="","-",117.03364)</f>
        <v>117.03364</v>
      </c>
      <c r="C98" s="43">
        <f>IF(OR(115.8512="",117.03364=""),"-",117.03364/115.8512*100)</f>
        <v>101.02065408040659</v>
      </c>
      <c r="D98" s="43">
        <f>IF(115.8512="","-",115.8512/1533630.30697*100)</f>
        <v>0.007554049986719923</v>
      </c>
      <c r="E98" s="43">
        <f>IF(117.03364="","-",117.03364/1581580.75115*100)</f>
        <v>0.007399789098021231</v>
      </c>
      <c r="F98" s="43">
        <f>IF(OR(1219791.03674="",123.46062="",115.8512=""),"-",(115.8512-123.46062)/1219791.03674*100)</f>
        <v>-0.0006238298012368456</v>
      </c>
      <c r="G98" s="43">
        <f>IF(OR(1533630.30697="",117.03364="",115.8512=""),"-",(117.03364-115.8512)/1533630.30697*100)</f>
        <v>7.710071942541038E-05</v>
      </c>
    </row>
    <row r="99" spans="1:7" ht="15.75">
      <c r="A99" s="33" t="s">
        <v>165</v>
      </c>
      <c r="B99" s="43">
        <f>IF(114.17814="","-",114.17814)</f>
        <v>114.17814</v>
      </c>
      <c r="C99" s="43">
        <f>IF(OR(392.84264="",114.17814=""),"-",114.17814/392.84264*100)</f>
        <v>29.06459950477881</v>
      </c>
      <c r="D99" s="43">
        <f>IF(392.84264="","-",392.84264/1533630.30697*100)</f>
        <v>0.025615211059315912</v>
      </c>
      <c r="E99" s="43">
        <f>IF(114.17814="","-",114.17814/1581580.75115*100)</f>
        <v>0.007219241882969221</v>
      </c>
      <c r="F99" s="43">
        <f>IF(OR(1219791.03674="",258.1886="",392.84264=""),"-",(392.84264-258.1886)/1219791.03674*100)</f>
        <v>0.011039107186741995</v>
      </c>
      <c r="G99" s="43">
        <f>IF(OR(1533630.30697="",114.17814="",392.84264=""),"-",(114.17814-392.84264)/1533630.30697*100)</f>
        <v>-0.018170252552621932</v>
      </c>
    </row>
    <row r="100" spans="1:7" ht="15.75">
      <c r="A100" s="33" t="s">
        <v>112</v>
      </c>
      <c r="B100" s="43">
        <f>IF(100.98459="","-",100.98459)</f>
        <v>100.98459</v>
      </c>
      <c r="C100" s="43">
        <f>IF(OR(93.57845="",100.98459=""),"-",100.98459/93.57845*100)</f>
        <v>107.91436489918351</v>
      </c>
      <c r="D100" s="43">
        <f>IF(93.57845="","-",93.57845/1533630.30697*100)</f>
        <v>0.006101760611713742</v>
      </c>
      <c r="E100" s="43">
        <f>IF(100.98459="","-",100.98459/1581580.75115*100)</f>
        <v>0.006385041669644248</v>
      </c>
      <c r="F100" s="43">
        <f>IF(OR(1219791.03674="",21.17261="",93.57845=""),"-",(93.57845-21.17261)/1219791.03674*100)</f>
        <v>0.005935921630766452</v>
      </c>
      <c r="G100" s="43">
        <f>IF(OR(1533630.30697="",100.98459="",93.57845=""),"-",(100.98459-93.57845)/1533630.30697*100)</f>
        <v>0.00048291560008567743</v>
      </c>
    </row>
    <row r="101" spans="1:7" ht="15.75">
      <c r="A101" s="33" t="s">
        <v>231</v>
      </c>
      <c r="B101" s="43">
        <f>IF(90.33513="","-",90.33513)</f>
        <v>90.33513</v>
      </c>
      <c r="C101" s="43" t="s">
        <v>272</v>
      </c>
      <c r="D101" s="43">
        <f>IF(0.03831="","-",0.03831/1533630.30697*100)</f>
        <v>2.497994453154048E-06</v>
      </c>
      <c r="E101" s="43">
        <f>IF(90.33513="","-",90.33513/1581580.75115*100)</f>
        <v>0.00571169887685567</v>
      </c>
      <c r="F101" s="43" t="str">
        <f>IF(OR(1219791.03674="",""="",0.03831=""),"-",(0.03831-"")/1219791.03674*100)</f>
        <v>-</v>
      </c>
      <c r="G101" s="43">
        <f>IF(OR(1533630.30697="",90.33513="",0.03831=""),"-",(90.33513-0.03831)/1533630.30697*100)</f>
        <v>0.005887782706798473</v>
      </c>
    </row>
    <row r="102" spans="1:7" ht="15.75">
      <c r="A102" s="33" t="s">
        <v>102</v>
      </c>
      <c r="B102" s="43">
        <f>IF(87.01341="","-",87.01341)</f>
        <v>87.01341</v>
      </c>
      <c r="C102" s="43">
        <f>IF(OR(107.60842="",87.01341=""),"-",87.01341/107.60842*100)</f>
        <v>80.86115380190509</v>
      </c>
      <c r="D102" s="43">
        <f>IF(107.60842="","-",107.60842/1533630.30697*100)</f>
        <v>0.0070165814740973925</v>
      </c>
      <c r="E102" s="43">
        <f>IF(87.01341="","-",87.01341/1581580.75115*100)</f>
        <v>0.005501673558983995</v>
      </c>
      <c r="F102" s="43">
        <f>IF(OR(1219791.03674="",305.79851="",107.60842=""),"-",(107.60842-305.79851)/1219791.03674*100)</f>
        <v>-0.016247872301937936</v>
      </c>
      <c r="G102" s="43">
        <f>IF(OR(1533630.30697="",87.01341="",107.60842=""),"-",(87.01341-107.60842)/1533630.30697*100)</f>
        <v>-0.0013428927366915205</v>
      </c>
    </row>
    <row r="103" spans="1:7" ht="15.75">
      <c r="A103" s="33" t="s">
        <v>86</v>
      </c>
      <c r="B103" s="43">
        <f>IF(83.59686="","-",83.59686)</f>
        <v>83.59686</v>
      </c>
      <c r="C103" s="43">
        <f>IF(OR(285.83499="",83.59686=""),"-",83.59686/285.83499*100)</f>
        <v>29.246545358215243</v>
      </c>
      <c r="D103" s="43">
        <f>IF(285.83499="","-",285.83499/1533630.30697*100)</f>
        <v>0.018637802650413544</v>
      </c>
      <c r="E103" s="43">
        <f>IF(83.59686="","-",83.59686/1581580.75115*100)</f>
        <v>0.005285652341128647</v>
      </c>
      <c r="F103" s="43">
        <f>IF(OR(1219791.03674="",33.43499="",285.83499=""),"-",(285.83499-33.43499)/1219791.03674*100)</f>
        <v>0.020692068755855223</v>
      </c>
      <c r="G103" s="43">
        <f>IF(OR(1533630.30697="",83.59686="",285.83499=""),"-",(83.59686-285.83499)/1533630.30697*100)</f>
        <v>-0.013186889244485705</v>
      </c>
    </row>
    <row r="104" spans="1:7" ht="15.75">
      <c r="A104" s="33" t="s">
        <v>87</v>
      </c>
      <c r="B104" s="43">
        <f>IF(82.74114="","-",82.74114)</f>
        <v>82.74114</v>
      </c>
      <c r="C104" s="43" t="str">
        <f>IF(OR(""="",82.74114=""),"-",82.74114/""*100)</f>
        <v>-</v>
      </c>
      <c r="D104" s="43" t="str">
        <f>IF(""="","-",""/1533630.30697*100)</f>
        <v>-</v>
      </c>
      <c r="E104" s="43">
        <f>IF(82.74114="","-",82.74114/1581580.75115*100)</f>
        <v>0.0052315469785426515</v>
      </c>
      <c r="F104" s="43" t="str">
        <f>IF(OR(1219791.03674="",2.55="",""=""),"-",(""-2.55)/1219791.03674*100)</f>
        <v>-</v>
      </c>
      <c r="G104" s="43" t="str">
        <f>IF(OR(1533630.30697="",82.74114="",""=""),"-",(82.74114-"")/1533630.30697*100)</f>
        <v>-</v>
      </c>
    </row>
    <row r="105" spans="1:7" ht="15.75">
      <c r="A105" s="33" t="s">
        <v>103</v>
      </c>
      <c r="B105" s="43">
        <f>IF(81.87974="","-",81.87974)</f>
        <v>81.87974</v>
      </c>
      <c r="C105" s="43" t="s">
        <v>273</v>
      </c>
      <c r="D105" s="43">
        <f>IF(23.65="","-",23.65/1533630.30697*100)</f>
        <v>0.0015420926342232634</v>
      </c>
      <c r="E105" s="43">
        <f>IF(81.87974="","-",81.87974/1581580.75115*100)</f>
        <v>0.0051770824815908735</v>
      </c>
      <c r="F105" s="43">
        <f>IF(OR(1219791.03674="",0.162="",23.65=""),"-",(23.65-0.162)/1219791.03674*100)</f>
        <v>0.0019255757168681752</v>
      </c>
      <c r="G105" s="43">
        <f>IF(OR(1533630.30697="",81.87974="",23.65=""),"-",(81.87974-23.65)/1533630.30697*100)</f>
        <v>0.003796856369840835</v>
      </c>
    </row>
    <row r="106" spans="1:7" ht="15.75">
      <c r="A106" s="33" t="s">
        <v>245</v>
      </c>
      <c r="B106" s="43">
        <f>IF(71.9935="","-",71.9935)</f>
        <v>71.9935</v>
      </c>
      <c r="C106" s="43">
        <f>IF(OR(65.856="",71.9935=""),"-",71.9935/65.856*100)</f>
        <v>109.3195760447036</v>
      </c>
      <c r="D106" s="43">
        <f>IF(65.856="","-",65.856/1533630.30697*100)</f>
        <v>0.004294124842258234</v>
      </c>
      <c r="E106" s="43">
        <f>IF(71.9935="","-",71.9935/1581580.75115*100)</f>
        <v>0.004551996472368043</v>
      </c>
      <c r="F106" s="43" t="str">
        <f>IF(OR(1219791.03674="",""="",65.856=""),"-",(65.856-"")/1219791.03674*100)</f>
        <v>-</v>
      </c>
      <c r="G106" s="43">
        <f>IF(OR(1533630.30697="",71.9935="",65.856=""),"-",(71.9935-65.856)/1533630.30697*100)</f>
        <v>0.0004001942301287647</v>
      </c>
    </row>
    <row r="107" spans="1:7" ht="15.75">
      <c r="A107" s="38" t="s">
        <v>177</v>
      </c>
      <c r="B107" s="49">
        <f>IF(70.1905="","-",70.1905)</f>
        <v>70.1905</v>
      </c>
      <c r="C107" s="49">
        <f>IF(OR(48.96218="",70.1905=""),"-",70.1905/48.96218*100)</f>
        <v>143.35656623132388</v>
      </c>
      <c r="D107" s="49">
        <f>IF(48.96218="","-",48.96218/1533630.30697*100)</f>
        <v>0.003192567320655966</v>
      </c>
      <c r="E107" s="49">
        <f>IF(70.1905="","-",70.1905/1581580.75115*100)</f>
        <v>0.0044379966023842315</v>
      </c>
      <c r="F107" s="49">
        <f>IF(OR(1219791.03674="",8.936="",48.96218=""),"-",(48.96218-8.936)/1219791.03674*100)</f>
        <v>0.0032813964682814464</v>
      </c>
      <c r="G107" s="49">
        <f>IF(OR(1533630.30697="",70.1905="",48.96218=""),"-",(70.1905-48.96218)/1533630.30697*100)</f>
        <v>0.0013841875648598055</v>
      </c>
    </row>
    <row r="108" spans="1:7" ht="15.75">
      <c r="A108" s="34" t="s">
        <v>99</v>
      </c>
      <c r="B108" s="46">
        <f>IF(67.088="","-",67.088)</f>
        <v>67.088</v>
      </c>
      <c r="C108" s="46">
        <f>IF(OR(89.93647="",67.088=""),"-",67.088/89.93647*100)</f>
        <v>74.59487791771235</v>
      </c>
      <c r="D108" s="46">
        <f>IF(89.93647="","-",89.93647/1533630.30697*100)</f>
        <v>0.005864286170614864</v>
      </c>
      <c r="E108" s="46">
        <f>IF(67.088="","-",67.088/1581580.75115*100)</f>
        <v>0.0042418321006511325</v>
      </c>
      <c r="F108" s="46">
        <f>IF(OR(1219791.03674="",52.67591="",89.93647=""),"-",(89.93647-52.67591)/1219791.03674*100)</f>
        <v>0.0030546674698956767</v>
      </c>
      <c r="G108" s="46">
        <f>IF(OR(1533630.30697="",67.088="",89.93647=""),"-",(67.088-89.93647)/1533630.30697*100)</f>
        <v>-0.0014898290608994175</v>
      </c>
    </row>
    <row r="109" ht="15.75">
      <c r="A109" s="57" t="s">
        <v>21</v>
      </c>
    </row>
  </sheetData>
  <sheetProtection/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108"/>
  <sheetViews>
    <sheetView zoomScalePageLayoutView="0" workbookViewId="0" topLeftCell="A1">
      <selection activeCell="K65" sqref="K65"/>
    </sheetView>
  </sheetViews>
  <sheetFormatPr defaultColWidth="9.00390625" defaultRowHeight="15.75"/>
  <cols>
    <col min="1" max="1" width="32.75390625" style="0" customWidth="1"/>
    <col min="2" max="2" width="11.875" style="0" customWidth="1"/>
    <col min="3" max="3" width="9.75390625" style="0" customWidth="1"/>
    <col min="4" max="4" width="7.625" style="0" customWidth="1"/>
    <col min="5" max="5" width="7.75390625" style="0" customWidth="1"/>
    <col min="6" max="6" width="9.375" style="0" customWidth="1"/>
    <col min="7" max="7" width="9.625" style="0" customWidth="1"/>
  </cols>
  <sheetData>
    <row r="1" spans="1:7" ht="15.75">
      <c r="A1" s="85" t="s">
        <v>134</v>
      </c>
      <c r="B1" s="85"/>
      <c r="C1" s="85"/>
      <c r="D1" s="85"/>
      <c r="E1" s="85"/>
      <c r="F1" s="85"/>
      <c r="G1" s="85"/>
    </row>
    <row r="2" ht="15.75">
      <c r="A2" s="2"/>
    </row>
    <row r="3" spans="1:7" ht="55.5" customHeight="1">
      <c r="A3" s="73"/>
      <c r="B3" s="76" t="s">
        <v>255</v>
      </c>
      <c r="C3" s="77"/>
      <c r="D3" s="76" t="s">
        <v>119</v>
      </c>
      <c r="E3" s="77"/>
      <c r="F3" s="78" t="s">
        <v>143</v>
      </c>
      <c r="G3" s="79"/>
    </row>
    <row r="4" spans="1:8" ht="27" customHeight="1">
      <c r="A4" s="74"/>
      <c r="B4" s="80" t="s">
        <v>108</v>
      </c>
      <c r="C4" s="82" t="s">
        <v>256</v>
      </c>
      <c r="D4" s="84" t="s">
        <v>257</v>
      </c>
      <c r="E4" s="84"/>
      <c r="F4" s="84" t="s">
        <v>257</v>
      </c>
      <c r="G4" s="76"/>
      <c r="H4" s="1"/>
    </row>
    <row r="5" spans="1:7" ht="22.5" customHeight="1">
      <c r="A5" s="75"/>
      <c r="B5" s="81"/>
      <c r="C5" s="83"/>
      <c r="D5" s="22">
        <v>2018</v>
      </c>
      <c r="E5" s="22">
        <v>2019</v>
      </c>
      <c r="F5" s="22" t="s">
        <v>121</v>
      </c>
      <c r="G5" s="18" t="s">
        <v>144</v>
      </c>
    </row>
    <row r="6" spans="1:7" s="3" customFormat="1" ht="15">
      <c r="A6" s="35" t="s">
        <v>154</v>
      </c>
      <c r="B6" s="41">
        <f>IF(3306313.64307="","-",3306313.64307)</f>
        <v>3306313.64307</v>
      </c>
      <c r="C6" s="41">
        <f>IF(3222930.24801="","-",3306313.64307/3222930.24801*100)</f>
        <v>102.58719204709705</v>
      </c>
      <c r="D6" s="41">
        <v>100</v>
      </c>
      <c r="E6" s="41">
        <v>100</v>
      </c>
      <c r="F6" s="41">
        <f>IF(2578273.3802="","-",(3222930.24801-2578273.3802)/2578273.3802*100)</f>
        <v>25.003433412479843</v>
      </c>
      <c r="G6" s="41">
        <f>IF(3222930.24801="","-",(3306313.64307-3222930.24801)/3222930.24801*100)</f>
        <v>2.5871920470970515</v>
      </c>
    </row>
    <row r="7" spans="1:7" s="3" customFormat="1" ht="15">
      <c r="A7" s="47" t="s">
        <v>274</v>
      </c>
      <c r="B7" s="48"/>
      <c r="C7" s="48"/>
      <c r="D7" s="48"/>
      <c r="E7" s="48"/>
      <c r="F7" s="48"/>
      <c r="G7" s="48"/>
    </row>
    <row r="8" spans="1:7" s="3" customFormat="1" ht="15">
      <c r="A8" s="25" t="s">
        <v>241</v>
      </c>
      <c r="B8" s="42">
        <f>IF(1662170.88183="","-",1662170.88183)</f>
        <v>1662170.88183</v>
      </c>
      <c r="C8" s="42">
        <f>IF(1646263.61925="","-",1662170.88183/1646263.61925*100)</f>
        <v>100.96626460027387</v>
      </c>
      <c r="D8" s="42">
        <f>IF(1646263.61925="","-",1646263.61925/3222930.24801*100)</f>
        <v>51.07971605238699</v>
      </c>
      <c r="E8" s="42">
        <f>IF(1662170.88183="","-",1662170.88183/3306313.64307*100)</f>
        <v>50.27263173637182</v>
      </c>
      <c r="F8" s="42">
        <f>IF(2578273.3802="","-",(1646263.61925-1281857.55855)/2578273.3802*100)</f>
        <v>14.133724666223433</v>
      </c>
      <c r="G8" s="42">
        <f>IF(3222930.24801="","-",(1662170.88183-1646263.61925)/3222930.24801*100)</f>
        <v>0.4935652141346231</v>
      </c>
    </row>
    <row r="9" spans="1:7" s="3" customFormat="1" ht="15">
      <c r="A9" s="33" t="s">
        <v>2</v>
      </c>
      <c r="B9" s="43">
        <f>IF(472811.67714="","-",472811.67714)</f>
        <v>472811.67714</v>
      </c>
      <c r="C9" s="43">
        <f>IF(OR(460463.96523="",472811.67714=""),"-",472811.67714/460463.96523*100)</f>
        <v>102.68158050192535</v>
      </c>
      <c r="D9" s="43">
        <f>IF(460463.96523="","-",460463.96523/3222930.24801*100)</f>
        <v>14.287121650067162</v>
      </c>
      <c r="E9" s="43">
        <f>IF(472811.67714="","-",472811.67714/3306313.64307*100)</f>
        <v>14.300266949295887</v>
      </c>
      <c r="F9" s="43">
        <f>IF(OR(2578273.3802="",360051.9003="",460463.96523=""),"-",(460463.96523-360051.9003)/2578273.3802*100)</f>
        <v>3.8945468584177405</v>
      </c>
      <c r="G9" s="43">
        <f>IF(OR(3222930.24801="",472811.67714="",460463.96523=""),"-",(472811.67714-460463.96523)/3222930.24801*100)</f>
        <v>0.3831206684545566</v>
      </c>
    </row>
    <row r="10" spans="1:7" s="3" customFormat="1" ht="15">
      <c r="A10" s="33" t="s">
        <v>4</v>
      </c>
      <c r="B10" s="43">
        <f>IF(280420.27357="","-",280420.27357)</f>
        <v>280420.27357</v>
      </c>
      <c r="C10" s="43">
        <f>IF(OR(275469.41895="",280420.27357=""),"-",280420.27357/275469.41895*100)</f>
        <v>101.79724291678947</v>
      </c>
      <c r="D10" s="43">
        <f>IF(275469.41895="","-",275469.41895/3222930.24801*100)</f>
        <v>8.547172844342157</v>
      </c>
      <c r="E10" s="43">
        <f>IF(280420.27357="","-",280420.27357/3306313.64307*100)</f>
        <v>8.481357301288039</v>
      </c>
      <c r="F10" s="43">
        <f>IF(OR(2578273.3802="",206213.95365="",275469.41895=""),"-",(275469.41895-206213.95365)/2578273.3802*100)</f>
        <v>2.6861179978760736</v>
      </c>
      <c r="G10" s="43">
        <f>IF(OR(3222930.24801="",280420.27357="",275469.41895=""),"-",(280420.27357-275469.41895)/3222930.24801*100)</f>
        <v>0.15361345853069286</v>
      </c>
    </row>
    <row r="11" spans="1:7" ht="12.75" customHeight="1">
      <c r="A11" s="33" t="s">
        <v>3</v>
      </c>
      <c r="B11" s="43">
        <f>IF(240320.63605="","-",240320.63605)</f>
        <v>240320.63605</v>
      </c>
      <c r="C11" s="43">
        <f>IF(OR(237172.23059="",240320.63605=""),"-",240320.63605/237172.23059*100)</f>
        <v>101.32747643017393</v>
      </c>
      <c r="D11" s="43">
        <f>IF(237172.23059="","-",237172.23059/3222930.24801*100)</f>
        <v>7.358900514103341</v>
      </c>
      <c r="E11" s="43">
        <f>IF(240320.63605="","-",240320.63605/3306313.64307*100)</f>
        <v>7.268537168387204</v>
      </c>
      <c r="F11" s="43">
        <f>IF(OR(2578273.3802="",190453.03872="",237172.23059=""),"-",(237172.23059-190453.03872)/2578273.3802*100)</f>
        <v>1.8120340623605986</v>
      </c>
      <c r="G11" s="43">
        <f>IF(OR(3222930.24801="",240320.63605="",237172.23059=""),"-",(240320.63605-237172.23059)/3222930.24801*100)</f>
        <v>0.09768766984466987</v>
      </c>
    </row>
    <row r="12" spans="1:7" ht="15.75">
      <c r="A12" s="33" t="s">
        <v>5</v>
      </c>
      <c r="B12" s="43">
        <f>IF(110365.8352="","-",110365.8352)</f>
        <v>110365.8352</v>
      </c>
      <c r="C12" s="43">
        <f>IF(OR(113785.87585="",110365.8352=""),"-",110365.8352/113785.87585*100)</f>
        <v>96.99431882520418</v>
      </c>
      <c r="D12" s="43">
        <f>IF(113785.87585="","-",113785.87585/3222930.24801*100)</f>
        <v>3.530510035712288</v>
      </c>
      <c r="E12" s="43">
        <f>IF(110365.8352="","-",110365.8352/3306313.64307*100)</f>
        <v>3.3380328400279167</v>
      </c>
      <c r="F12" s="43">
        <f>IF(OR(2578273.3802="",83881.49653="",113785.87585=""),"-",(113785.87585-83881.49653)/2578273.3802*100)</f>
        <v>1.159860686211649</v>
      </c>
      <c r="G12" s="43">
        <f>IF(OR(3222930.24801="",110365.8352="",113785.87585=""),"-",(110365.8352-113785.87585)/3222930.24801*100)</f>
        <v>-0.1061158755176815</v>
      </c>
    </row>
    <row r="13" spans="1:7" s="9" customFormat="1" ht="15.75">
      <c r="A13" s="33" t="s">
        <v>168</v>
      </c>
      <c r="B13" s="43">
        <f>IF(87964.29394="","-",87964.29394)</f>
        <v>87964.29394</v>
      </c>
      <c r="C13" s="43">
        <f>IF(OR(87128.24414="",87964.29394=""),"-",87964.29394/87128.24414*100)</f>
        <v>100.95956231903011</v>
      </c>
      <c r="D13" s="43">
        <f>IF(87128.24414="","-",87128.24414/3222930.24801*100)</f>
        <v>2.703385969764545</v>
      </c>
      <c r="E13" s="43">
        <f>IF(87964.29394="","-",87964.29394/3306313.64307*100)</f>
        <v>2.660494539723183</v>
      </c>
      <c r="F13" s="43">
        <f>IF(OR(2578273.3802="",67005.22701="",87128.24414=""),"-",(87128.24414-67005.22701)/2578273.3802*100)</f>
        <v>0.7804842296606663</v>
      </c>
      <c r="G13" s="43">
        <f>IF(OR(3222930.24801="",87964.29394="",87128.24414=""),"-",(87964.29394-87128.24414)/3222930.24801*100)</f>
        <v>0.025940673103807547</v>
      </c>
    </row>
    <row r="14" spans="1:7" s="9" customFormat="1" ht="15.75">
      <c r="A14" s="33" t="s">
        <v>50</v>
      </c>
      <c r="B14" s="43">
        <f>IF(66440.15069="","-",66440.15069)</f>
        <v>66440.15069</v>
      </c>
      <c r="C14" s="43">
        <f>IF(OR(69316.88068="",66440.15069=""),"-",66440.15069/69316.88068*100)</f>
        <v>95.84988539331368</v>
      </c>
      <c r="D14" s="43">
        <f>IF(69316.88068="","-",69316.88068/3222930.24801*100)</f>
        <v>2.150740951430759</v>
      </c>
      <c r="E14" s="43">
        <f>IF(66440.15069="","-",66440.15069/3306313.64307*100)</f>
        <v>2.009493286556703</v>
      </c>
      <c r="F14" s="43">
        <f>IF(OR(2578273.3802="",53286.34408="",69316.88068=""),"-",(69316.88068-53286.34408)/2578273.3802*100)</f>
        <v>0.6217547263648392</v>
      </c>
      <c r="G14" s="43">
        <f>IF(OR(3222930.24801="",66440.15069="",69316.88068=""),"-",(66440.15069-69316.88068)/3222930.24801*100)</f>
        <v>-0.08925821437731224</v>
      </c>
    </row>
    <row r="15" spans="1:7" s="9" customFormat="1" ht="15.75">
      <c r="A15" s="33" t="s">
        <v>7</v>
      </c>
      <c r="B15" s="43">
        <f>IF(63369.87727="","-",63369.87727)</f>
        <v>63369.87727</v>
      </c>
      <c r="C15" s="43">
        <f>IF(OR(47753.97366="",63369.87727=""),"-",63369.87727/47753.97366*100)</f>
        <v>132.70074176692083</v>
      </c>
      <c r="D15" s="43">
        <f>IF(47753.97366="","-",47753.97366/3222930.24801*100)</f>
        <v>1.4816942963468016</v>
      </c>
      <c r="E15" s="43">
        <f>IF(63369.87727="","-",63369.87727/3306313.64307*100)</f>
        <v>1.9166323619304122</v>
      </c>
      <c r="F15" s="43">
        <f>IF(OR(2578273.3802="",35910.36149="",47753.97366=""),"-",(47753.97366-35910.36149)/2578273.3802*100)</f>
        <v>0.45936215534604313</v>
      </c>
      <c r="G15" s="43">
        <f>IF(OR(3222930.24801="",63369.87727="",47753.97366=""),"-",(63369.87727-47753.97366)/3222930.24801*100)</f>
        <v>0.48452502562356226</v>
      </c>
    </row>
    <row r="16" spans="1:7" s="9" customFormat="1" ht="15.75">
      <c r="A16" s="33" t="s">
        <v>8</v>
      </c>
      <c r="B16" s="43">
        <f>IF(56179.28324="","-",56179.28324)</f>
        <v>56179.28324</v>
      </c>
      <c r="C16" s="43">
        <f>IF(OR(64139.54587="",56179.28324=""),"-",56179.28324/64139.54587*100)</f>
        <v>87.58915030964812</v>
      </c>
      <c r="D16" s="43">
        <f>IF(64139.54587="","-",64139.54587/3222930.24801*100)</f>
        <v>1.990100341439378</v>
      </c>
      <c r="E16" s="43">
        <f>IF(56179.28324="","-",56179.28324/3306313.64307*100)</f>
        <v>1.6991516626909005</v>
      </c>
      <c r="F16" s="43">
        <f>IF(OR(2578273.3802="",43319.16635="",64139.54587=""),"-",(64139.54587-43319.16635)/2578273.3802*100)</f>
        <v>0.8075318808273519</v>
      </c>
      <c r="G16" s="43">
        <f>IF(OR(3222930.24801="",56179.28324="",64139.54587=""),"-",(56179.28324-64139.54587)/3222930.24801*100)</f>
        <v>-0.24698836206322097</v>
      </c>
    </row>
    <row r="17" spans="1:7" s="9" customFormat="1" ht="15.75">
      <c r="A17" s="33" t="s">
        <v>48</v>
      </c>
      <c r="B17" s="43">
        <f>IF(48848.13269="","-",48848.13269)</f>
        <v>48848.13269</v>
      </c>
      <c r="C17" s="43">
        <f>IF(OR(46031.96996="",48848.13269=""),"-",48848.13269/46031.96996*100)</f>
        <v>106.1178409971312</v>
      </c>
      <c r="D17" s="43">
        <f>IF(46031.96996="","-",46031.96996/3222930.24801*100)</f>
        <v>1.4282645424430909</v>
      </c>
      <c r="E17" s="43">
        <f>IF(48848.13269="","-",48848.13269/3306313.64307*100)</f>
        <v>1.47741980838343</v>
      </c>
      <c r="F17" s="43">
        <f>IF(OR(2578273.3802="",33651.12556="",46031.96996=""),"-",(46031.96996-33651.12556)/2578273.3802*100)</f>
        <v>0.48019905472706714</v>
      </c>
      <c r="G17" s="43">
        <f>IF(OR(3222930.24801="",48848.13269="",46031.96996=""),"-",(48848.13269-46031.96996)/3222930.24801*100)</f>
        <v>0.08737895372507169</v>
      </c>
    </row>
    <row r="18" spans="1:7" s="9" customFormat="1" ht="15.75">
      <c r="A18" s="33" t="s">
        <v>10</v>
      </c>
      <c r="B18" s="43">
        <f>IF(34845.86671="","-",34845.86671)</f>
        <v>34845.86671</v>
      </c>
      <c r="C18" s="43">
        <f>IF(OR(35005.99511="",34845.86671=""),"-",34845.86671/35005.99511*100)</f>
        <v>99.5425686386094</v>
      </c>
      <c r="D18" s="43">
        <f>IF(35005.99511="","-",35005.99511/3222930.24801*100)</f>
        <v>1.0861542886823092</v>
      </c>
      <c r="E18" s="43">
        <f>IF(34845.86671="","-",34845.86671/3306313.64307*100)</f>
        <v>1.0539189705440253</v>
      </c>
      <c r="F18" s="43">
        <f>IF(OR(2578273.3802="",25987.77538="",35005.99511=""),"-",(35005.99511-25987.77538)/2578273.3802*100)</f>
        <v>0.34977748284010324</v>
      </c>
      <c r="G18" s="43">
        <f>IF(OR(3222930.24801="",34845.86671="",35005.99511=""),"-",(34845.86671-35005.99511)/3222930.24801*100)</f>
        <v>-0.004968410349521922</v>
      </c>
    </row>
    <row r="19" spans="1:7" s="9" customFormat="1" ht="25.5">
      <c r="A19" s="33" t="s">
        <v>169</v>
      </c>
      <c r="B19" s="43">
        <f>IF(33344.94501="","-",33344.94501)</f>
        <v>33344.94501</v>
      </c>
      <c r="C19" s="43">
        <f>IF(OR(34242.38117="",33344.94501=""),"-",33344.94501/34242.38117*100)</f>
        <v>97.37916543962122</v>
      </c>
      <c r="D19" s="43">
        <f>IF(34242.38117="","-",34242.38117/3222930.24801*100)</f>
        <v>1.0624611311753636</v>
      </c>
      <c r="E19" s="43">
        <f>IF(33344.94501="","-",33344.94501/3306313.64307*100)</f>
        <v>1.0085233468364585</v>
      </c>
      <c r="F19" s="43">
        <f>IF(OR(2578273.3802="",33045.85338="",34242.38117=""),"-",(34242.38117-33045.85338)/2578273.3802*100)</f>
        <v>0.04640810393454801</v>
      </c>
      <c r="G19" s="43">
        <f>IF(OR(3222930.24801="",33344.94501="",34242.38117=""),"-",(33344.94501-34242.38117)/3222930.24801*100)</f>
        <v>-0.02784534851643531</v>
      </c>
    </row>
    <row r="20" spans="1:7" s="9" customFormat="1" ht="15.75">
      <c r="A20" s="33" t="s">
        <v>6</v>
      </c>
      <c r="B20" s="43">
        <f>IF(28011.33858="","-",28011.33858)</f>
        <v>28011.33858</v>
      </c>
      <c r="C20" s="43">
        <f>IF(OR(37684.89514="",28011.33858=""),"-",28011.33858/37684.89514*100)</f>
        <v>74.3304140185011</v>
      </c>
      <c r="D20" s="43">
        <f>IF(37684.89514="","-",37684.89514/3222930.24801*100)</f>
        <v>1.1692743013370692</v>
      </c>
      <c r="E20" s="43">
        <f>IF(28011.33858="","-",28011.33858/3306313.64307*100)</f>
        <v>0.8472075430203507</v>
      </c>
      <c r="F20" s="43">
        <f>IF(OR(2578273.3802="",38898.08571="",37684.89514=""),"-",(37684.89514-38898.08571)/2578273.3802*100)</f>
        <v>-0.0470543806299505</v>
      </c>
      <c r="G20" s="43">
        <f>IF(OR(3222930.24801="",28011.33858="",37684.89514=""),"-",(28011.33858-37684.89514)/3222930.24801*100)</f>
        <v>-0.3001478721412895</v>
      </c>
    </row>
    <row r="21" spans="1:7" s="9" customFormat="1" ht="15.75">
      <c r="A21" s="33" t="s">
        <v>49</v>
      </c>
      <c r="B21" s="43">
        <f>IF(25449.6988="","-",25449.6988)</f>
        <v>25449.6988</v>
      </c>
      <c r="C21" s="43">
        <f>IF(OR(28540.43014="",25449.6988=""),"-",25449.6988/28540.43014*100)</f>
        <v>89.1706911043773</v>
      </c>
      <c r="D21" s="43">
        <f>IF(28540.43014="","-",28540.43014/3222930.24801*100)</f>
        <v>0.8855429048649844</v>
      </c>
      <c r="E21" s="43">
        <f>IF(25449.6988="","-",25449.6988/3306313.64307*100)</f>
        <v>0.7697303265025176</v>
      </c>
      <c r="F21" s="43">
        <f>IF(OR(2578273.3802="",21251.10856="",28540.43014=""),"-",(28540.43014-21251.10856)/2578273.3802*100)</f>
        <v>0.28272105029585953</v>
      </c>
      <c r="G21" s="43">
        <f>IF(OR(3222930.24801="",25449.6988="",28540.43014=""),"-",(25449.6988-28540.43014)/3222930.24801*100)</f>
        <v>-0.0958981765710994</v>
      </c>
    </row>
    <row r="22" spans="1:7" s="9" customFormat="1" ht="15.75">
      <c r="A22" s="33" t="s">
        <v>52</v>
      </c>
      <c r="B22" s="43">
        <f>IF(19658.5899="","-",19658.5899)</f>
        <v>19658.5899</v>
      </c>
      <c r="C22" s="43">
        <f>IF(OR(17148.13975="",19658.5899=""),"-",19658.5899/17148.13975*100)</f>
        <v>114.63978126257106</v>
      </c>
      <c r="D22" s="43">
        <f>IF(17148.13975="","-",17148.13975/3222930.24801*100)</f>
        <v>0.5320667352508831</v>
      </c>
      <c r="E22" s="43">
        <f>IF(19658.5899="","-",19658.5899/3306313.64307*100)</f>
        <v>0.5945772852253205</v>
      </c>
      <c r="F22" s="43">
        <f>IF(OR(2578273.3802="",12367.52693="",17148.13975=""),"-",(17148.13975-12367.52693)/2578273.3802*100)</f>
        <v>0.18541915906641213</v>
      </c>
      <c r="G22" s="43">
        <f>IF(OR(3222930.24801="",19658.5899="",17148.13975=""),"-",(19658.5899-17148.13975)/3222930.24801*100)</f>
        <v>0.07789340621163238</v>
      </c>
    </row>
    <row r="23" spans="1:7" s="9" customFormat="1" ht="15.75" customHeight="1">
      <c r="A23" s="33" t="s">
        <v>58</v>
      </c>
      <c r="B23" s="43">
        <f>IF(14130.88748="","-",14130.88748)</f>
        <v>14130.88748</v>
      </c>
      <c r="C23" s="43">
        <f>IF(OR(13752.47512="",14130.88748=""),"-",14130.88748/13752.47512*100)</f>
        <v>102.7515945798708</v>
      </c>
      <c r="D23" s="43">
        <f>IF(13752.47512="","-",13752.47512/3222930.24801*100)</f>
        <v>0.42670719071538926</v>
      </c>
      <c r="E23" s="43">
        <f>IF(14130.88748="","-",14130.88748/3306313.64307*100)</f>
        <v>0.42739101626423726</v>
      </c>
      <c r="F23" s="43">
        <f>IF(OR(2578273.3802="",10359.95367="",13752.47512=""),"-",(13752.47512-10359.95367)/2578273.3802*100)</f>
        <v>0.13158113782863615</v>
      </c>
      <c r="G23" s="43">
        <f>IF(OR(3222930.24801="",14130.88748="",13752.47512=""),"-",(14130.88748-13752.47512)/3222930.24801*100)</f>
        <v>0.011741251931643607</v>
      </c>
    </row>
    <row r="24" spans="1:7" s="9" customFormat="1" ht="15.75">
      <c r="A24" s="33" t="s">
        <v>9</v>
      </c>
      <c r="B24" s="43">
        <f>IF(13662.95295="","-",13662.95295)</f>
        <v>13662.95295</v>
      </c>
      <c r="C24" s="43">
        <f>IF(OR(14437.64946="",13662.95295=""),"-",13662.95295/14437.64946*100)</f>
        <v>94.63419227522927</v>
      </c>
      <c r="D24" s="43">
        <f>IF(14437.64946="","-",14437.64946/3222930.24801*100)</f>
        <v>0.4479665505921058</v>
      </c>
      <c r="E24" s="43">
        <f>IF(13662.95295="","-",13662.95295/3306313.64307*100)</f>
        <v>0.41323825943244713</v>
      </c>
      <c r="F24" s="43">
        <f>IF(OR(2578273.3802="",13033.72514="",14437.64946=""),"-",(14437.64946-13033.72514)/2578273.3802*100)</f>
        <v>0.05445211244011276</v>
      </c>
      <c r="G24" s="43">
        <f>IF(OR(3222930.24801="",13662.95295="",14437.64946=""),"-",(13662.95295-14437.64946)/3222930.24801*100)</f>
        <v>-0.0240370237760602</v>
      </c>
    </row>
    <row r="25" spans="1:7" s="9" customFormat="1" ht="15.75">
      <c r="A25" s="33" t="s">
        <v>60</v>
      </c>
      <c r="B25" s="43">
        <f>IF(12879.06026="","-",12879.06026)</f>
        <v>12879.06026</v>
      </c>
      <c r="C25" s="43">
        <f>IF(OR(13364.61281="",12879.06026=""),"-",12879.06026/13364.61281*100)</f>
        <v>96.3668790341858</v>
      </c>
      <c r="D25" s="43">
        <f>IF(13364.61281="","-",13364.61281/3222930.24801*100)</f>
        <v>0.4146727289010362</v>
      </c>
      <c r="E25" s="43">
        <f>IF(12879.06026="","-",12879.06026/3306313.64307*100)</f>
        <v>0.38952929607856107</v>
      </c>
      <c r="F25" s="43">
        <f>IF(OR(2578273.3802="",9124.56733="",13364.61281=""),"-",(13364.61281-9124.56733)/2578273.3802*100)</f>
        <v>0.16445290528776646</v>
      </c>
      <c r="G25" s="43">
        <f>IF(OR(3222930.24801="",12879.06026="",13364.61281=""),"-",(12879.06026-13364.61281)/3222930.24801*100)</f>
        <v>-0.015065561853217424</v>
      </c>
    </row>
    <row r="26" spans="1:7" s="9" customFormat="1" ht="15.75">
      <c r="A26" s="33" t="s">
        <v>59</v>
      </c>
      <c r="B26" s="43">
        <f>IF(10683.20932="","-",10683.20932)</f>
        <v>10683.20932</v>
      </c>
      <c r="C26" s="43">
        <f>IF(OR(9683.98886="",10683.20932=""),"-",10683.20932/9683.98886*100)</f>
        <v>110.31827353836918</v>
      </c>
      <c r="D26" s="43">
        <f>IF(9683.98886="","-",9683.98886/3222930.24801*100)</f>
        <v>0.3004715620506954</v>
      </c>
      <c r="E26" s="43">
        <f>IF(10683.20932="","-",10683.20932/3306313.64307*100)</f>
        <v>0.3231154231962203</v>
      </c>
      <c r="F26" s="43">
        <f>IF(OR(2578273.3802="",7197.92483="",9683.98886=""),"-",(9683.98886-7197.92483)/2578273.3802*100)</f>
        <v>0.09642360073574326</v>
      </c>
      <c r="G26" s="43">
        <f>IF(OR(3222930.24801="",10683.20932="",9683.98886=""),"-",(10683.20932-9683.98886)/3222930.24801*100)</f>
        <v>0.03100347767740148</v>
      </c>
    </row>
    <row r="27" spans="1:7" s="9" customFormat="1" ht="15.75">
      <c r="A27" s="33" t="s">
        <v>51</v>
      </c>
      <c r="B27" s="43">
        <f>IF(10329.31236="","-",10329.31236)</f>
        <v>10329.31236</v>
      </c>
      <c r="C27" s="43">
        <f>IF(OR(7468.08134="",10329.31236=""),"-",10329.31236/7468.08134*100)</f>
        <v>138.31279936219872</v>
      </c>
      <c r="D27" s="43">
        <f>IF(7468.08134="","-",7468.08134/3222930.24801*100)</f>
        <v>0.23171712588602156</v>
      </c>
      <c r="E27" s="43">
        <f>IF(10329.31236="","-",10329.31236/3306313.64307*100)</f>
        <v>0.3124117514274586</v>
      </c>
      <c r="F27" s="43">
        <f>IF(OR(2578273.3802="",6662.86729="",7468.08134=""),"-",(7468.08134-6662.86729)/2578273.3802*100)</f>
        <v>0.031230747529865825</v>
      </c>
      <c r="G27" s="43">
        <f>IF(OR(3222930.24801="",10329.31236="",7468.08134=""),"-",(10329.31236-7468.08134)/3222930.24801*100)</f>
        <v>0.08877731752856484</v>
      </c>
    </row>
    <row r="28" spans="1:7" s="9" customFormat="1" ht="15.75">
      <c r="A28" s="33" t="s">
        <v>57</v>
      </c>
      <c r="B28" s="43">
        <f>IF(7942.88386="","-",7942.88386)</f>
        <v>7942.88386</v>
      </c>
      <c r="C28" s="43">
        <f>IF(OR(7770.10075="",7942.88386=""),"-",7942.88386/7770.10075*100)</f>
        <v>102.2236920158339</v>
      </c>
      <c r="D28" s="43">
        <f>IF(7770.10075="","-",7770.10075/3222930.24801*100)</f>
        <v>0.2410880829579744</v>
      </c>
      <c r="E28" s="43">
        <f>IF(7942.88386="","-",7942.88386/3306313.64307*100)</f>
        <v>0.24023382889424913</v>
      </c>
      <c r="F28" s="43">
        <f>IF(OR(2578273.3802="",7266.18395="",7770.10075=""),"-",(7770.10075-7266.18395)/2578273.3802*100)</f>
        <v>0.019544738888818317</v>
      </c>
      <c r="G28" s="43">
        <f>IF(OR(3222930.24801="",7942.88386="",7770.10075=""),"-",(7942.88386-7770.10075)/3222930.24801*100)</f>
        <v>0.005361056451863497</v>
      </c>
    </row>
    <row r="29" spans="1:7" s="9" customFormat="1" ht="15.75">
      <c r="A29" s="33" t="s">
        <v>56</v>
      </c>
      <c r="B29" s="43">
        <f>IF(7025.87411="","-",7025.87411)</f>
        <v>7025.87411</v>
      </c>
      <c r="C29" s="43">
        <f>IF(OR(9181.27104="",7025.87411=""),"-",7025.87411/9181.27104*100)</f>
        <v>76.52398104130036</v>
      </c>
      <c r="D29" s="43">
        <f>IF(9181.27104="","-",9181.27104/3222930.24801*100)</f>
        <v>0.28487340195056904</v>
      </c>
      <c r="E29" s="43">
        <f>IF(7025.87411="","-",7025.87411/3306313.64307*100)</f>
        <v>0.2124987181638427</v>
      </c>
      <c r="F29" s="43">
        <f>IF(OR(2578273.3802="",8373.72984="",9181.27104=""),"-",(9181.27104-8373.72984)/2578273.3802*100)</f>
        <v>0.03132100754720423</v>
      </c>
      <c r="G29" s="43">
        <f>IF(OR(3222930.24801="",7025.87411="",9181.27104=""),"-",(7025.87411-9181.27104)/3222930.24801*100)</f>
        <v>-0.06687693385020824</v>
      </c>
    </row>
    <row r="30" spans="1:7" s="9" customFormat="1" ht="15.75">
      <c r="A30" s="33" t="s">
        <v>53</v>
      </c>
      <c r="B30" s="43">
        <f>IF(5876.0199="","-",5876.0199)</f>
        <v>5876.0199</v>
      </c>
      <c r="C30" s="43">
        <f>IF(OR(6627.84741="",5876.0199=""),"-",5876.0199/6627.84741*100)</f>
        <v>88.65653562172156</v>
      </c>
      <c r="D30" s="43">
        <f>IF(6627.84741="","-",6627.84741/3222930.24801*100)</f>
        <v>0.20564662899832747</v>
      </c>
      <c r="E30" s="43">
        <f>IF(5876.0199="","-",5876.0199/3306313.64307*100)</f>
        <v>0.1777211884394597</v>
      </c>
      <c r="F30" s="43">
        <f>IF(OR(2578273.3802="",4259.1235="",6627.84741=""),"-",(6627.84741-4259.1235)/2578273.3802*100)</f>
        <v>0.09187248831682293</v>
      </c>
      <c r="G30" s="43">
        <f>IF(OR(3222930.24801="",5876.0199="",6627.84741=""),"-",(5876.0199-6627.84741)/3222930.24801*100)</f>
        <v>-0.02332745210555569</v>
      </c>
    </row>
    <row r="31" spans="1:7" s="9" customFormat="1" ht="15.75">
      <c r="A31" s="33" t="s">
        <v>61</v>
      </c>
      <c r="B31" s="43">
        <f>IF(4218.43593="","-",4218.43593)</f>
        <v>4218.43593</v>
      </c>
      <c r="C31" s="43">
        <f>IF(OR(3911.71512="",4218.43593=""),"-",4218.43593/3911.71512*100)</f>
        <v>107.84108250705127</v>
      </c>
      <c r="D31" s="43">
        <f>IF(3911.71512="","-",3911.71512/3222930.24801*100)</f>
        <v>0.12137138625371399</v>
      </c>
      <c r="E31" s="43">
        <f>IF(4218.43593="","-",4218.43593/3306313.64307*100)</f>
        <v>0.12758728860590096</v>
      </c>
      <c r="F31" s="43">
        <f>IF(OR(2578273.3802="",3883.83344="",3911.71512=""),"-",(3911.71512-3883.83344)/2578273.3802*100)</f>
        <v>0.001081408985335649</v>
      </c>
      <c r="G31" s="43">
        <f>IF(OR(3222930.24801="",4218.43593="",3911.71512=""),"-",(4218.43593-3911.71512)/3222930.24801*100)</f>
        <v>0.009516830536105605</v>
      </c>
    </row>
    <row r="32" spans="1:7" s="9" customFormat="1" ht="15.75">
      <c r="A32" s="33" t="s">
        <v>170</v>
      </c>
      <c r="B32" s="43">
        <f>IF(3138.05305="","-",3138.05305)</f>
        <v>3138.05305</v>
      </c>
      <c r="C32" s="43">
        <f>IF(OR(2126.4766="",3138.05305=""),"-",3138.05305/2126.4766*100)</f>
        <v>147.57054227636456</v>
      </c>
      <c r="D32" s="43">
        <f>IF(2126.4766="","-",2126.4766/3222930.24801*100)</f>
        <v>0.06597960353975994</v>
      </c>
      <c r="E32" s="43">
        <f>IF(3138.05305="","-",3138.05305/3306313.64307*100)</f>
        <v>0.09491093068491331</v>
      </c>
      <c r="F32" s="43">
        <f>IF(OR(2578273.3802="",1216.4929="",2126.4766=""),"-",(2126.4766-1216.4929)/2578273.3802*100)</f>
        <v>0.03529430614256318</v>
      </c>
      <c r="G32" s="43">
        <f>IF(OR(3222930.24801="",3138.05305="",2126.4766=""),"-",(3138.05305-2126.4766)/3222930.24801*100)</f>
        <v>0.031386855195659244</v>
      </c>
    </row>
    <row r="33" spans="1:7" s="9" customFormat="1" ht="15.75">
      <c r="A33" s="33" t="s">
        <v>54</v>
      </c>
      <c r="B33" s="43">
        <f>IF(2679.61624="","-",2679.61624)</f>
        <v>2679.61624</v>
      </c>
      <c r="C33" s="43">
        <f>IF(OR(2831.001="",2679.61624=""),"-",2679.61624/2831.001*100)</f>
        <v>94.65260662218063</v>
      </c>
      <c r="D33" s="43">
        <f>IF(2831.001="","-",2831.001/3222930.24801*100)</f>
        <v>0.08783935059556448</v>
      </c>
      <c r="E33" s="43">
        <f>IF(2679.61624="","-",2679.61624/3306313.64307*100)</f>
        <v>0.0810454339568313</v>
      </c>
      <c r="F33" s="43">
        <f>IF(OR(2578273.3802="",2897.26505="",2831.001=""),"-",(2831.001-2897.26505)/2578273.3802*100)</f>
        <v>-0.0025700940214051153</v>
      </c>
      <c r="G33" s="43">
        <f>IF(OR(3222930.24801="",2679.61624="",2831.001=""),"-",(2679.61624-2831.001)/3222930.24801*100)</f>
        <v>-0.004697115616866762</v>
      </c>
    </row>
    <row r="34" spans="1:7" s="9" customFormat="1" ht="15.75">
      <c r="A34" s="33" t="s">
        <v>62</v>
      </c>
      <c r="B34" s="43">
        <f>IF(1077.24171="","-",1077.24171)</f>
        <v>1077.24171</v>
      </c>
      <c r="C34" s="43" t="s">
        <v>253</v>
      </c>
      <c r="D34" s="43">
        <f>IF(576.27817="","-",576.27817/3222930.24801*100)</f>
        <v>0.017880565995985278</v>
      </c>
      <c r="E34" s="43">
        <f>IF(1077.24171="","-",1077.24171/3306313.64307*100)</f>
        <v>0.03258135271763729</v>
      </c>
      <c r="F34" s="43">
        <f>IF(OR(2578273.3802="",1411.76269="",576.27817=""),"-",(576.27817-1411.76269)/2578273.3802*100)</f>
        <v>-0.03240480727979243</v>
      </c>
      <c r="G34" s="43">
        <f>IF(OR(3222930.24801="",1077.24171="",576.27817=""),"-",(1077.24171-576.27817)/3222930.24801*100)</f>
        <v>0.015543728887999365</v>
      </c>
    </row>
    <row r="35" spans="1:7" s="9" customFormat="1" ht="15.75">
      <c r="A35" s="33" t="s">
        <v>55</v>
      </c>
      <c r="B35" s="43">
        <f>IF(438.996="","-",438.996)</f>
        <v>438.996</v>
      </c>
      <c r="C35" s="43">
        <f>IF(OR(589.14416="",438.996=""),"-",438.996/589.14416*100)</f>
        <v>74.51419021110213</v>
      </c>
      <c r="D35" s="43">
        <f>IF(589.14416="","-",589.14416/3222930.24801*100)</f>
        <v>0.01827976762338457</v>
      </c>
      <c r="E35" s="43">
        <f>IF(438.996="","-",438.996/3306313.64307*100)</f>
        <v>0.013277506231755451</v>
      </c>
      <c r="F35" s="43">
        <f>IF(OR(2578273.3802="",626.15399="",589.14416=""),"-",(589.14416-626.15399)/2578273.3802*100)</f>
        <v>-0.001435450184771681</v>
      </c>
      <c r="G35" s="43">
        <f>IF(OR(3222930.24801="",438.996="",589.14416=""),"-",(438.996-589.14416)/3222930.24801*100)</f>
        <v>-0.004658746806348326</v>
      </c>
    </row>
    <row r="36" spans="1:7" s="9" customFormat="1" ht="15.75">
      <c r="A36" s="33" t="s">
        <v>63</v>
      </c>
      <c r="B36" s="43">
        <f>IF(57.73987="","-",57.73987)</f>
        <v>57.73987</v>
      </c>
      <c r="C36" s="43">
        <f>IF(OR(59.03117="",57.73987=""),"-",57.73987/59.03117*100)</f>
        <v>97.81251159345139</v>
      </c>
      <c r="D36" s="43">
        <f>IF(59.03117="","-",59.03117/3222930.24801*100)</f>
        <v>0.0018315993663359246</v>
      </c>
      <c r="E36" s="43">
        <f>IF(57.73987="","-",57.73987/3306313.64307*100)</f>
        <v>0.0017463518659526502</v>
      </c>
      <c r="F36" s="43">
        <f>IF(OR(2578273.3802="",221.01128="",59.03117=""),"-",(59.03117-221.01128)/2578273.3802*100)</f>
        <v>-0.006282503292472227</v>
      </c>
      <c r="G36" s="43">
        <f>IF(OR(3222930.24801="",57.73987="",59.03117=""),"-",(57.73987-59.03117)/3222930.24801*100)</f>
        <v>-4.0066023793016106E-05</v>
      </c>
    </row>
    <row r="37" spans="1:7" s="9" customFormat="1" ht="15.75">
      <c r="A37" s="25" t="s">
        <v>275</v>
      </c>
      <c r="B37" s="42">
        <f>IF(807957.05962="","-",807957.05962)</f>
        <v>807957.05962</v>
      </c>
      <c r="C37" s="42">
        <f>IF(759729.13634="","-",807957.05962/759729.13634*100)</f>
        <v>106.34804181821147</v>
      </c>
      <c r="D37" s="42">
        <f>IF(759729.13634="","-",759729.13634/3222930.24801*100)</f>
        <v>23.572621120456922</v>
      </c>
      <c r="E37" s="42">
        <f>IF(807957.05962="","-",807957.05962/3306313.64307*100)</f>
        <v>24.43679417146252</v>
      </c>
      <c r="F37" s="42">
        <f>IF(2578273.3802="","-",(759729.13634-635226.27601)/2578273.3802*100)</f>
        <v>4.828923933595517</v>
      </c>
      <c r="G37" s="42">
        <f>IF(3222930.24801="","-",(807957.05962-759729.13634)/3222930.24801*100)</f>
        <v>1.4963998463751533</v>
      </c>
    </row>
    <row r="38" spans="1:7" s="9" customFormat="1" ht="15.75">
      <c r="A38" s="33" t="s">
        <v>171</v>
      </c>
      <c r="B38" s="43">
        <f>IF(396120.81318="","-",396120.81318)</f>
        <v>396120.81318</v>
      </c>
      <c r="C38" s="43">
        <f>IF(OR(375170.1963="",396120.81318=""),"-",396120.81318/375170.1963*100)</f>
        <v>105.58429669697087</v>
      </c>
      <c r="D38" s="43">
        <f>IF(375170.1963="","-",375170.1963/3222930.24801*100)</f>
        <v>11.640655162538781</v>
      </c>
      <c r="E38" s="43">
        <f>IF(396120.81318="","-",396120.81318/3306313.64307*100)</f>
        <v>11.980739153717773</v>
      </c>
      <c r="F38" s="43">
        <f>IF(OR(2578273.3802="",297889.49989="",375170.1963=""),"-",(375170.1963-297889.49989)/2578273.3802*100)</f>
        <v>2.9973817750856684</v>
      </c>
      <c r="G38" s="43">
        <f>IF(OR(3222930.24801="",396120.81318="",375170.1963=""),"-",(396120.81318-375170.1963)/3222930.24801*100)</f>
        <v>0.6500487217474209</v>
      </c>
    </row>
    <row r="39" spans="1:7" s="9" customFormat="1" ht="15.75">
      <c r="A39" s="33" t="s">
        <v>12</v>
      </c>
      <c r="B39" s="43">
        <f>IF(324280.65544="","-",324280.65544)</f>
        <v>324280.65544</v>
      </c>
      <c r="C39" s="43">
        <f>IF(OR(309348.22745="",324280.65544=""),"-",324280.65544/309348.22745*100)</f>
        <v>104.82706111267876</v>
      </c>
      <c r="D39" s="43">
        <f>IF(309348.22745="","-",309348.22745/3222930.24801*100)</f>
        <v>9.598353164515652</v>
      </c>
      <c r="E39" s="43">
        <f>IF(324280.65544="","-",324280.65544/3306313.64307*100)</f>
        <v>9.807921765670628</v>
      </c>
      <c r="F39" s="43">
        <f>IF(OR(2578273.3802="",270982.94947="",309348.22745=""),"-",(309348.22745-270982.94947)/2578273.3802*100)</f>
        <v>1.4880221110231517</v>
      </c>
      <c r="G39" s="43">
        <f>IF(OR(3222930.24801="",324280.65544="",309348.22745=""),"-",(324280.65544-309348.22745)/3222930.24801*100)</f>
        <v>0.4633183730619063</v>
      </c>
    </row>
    <row r="40" spans="1:7" s="9" customFormat="1" ht="15.75">
      <c r="A40" s="33" t="s">
        <v>11</v>
      </c>
      <c r="B40" s="43">
        <f>IF(74563.78794="","-",74563.78794)</f>
        <v>74563.78794</v>
      </c>
      <c r="C40" s="43">
        <f>IF(OR(62056.95558="",74563.78794=""),"-",74563.78794/62056.95558*100)</f>
        <v>120.15379620722283</v>
      </c>
      <c r="D40" s="43">
        <f>IF(62056.95558="","-",62056.95558/3222930.24801*100)</f>
        <v>1.9254824276236537</v>
      </c>
      <c r="E40" s="43">
        <f>IF(74563.78794="","-",74563.78794/3306313.64307*100)</f>
        <v>2.2551940314641636</v>
      </c>
      <c r="F40" s="43">
        <f>IF(OR(2578273.3802="",62912.15184="",62056.95558=""),"-",(62056.95558-62912.15184)/2578273.3802*100)</f>
        <v>-0.03316933986006008</v>
      </c>
      <c r="G40" s="43">
        <f>IF(OR(3222930.24801="",74563.78794="",62056.95558=""),"-",(74563.78794-62056.95558)/3222930.24801*100)</f>
        <v>0.38805780446915794</v>
      </c>
    </row>
    <row r="41" spans="1:7" s="9" customFormat="1" ht="15.75">
      <c r="A41" s="33" t="s">
        <v>13</v>
      </c>
      <c r="B41" s="43">
        <f>IF(4926.08263="","-",4926.08263)</f>
        <v>4926.08263</v>
      </c>
      <c r="C41" s="43" t="s">
        <v>253</v>
      </c>
      <c r="D41" s="43">
        <f>IF(2574.34844="","-",2574.34844/3222930.24801*100)</f>
        <v>0.07987602094676212</v>
      </c>
      <c r="E41" s="43">
        <f>IF(4926.08263="","-",4926.08263/3306313.64307*100)</f>
        <v>0.1489901794503077</v>
      </c>
      <c r="F41" s="43">
        <f>IF(OR(2578273.3802="",817.19284="",2574.34844=""),"-",(2574.34844-817.19284)/2578273.3802*100)</f>
        <v>0.06815241601197834</v>
      </c>
      <c r="G41" s="43">
        <f>IF(OR(3222930.24801="",4926.08263="",2574.34844=""),"-",(4926.08263-2574.34844)/3222930.24801*100)</f>
        <v>0.07296882057723958</v>
      </c>
    </row>
    <row r="42" spans="1:7" s="9" customFormat="1" ht="15.75">
      <c r="A42" s="33" t="s">
        <v>15</v>
      </c>
      <c r="B42" s="43">
        <f>IF(4914.30598="","-",4914.30598)</f>
        <v>4914.30598</v>
      </c>
      <c r="C42" s="43" t="s">
        <v>179</v>
      </c>
      <c r="D42" s="43">
        <f>IF(2158.19676="","-",2158.19676/3222930.24801*100)</f>
        <v>0.06696380603745859</v>
      </c>
      <c r="E42" s="43">
        <f>IF(4914.30598="","-",4914.30598/3306313.64307*100)</f>
        <v>0.1486339927338816</v>
      </c>
      <c r="F42" s="43">
        <f>IF(OR(2578273.3802="",2122.56288="",2158.19676=""),"-",(2158.19676-2122.56288)/2578273.3802*100)</f>
        <v>0.001382083074419195</v>
      </c>
      <c r="G42" s="43">
        <f>IF(OR(3222930.24801="",4914.30598="",2158.19676=""),"-",(4914.30598-2158.19676)/3222930.24801*100)</f>
        <v>0.0855156335357168</v>
      </c>
    </row>
    <row r="43" spans="1:7" s="9" customFormat="1" ht="15.75">
      <c r="A43" s="33" t="s">
        <v>16</v>
      </c>
      <c r="B43" s="43">
        <f>IF(1964.75369="","-",1964.75369)</f>
        <v>1964.75369</v>
      </c>
      <c r="C43" s="43">
        <f>IF(OR(7372.68661="",1964.75369=""),"-",1964.75369/7372.68661*100)</f>
        <v>26.64908728569978</v>
      </c>
      <c r="D43" s="43">
        <f>IF(7372.68661="","-",7372.68661/3222930.24801*100)</f>
        <v>0.22875725016240325</v>
      </c>
      <c r="E43" s="43">
        <f>IF(1964.75369="","-",1964.75369/3306313.64307*100)</f>
        <v>0.059424298542217965</v>
      </c>
      <c r="F43" s="43">
        <f>IF(OR(2578273.3802="",4.47522="",7372.68661=""),"-",(7372.68661-4.47522)/2578273.3802*100)</f>
        <v>0.2857808425818847</v>
      </c>
      <c r="G43" s="43">
        <f>IF(OR(3222930.24801="",1964.75369="",7372.68661=""),"-",(1964.75369-7372.68661)/3222930.24801*100)</f>
        <v>-0.1677955308942578</v>
      </c>
    </row>
    <row r="44" spans="1:7" s="9" customFormat="1" ht="15.75">
      <c r="A44" s="33" t="s">
        <v>17</v>
      </c>
      <c r="B44" s="43">
        <f>IF(671.80026="","-",671.80026)</f>
        <v>671.80026</v>
      </c>
      <c r="C44" s="43">
        <f>IF(OR(655.56583="",671.80026=""),"-",671.80026/655.56583*100)</f>
        <v>102.47639966225816</v>
      </c>
      <c r="D44" s="43">
        <f>IF(655.56583="","-",655.56583/3222930.24801*100)</f>
        <v>0.020340676947780034</v>
      </c>
      <c r="E44" s="43">
        <f>IF(671.80026="","-",671.80026/3306313.64307*100)</f>
        <v>0.020318709370119394</v>
      </c>
      <c r="F44" s="43">
        <f>IF(OR(2578273.3802="",356.8124="",655.56583=""),"-",(655.56583-356.8124)/2578273.3802*100)</f>
        <v>0.011587344937673959</v>
      </c>
      <c r="G44" s="43">
        <f>IF(OR(3222930.24801="",671.80026="",655.56583=""),"-",(671.80026-655.56583)/3222930.24801*100)</f>
        <v>0.0005037164552358504</v>
      </c>
    </row>
    <row r="45" spans="1:7" s="9" customFormat="1" ht="15.75">
      <c r="A45" s="33" t="s">
        <v>14</v>
      </c>
      <c r="B45" s="43">
        <f>IF(429.5169="","-",429.5169)</f>
        <v>429.5169</v>
      </c>
      <c r="C45" s="43">
        <f>IF(OR(334.02105="",429.5169=""),"-",429.5169/334.02105*100)</f>
        <v>128.58977001599152</v>
      </c>
      <c r="D45" s="43">
        <f>IF(334.02105="","-",334.02105/3222930.24801*100)</f>
        <v>0.010363893236791006</v>
      </c>
      <c r="E45" s="43">
        <f>IF(429.5169="","-",429.5169/3306313.64307*100)</f>
        <v>0.01299080929301015</v>
      </c>
      <c r="F45" s="43">
        <f>IF(OR(2578273.3802="",93.12831="",334.02105=""),"-",(334.02105-93.12831)/2578273.3802*100)</f>
        <v>0.00934318066695137</v>
      </c>
      <c r="G45" s="43">
        <f>IF(OR(3222930.24801="",429.5169="",334.02105=""),"-",(429.5169-334.02105)/3222930.24801*100)</f>
        <v>0.002963013241101447</v>
      </c>
    </row>
    <row r="46" spans="1:7" s="9" customFormat="1" ht="15.75">
      <c r="A46" s="33" t="s">
        <v>147</v>
      </c>
      <c r="B46" s="43">
        <f>IF(85.24136="","-",85.24136)</f>
        <v>85.24136</v>
      </c>
      <c r="C46" s="43">
        <f>IF(OR(58.69841="",85.24136=""),"-",85.24136/58.69841*100)</f>
        <v>145.21919758984953</v>
      </c>
      <c r="D46" s="43">
        <f>IF(58.69841="","-",58.69841/3222930.24801*100)</f>
        <v>0.0018212746005360607</v>
      </c>
      <c r="E46" s="43">
        <f>IF(85.24136="","-",85.24136/3306313.64307*100)</f>
        <v>0.002578138954804394</v>
      </c>
      <c r="F46" s="43">
        <f>IF(OR(2578273.3802="",44.93099="",58.69841=""),"-",(58.69841-44.93099)/2578273.3802*100)</f>
        <v>0.0005339782858453918</v>
      </c>
      <c r="G46" s="43">
        <f>IF(OR(3222930.24801="",85.24136="",58.69841=""),"-",(85.24136-58.69841)/3222930.24801*100)</f>
        <v>0.0008235657602701441</v>
      </c>
    </row>
    <row r="47" spans="1:7" s="9" customFormat="1" ht="15.75">
      <c r="A47" s="33" t="s">
        <v>18</v>
      </c>
      <c r="B47" s="43">
        <f>IF(0.10224="","-",0.10224)</f>
        <v>0.10224</v>
      </c>
      <c r="C47" s="43">
        <f>IF(OR(0.23991="",0.10224=""),"-",0.10224/0.23991*100)</f>
        <v>42.61598099287232</v>
      </c>
      <c r="D47" s="43">
        <f>IF(0.23991="","-",0.23991/3222930.24801*100)</f>
        <v>7.443847106158519E-06</v>
      </c>
      <c r="E47" s="43">
        <f>IF(0.10224="","-",0.10224/3306313.64307*100)</f>
        <v>3.092265617761158E-06</v>
      </c>
      <c r="F47" s="43">
        <f>IF(OR(2578273.3802="",2.57217="",0.23991=""),"-",(0.23991-2.57217)/2578273.3802*100)</f>
        <v>-9.045821199220865E-05</v>
      </c>
      <c r="G47" s="43">
        <f>IF(OR(3222930.24801="",0.10224="",0.23991=""),"-",(0.10224-0.23991)/3222930.24801*100)</f>
        <v>-4.271578638259529E-06</v>
      </c>
    </row>
    <row r="48" spans="1:7" s="9" customFormat="1" ht="15.75">
      <c r="A48" s="25" t="s">
        <v>236</v>
      </c>
      <c r="B48" s="42">
        <f>IF(836185.70162="","-",836185.70162)</f>
        <v>836185.70162</v>
      </c>
      <c r="C48" s="42">
        <f>IF(816937.49242="","-",836185.70162/816937.49242*100)</f>
        <v>102.35614222368241</v>
      </c>
      <c r="D48" s="42">
        <f>IF(816937.49242="","-",816937.49242/3222930.24801*100)</f>
        <v>25.347662827156075</v>
      </c>
      <c r="E48" s="42">
        <f>IF(836185.70162="","-",836185.70162/3306313.64307*100)</f>
        <v>25.290574092165656</v>
      </c>
      <c r="F48" s="42">
        <f>IF(2578273.3802="","-",(816937.49242-661189.54564)/2578273.3802*100)</f>
        <v>6.040784812660884</v>
      </c>
      <c r="G48" s="42">
        <f>IF(3222930.24801="","-",(836185.70162-816937.49242)/3222930.24801*100)</f>
        <v>0.5972269865872754</v>
      </c>
    </row>
    <row r="49" spans="1:7" s="9" customFormat="1" ht="15.75">
      <c r="A49" s="33" t="s">
        <v>67</v>
      </c>
      <c r="B49" s="43">
        <f>IF(329324.08816="","-",329324.08816)</f>
        <v>329324.08816</v>
      </c>
      <c r="C49" s="43">
        <f>IF(OR(335697.17559="",329324.08816=""),"-",329324.08816/335697.17559*100)</f>
        <v>98.10153677379051</v>
      </c>
      <c r="D49" s="43">
        <f>IF(335697.17559="","-",335697.17559/3222930.24801*100)</f>
        <v>10.415899500067567</v>
      </c>
      <c r="E49" s="43">
        <f>IF(329324.08816="","-",329324.08816/3306313.64307*100)</f>
        <v>9.960461217896249</v>
      </c>
      <c r="F49" s="43">
        <f>IF(OR(2578273.3802="",259504.40766="",335697.17559=""),"-",(335697.17559-259504.40766)/2578273.3802*100)</f>
        <v>2.9551857656029337</v>
      </c>
      <c r="G49" s="43">
        <f>IF(OR(3222930.24801="",329324.08816="",335697.17559=""),"-",(329324.08816-335697.17559)/3222930.24801*100)</f>
        <v>-0.19774202168771973</v>
      </c>
    </row>
    <row r="50" spans="1:7" s="9" customFormat="1" ht="15.75">
      <c r="A50" s="33" t="s">
        <v>64</v>
      </c>
      <c r="B50" s="43">
        <f>IF(212661.65825="","-",212661.65825)</f>
        <v>212661.65825</v>
      </c>
      <c r="C50" s="43">
        <f>IF(OR(187693.97874="",212661.65825=""),"-",212661.65825/187693.97874*100)</f>
        <v>113.30233376563778</v>
      </c>
      <c r="D50" s="43">
        <f>IF(187693.97874="","-",187693.97874/3222930.24801*100)</f>
        <v>5.823705891739101</v>
      </c>
      <c r="E50" s="43">
        <f>IF(212661.65825="","-",212661.65825/3306313.64307*100)</f>
        <v>6.431986835118825</v>
      </c>
      <c r="F50" s="43">
        <f>IF(OR(2578273.3802="",167140.66397="",187693.97874=""),"-",(187693.97874-167140.66397)/2578273.3802*100)</f>
        <v>0.7971736018313795</v>
      </c>
      <c r="G50" s="43">
        <f>IF(OR(3222930.24801="",212661.65825="",187693.97874=""),"-",(212661.65825-187693.97874)/3222930.24801*100)</f>
        <v>0.7746887952482472</v>
      </c>
    </row>
    <row r="51" spans="1:7" s="9" customFormat="1" ht="15.75">
      <c r="A51" s="33" t="s">
        <v>19</v>
      </c>
      <c r="B51" s="43">
        <f>IF(41449.58082="","-",41449.58082)</f>
        <v>41449.58082</v>
      </c>
      <c r="C51" s="43">
        <f>IF(OR(42960.627="",41449.58082=""),"-",41449.58082/42960.627*100)</f>
        <v>96.48271851339601</v>
      </c>
      <c r="D51" s="43">
        <f>IF(42960.627="","-",42960.627/3222930.24801*100)</f>
        <v>1.3329679420312015</v>
      </c>
      <c r="E51" s="43">
        <f>IF(41449.58082="","-",41449.58082/3306313.64307*100)</f>
        <v>1.2536493900655161</v>
      </c>
      <c r="F51" s="43">
        <f>IF(OR(2578273.3802="",45427.39723="",42960.627=""),"-",(42960.627-45427.39723)/2578273.3802*100)</f>
        <v>-0.09567527822858922</v>
      </c>
      <c r="G51" s="43">
        <f>IF(OR(3222930.24801="",41449.58082="",42960.627=""),"-",(41449.58082-42960.627)/3222930.24801*100)</f>
        <v>-0.04688423464742974</v>
      </c>
    </row>
    <row r="52" spans="1:7" s="9" customFormat="1" ht="15.75">
      <c r="A52" s="33" t="s">
        <v>84</v>
      </c>
      <c r="B52" s="43">
        <f>IF(27104.67592="","-",27104.67592)</f>
        <v>27104.67592</v>
      </c>
      <c r="C52" s="43">
        <f>IF(OR(32173.54627="",27104.67592=""),"-",27104.67592/32173.54627*100)</f>
        <v>84.24522336623355</v>
      </c>
      <c r="D52" s="43">
        <f>IF(32173.54627="","-",32173.54627/3222930.24801*100)</f>
        <v>0.9982700149922752</v>
      </c>
      <c r="E52" s="43">
        <f>IF(27104.67592="","-",27104.67592/3306313.64307*100)</f>
        <v>0.8197853817290179</v>
      </c>
      <c r="F52" s="43">
        <f>IF(OR(2578273.3802="",18349.30613="",32173.54627=""),"-",(32173.54627-18349.30613)/2578273.3802*100)</f>
        <v>0.5361820917116102</v>
      </c>
      <c r="G52" s="43">
        <f>IF(OR(3222930.24801="",27104.67592="",32173.54627=""),"-",(27104.67592-32173.54627)/3222930.24801*100)</f>
        <v>-0.1572752110638998</v>
      </c>
    </row>
    <row r="53" spans="1:7" s="9" customFormat="1" ht="15.75">
      <c r="A53" s="33" t="s">
        <v>80</v>
      </c>
      <c r="B53" s="43">
        <f>IF(25199.20229="","-",25199.20229)</f>
        <v>25199.20229</v>
      </c>
      <c r="C53" s="43">
        <f>IF(OR(19628.74147="",25199.20229=""),"-",25199.20229/19628.74147*100)</f>
        <v>128.37910330885825</v>
      </c>
      <c r="D53" s="43">
        <f>IF(19628.74147="","-",19628.74147/3222930.24801*100)</f>
        <v>0.6090340143761962</v>
      </c>
      <c r="E53" s="43">
        <f>IF(25199.20229="","-",25199.20229/3306313.64307*100)</f>
        <v>0.7621540183526531</v>
      </c>
      <c r="F53" s="43">
        <f>IF(OR(2578273.3802="",16903.5089="",19628.74147=""),"-",(19628.74147-16903.5089)/2578273.3802*100)</f>
        <v>0.10569990719093568</v>
      </c>
      <c r="G53" s="43">
        <f>IF(OR(3222930.24801="",25199.20229="",19628.74147=""),"-",(25199.20229-19628.74147)/3222930.24801*100)</f>
        <v>0.17283839212590726</v>
      </c>
    </row>
    <row r="54" spans="1:7" s="9" customFormat="1" ht="15.75">
      <c r="A54" s="33" t="s">
        <v>77</v>
      </c>
      <c r="B54" s="43">
        <f>IF(20915.8400499999="","-",20915.8400499999)</f>
        <v>20915.8400499999</v>
      </c>
      <c r="C54" s="43">
        <f>IF(OR(16995.00081="",20915.8400499999=""),"-",20915.8400499999/16995.00081*100)</f>
        <v>123.07054459034121</v>
      </c>
      <c r="D54" s="43">
        <f>IF(16995.00081="","-",16995.00081/3222930.24801*100)</f>
        <v>0.5273151915246559</v>
      </c>
      <c r="E54" s="43">
        <f>IF(20915.8400499999="","-",20915.8400499999/3306313.64307*100)</f>
        <v>0.6326030228208775</v>
      </c>
      <c r="F54" s="43">
        <f>IF(OR(2578273.3802="",15790.82535="",16995.00081=""),"-",(16995.00081-15790.82535)/2578273.3802*100)</f>
        <v>0.04670472375999914</v>
      </c>
      <c r="G54" s="43">
        <f>IF(OR(3222930.24801="",20915.8400499999="",16995.00081=""),"-",(20915.8400499999-16995.00081)/3222930.24801*100)</f>
        <v>0.12165448639233888</v>
      </c>
    </row>
    <row r="55" spans="1:7" s="9" customFormat="1" ht="15.75">
      <c r="A55" s="33" t="s">
        <v>44</v>
      </c>
      <c r="B55" s="43">
        <f>IF(20691.65562="","-",20691.65562)</f>
        <v>20691.65562</v>
      </c>
      <c r="C55" s="43">
        <f>IF(OR(20687.05697="",20691.65562=""),"-",20691.65562/20687.05697*100)</f>
        <v>100.02222959992166</v>
      </c>
      <c r="D55" s="43">
        <f>IF(20687.05697="","-",20687.05697/3222930.24801*100)</f>
        <v>0.6418710731568961</v>
      </c>
      <c r="E55" s="43">
        <f>IF(20691.65562="","-",20691.65562/3306313.64307*100)</f>
        <v>0.6258225278587681</v>
      </c>
      <c r="F55" s="43">
        <f>IF(OR(2578273.3802="",13799.85396="",20687.05697=""),"-",(20687.05697-13799.85396)/2578273.3802*100)</f>
        <v>0.2671246215739059</v>
      </c>
      <c r="G55" s="43">
        <f>IF(OR(3222930.24801="",20691.65562="",20687.05697=""),"-",(20691.65562-20687.05697)/3222930.24801*100)</f>
        <v>0.0001426853715757375</v>
      </c>
    </row>
    <row r="56" spans="1:7" s="9" customFormat="1" ht="15.75">
      <c r="A56" s="33" t="s">
        <v>173</v>
      </c>
      <c r="B56" s="43">
        <f>IF(20095.41935="","-",20095.41935)</f>
        <v>20095.41935</v>
      </c>
      <c r="C56" s="43">
        <f>IF(OR(17917.32408="",20095.41935=""),"-",20095.41935/17917.32408*100)</f>
        <v>112.15636475778923</v>
      </c>
      <c r="D56" s="43">
        <f>IF(17917.32408="","-",17917.32408/3222930.24801*100)</f>
        <v>0.5559327289525753</v>
      </c>
      <c r="E56" s="43">
        <f>IF(20095.41935="","-",20095.41935/3306313.64307*100)</f>
        <v>0.6077892637959437</v>
      </c>
      <c r="F56" s="43">
        <f>IF(OR(2578273.3802="",18030.88813="",17917.32408=""),"-",(17917.32408-18030.88813)/2578273.3802*100)</f>
        <v>-0.004404655102601709</v>
      </c>
      <c r="G56" s="43">
        <f>IF(OR(3222930.24801="",20095.41935="",17917.32408=""),"-",(20095.41935-17917.32408)/3222930.24801*100)</f>
        <v>0.06758121033940674</v>
      </c>
    </row>
    <row r="57" spans="1:7" s="9" customFormat="1" ht="15.75">
      <c r="A57" s="33" t="s">
        <v>78</v>
      </c>
      <c r="B57" s="43">
        <f>IF(12814.05696="","-",12814.05696)</f>
        <v>12814.05696</v>
      </c>
      <c r="C57" s="43">
        <f>IF(OR(11611.40426="",12814.05696=""),"-",12814.05696/11611.40426*100)</f>
        <v>110.35751295080654</v>
      </c>
      <c r="D57" s="43">
        <f>IF(11611.40426="","-",11611.40426/3222930.24801*100)</f>
        <v>0.3602747613656692</v>
      </c>
      <c r="E57" s="43">
        <f>IF(12814.05696="","-",12814.05696/3306313.64307*100)</f>
        <v>0.38756326057747525</v>
      </c>
      <c r="F57" s="43">
        <f>IF(OR(2578273.3802="",10078.70549="",11611.40426=""),"-",(11611.40426-10078.70549)/2578273.3802*100)</f>
        <v>0.05944671274079965</v>
      </c>
      <c r="G57" s="43">
        <f>IF(OR(3222930.24801="",12814.05696="",11611.40426=""),"-",(12814.05696-11611.40426)/3222930.24801*100)</f>
        <v>0.03731550506693649</v>
      </c>
    </row>
    <row r="58" spans="1:7" s="9" customFormat="1" ht="15.75">
      <c r="A58" s="33" t="s">
        <v>74</v>
      </c>
      <c r="B58" s="43">
        <f>IF(11620.46646="","-",11620.46646)</f>
        <v>11620.46646</v>
      </c>
      <c r="C58" s="43">
        <f>IF(OR(16087.64033="",11620.46646=""),"-",11620.46646/16087.64033*100)</f>
        <v>72.23226167190175</v>
      </c>
      <c r="D58" s="43">
        <f>IF(16087.64033="","-",16087.64033/3222930.24801*100)</f>
        <v>0.49916191453207287</v>
      </c>
      <c r="E58" s="43">
        <f>IF(11620.46646="","-",11620.46646/3306313.64307*100)</f>
        <v>0.35146291956773</v>
      </c>
      <c r="F58" s="43">
        <f>IF(OR(2578273.3802="",9458.19923="",16087.64033=""),"-",(16087.64033-9458.19923)/2578273.3802*100)</f>
        <v>0.25712715924196317</v>
      </c>
      <c r="G58" s="43">
        <f>IF(OR(3222930.24801="",11620.46646="",16087.64033=""),"-",(11620.46646-16087.64033)/3222930.24801*100)</f>
        <v>-0.13860597426079138</v>
      </c>
    </row>
    <row r="59" spans="1:7" s="9" customFormat="1" ht="15.75">
      <c r="A59" s="33" t="s">
        <v>88</v>
      </c>
      <c r="B59" s="43">
        <f>IF(10214.84787="","-",10214.84787)</f>
        <v>10214.84787</v>
      </c>
      <c r="C59" s="43">
        <f>IF(OR(9132.83796="",10214.84787=""),"-",10214.84787/9132.83796*100)</f>
        <v>111.84746641448129</v>
      </c>
      <c r="D59" s="43">
        <f>IF(9132.83796="","-",9132.83796/3222930.24801*100)</f>
        <v>0.2833706365702167</v>
      </c>
      <c r="E59" s="43">
        <f>IF(10214.84787="","-",10214.84787/3306313.64307*100)</f>
        <v>0.30894975409880476</v>
      </c>
      <c r="F59" s="43">
        <f>IF(OR(2578273.3802="",7667.48865="",9132.83796=""),"-",(9132.83796-7667.48865)/2578273.3802*100)</f>
        <v>0.05683452039078694</v>
      </c>
      <c r="G59" s="43">
        <f>IF(OR(3222930.24801="",10214.84787="",9132.83796=""),"-",(10214.84787-9132.83796)/3222930.24801*100)</f>
        <v>0.03357224099615828</v>
      </c>
    </row>
    <row r="60" spans="1:7" s="9" customFormat="1" ht="15.75">
      <c r="A60" s="33" t="s">
        <v>69</v>
      </c>
      <c r="B60" s="43">
        <f>IF(7016.842="","-",7016.842)</f>
        <v>7016.842</v>
      </c>
      <c r="C60" s="43">
        <f>IF(OR(5616.76804="",7016.842=""),"-",7016.842/5616.76804*100)</f>
        <v>124.92668292564917</v>
      </c>
      <c r="D60" s="43">
        <f>IF(5616.76804="","-",5616.76804/3222930.24801*100)</f>
        <v>0.17427519703437813</v>
      </c>
      <c r="E60" s="43">
        <f>IF(7016.842="","-",7016.842/3306313.64307*100)</f>
        <v>0.2122255405111741</v>
      </c>
      <c r="F60" s="43">
        <f>IF(OR(2578273.3802="",4890.82625="",5616.76804=""),"-",(5616.76804-4890.82625)/2578273.3802*100)</f>
        <v>0.02815612167332262</v>
      </c>
      <c r="G60" s="43">
        <f>IF(OR(3222930.24801="",7016.842="",5616.76804=""),"-",(7016.842-5616.76804)/3222930.24801*100)</f>
        <v>0.04344102578280979</v>
      </c>
    </row>
    <row r="61" spans="1:7" s="9" customFormat="1" ht="15.75">
      <c r="A61" s="33" t="s">
        <v>70</v>
      </c>
      <c r="B61" s="43">
        <f>IF(6945.22949="","-",6945.22949)</f>
        <v>6945.22949</v>
      </c>
      <c r="C61" s="43">
        <f>IF(OR(8854.6364="",6945.22949=""),"-",6945.22949/8854.6364*100)</f>
        <v>78.43607773663072</v>
      </c>
      <c r="D61" s="43">
        <f>IF(8854.6364="","-",8854.6364/3222930.24801*100)</f>
        <v>0.2747386917686878</v>
      </c>
      <c r="E61" s="43">
        <f>IF(6945.22949="","-",6945.22949/3306313.64307*100)</f>
        <v>0.21005960836646972</v>
      </c>
      <c r="F61" s="43">
        <f>IF(OR(2578273.3802="",5437.50298="",8854.6364=""),"-",(8854.6364-5437.50298)/2578273.3802*100)</f>
        <v>0.1325357289976336</v>
      </c>
      <c r="G61" s="43">
        <f>IF(OR(3222930.24801="",6945.22949="",8854.6364=""),"-",(6945.22949-8854.6364)/3222930.24801*100)</f>
        <v>-0.05924443792039756</v>
      </c>
    </row>
    <row r="62" spans="1:7" s="9" customFormat="1" ht="15.75">
      <c r="A62" s="33" t="s">
        <v>71</v>
      </c>
      <c r="B62" s="43">
        <f>IF(6076.46995="","-",6076.46995)</f>
        <v>6076.46995</v>
      </c>
      <c r="C62" s="43">
        <f>IF(OR(5151.69878="",6076.46995=""),"-",6076.46995/5151.69878*100)</f>
        <v>117.9508004930366</v>
      </c>
      <c r="D62" s="43">
        <f>IF(5151.69878="","-",5151.69878/3222930.24801*100)</f>
        <v>0.1598451838410378</v>
      </c>
      <c r="E62" s="43">
        <f>IF(6076.46995="","-",6076.46995/3306313.64307*100)</f>
        <v>0.18378383317433356</v>
      </c>
      <c r="F62" s="43">
        <f>IF(OR(2578273.3802="",5436.38344="",5151.69878=""),"-",(5151.69878-5436.38344)/2578273.3802*100)</f>
        <v>-0.011041678597244663</v>
      </c>
      <c r="G62" s="43">
        <f>IF(OR(3222930.24801="",6076.46995="",5151.69878=""),"-",(6076.46995-5151.69878)/3222930.24801*100)</f>
        <v>0.028693490049032253</v>
      </c>
    </row>
    <row r="63" spans="1:7" s="9" customFormat="1" ht="15.75">
      <c r="A63" s="33" t="s">
        <v>91</v>
      </c>
      <c r="B63" s="43">
        <f>IF(5829.17008="","-",5829.17008)</f>
        <v>5829.17008</v>
      </c>
      <c r="C63" s="43">
        <f>IF(OR(5107.63651="",5829.17008=""),"-",5829.17008/5107.63651*100)</f>
        <v>114.12656457810463</v>
      </c>
      <c r="D63" s="43">
        <f>IF(5107.63651="","-",5107.63651/3222930.24801*100)</f>
        <v>0.15847803448907133</v>
      </c>
      <c r="E63" s="43">
        <f>IF(5829.17008="","-",5829.17008/3306313.64307*100)</f>
        <v>0.1763042079270937</v>
      </c>
      <c r="F63" s="43">
        <f>IF(OR(2578273.3802="",3505.82575="",5107.63651=""),"-",(5107.63651-3505.82575)/2578273.3802*100)</f>
        <v>0.06212726595640318</v>
      </c>
      <c r="G63" s="43">
        <f>IF(OR(3222930.24801="",5829.17008="",5107.63651=""),"-",(5829.17008-5107.63651)/3222930.24801*100)</f>
        <v>0.022387501884209588</v>
      </c>
    </row>
    <row r="64" spans="1:7" s="9" customFormat="1" ht="15.75">
      <c r="A64" s="33" t="s">
        <v>79</v>
      </c>
      <c r="B64" s="43">
        <f>IF(5761.27176="","-",5761.27176)</f>
        <v>5761.27176</v>
      </c>
      <c r="C64" s="43">
        <f>IF(OR(6469.98316="",5761.27176=""),"-",5761.27176/6469.98316*100)</f>
        <v>89.04616314333651</v>
      </c>
      <c r="D64" s="43">
        <f>IF(6469.98316="","-",6469.98316/3222930.24801*100)</f>
        <v>0.20074846993647766</v>
      </c>
      <c r="E64" s="43">
        <f>IF(5761.27176="","-",5761.27176/3306313.64307*100)</f>
        <v>0.17425061206989745</v>
      </c>
      <c r="F64" s="43">
        <f>IF(OR(2578273.3802="",5270.15822="",6469.98316=""),"-",(6469.98316-5270.15822)/2578273.3802*100)</f>
        <v>0.046535986029027206</v>
      </c>
      <c r="G64" s="43">
        <f>IF(OR(3222930.24801="",5761.27176="",6469.98316=""),"-",(5761.27176-6469.98316)/3222930.24801*100)</f>
        <v>-0.021989659889089883</v>
      </c>
    </row>
    <row r="65" spans="1:7" s="9" customFormat="1" ht="15.75">
      <c r="A65" s="33" t="s">
        <v>92</v>
      </c>
      <c r="B65" s="43">
        <f>IF(5412.98528="","-",5412.98528)</f>
        <v>5412.98528</v>
      </c>
      <c r="C65" s="43">
        <f>IF(OR(6623.65616="",5412.98528=""),"-",5412.98528/6623.65616*100)</f>
        <v>81.7220149905849</v>
      </c>
      <c r="D65" s="43">
        <f>IF(6623.65616="","-",6623.65616/3222930.24801*100)</f>
        <v>0.20551658429746594</v>
      </c>
      <c r="E65" s="43">
        <f>IF(5412.98528="","-",5412.98528/3306313.64307*100)</f>
        <v>0.16371663019162025</v>
      </c>
      <c r="F65" s="43">
        <f>IF(OR(2578273.3802="",2991.48822="",6623.65616=""),"-",(6623.65616-2991.48822)/2578273.3802*100)</f>
        <v>0.14087598188359096</v>
      </c>
      <c r="G65" s="43">
        <f>IF(OR(3222930.24801="",5412.98528="",6623.65616=""),"-",(5412.98528-6623.65616)/3222930.24801*100)</f>
        <v>-0.03756429046975279</v>
      </c>
    </row>
    <row r="66" spans="1:7" s="9" customFormat="1" ht="15.75">
      <c r="A66" s="33" t="s">
        <v>94</v>
      </c>
      <c r="B66" s="43">
        <f>IF(4967.42307="","-",4967.42307)</f>
        <v>4967.42307</v>
      </c>
      <c r="C66" s="43" t="s">
        <v>146</v>
      </c>
      <c r="D66" s="43">
        <f>IF(3247.31494="","-",3247.31494/3222930.24801*100)</f>
        <v>0.10075660005378821</v>
      </c>
      <c r="E66" s="43">
        <f>IF(4967.42307="","-",4967.42307/3306313.64307*100)</f>
        <v>0.15024052785831943</v>
      </c>
      <c r="F66" s="43">
        <f>IF(OR(2578273.3802="",2031.23948="",3247.31494=""),"-",(3247.31494-2031.23948)/2578273.3802*100)</f>
        <v>0.04716627295378847</v>
      </c>
      <c r="G66" s="43">
        <f>IF(OR(3222930.24801="",4967.42307="",3247.31494=""),"-",(4967.42307-3247.31494)/3222930.24801*100)</f>
        <v>0.0533709387927983</v>
      </c>
    </row>
    <row r="67" spans="1:7" s="9" customFormat="1" ht="15.75">
      <c r="A67" s="33" t="s">
        <v>86</v>
      </c>
      <c r="B67" s="43">
        <f>IF(4797.81225="","-",4797.81225)</f>
        <v>4797.81225</v>
      </c>
      <c r="C67" s="43">
        <f>IF(OR(4501.37254="",4797.81225=""),"-",4797.81225/4501.37254*100)</f>
        <v>106.58554046273183</v>
      </c>
      <c r="D67" s="43">
        <f>IF(4501.37254="","-",4501.37254/3222930.24801*100)</f>
        <v>0.13966707913642795</v>
      </c>
      <c r="E67" s="43">
        <f>IF(4797.81225="","-",4797.81225/3306313.64307*100)</f>
        <v>0.14511062070763206</v>
      </c>
      <c r="F67" s="43">
        <f>IF(OR(2578273.3802="",4395.32327="",4501.37254=""),"-",(4501.37254-4395.32327)/2578273.3802*100)</f>
        <v>0.0041131895017189396</v>
      </c>
      <c r="G67" s="43">
        <f>IF(OR(3222930.24801="",4797.81225="",4501.37254=""),"-",(4797.81225-4501.37254)/3222930.24801*100)</f>
        <v>0.00919783200964515</v>
      </c>
    </row>
    <row r="68" spans="1:7" s="9" customFormat="1" ht="15.75">
      <c r="A68" s="33" t="s">
        <v>82</v>
      </c>
      <c r="B68" s="43">
        <f>IF(3909.65125="","-",3909.65125)</f>
        <v>3909.65125</v>
      </c>
      <c r="C68" s="43">
        <f>IF(OR(2884.60932="",3909.65125=""),"-",3909.65125/2884.60932*100)</f>
        <v>135.53486161515974</v>
      </c>
      <c r="D68" s="43">
        <f>IF(2884.60932="","-",2884.60932/3222930.24801*100)</f>
        <v>0.08950269158884538</v>
      </c>
      <c r="E68" s="43">
        <f>IF(3909.65125="","-",3909.65125/3306313.64307*100)</f>
        <v>0.11824804516639216</v>
      </c>
      <c r="F68" s="43">
        <f>IF(OR(2578273.3802="",1385.59432="",2884.60932=""),"-",(2884.60932-1385.59432)/2578273.3802*100)</f>
        <v>0.05814026594354861</v>
      </c>
      <c r="G68" s="43">
        <f>IF(OR(3222930.24801="",3909.65125="",2884.60932=""),"-",(3909.65125-2884.60932)/3222930.24801*100)</f>
        <v>0.031804657597939406</v>
      </c>
    </row>
    <row r="69" spans="1:7" s="9" customFormat="1" ht="15.75">
      <c r="A69" s="33" t="s">
        <v>178</v>
      </c>
      <c r="B69" s="43">
        <f>IF(3337.07921="","-",3337.07921)</f>
        <v>3337.07921</v>
      </c>
      <c r="C69" s="43">
        <f>IF(OR(3427.25803="",3337.07921=""),"-",3337.07921/3427.25803*100)</f>
        <v>97.36877646180612</v>
      </c>
      <c r="D69" s="43">
        <f>IF(3427.25803="","-",3427.25803/3222930.24801*100)</f>
        <v>0.10633981396637926</v>
      </c>
      <c r="E69" s="43">
        <f>IF(3337.07921="","-",3337.07921/3306313.64307*100)</f>
        <v>0.10093050963251729</v>
      </c>
      <c r="F69" s="43">
        <f>IF(OR(2578273.3802="",5794.34833="",3427.25803=""),"-",(3427.25803-5794.34833)/2578273.3802*100)</f>
        <v>-0.09180912769678372</v>
      </c>
      <c r="G69" s="43">
        <f>IF(OR(3222930.24801="",3337.07921="",3427.25803=""),"-",(3337.07921-3427.25803)/3222930.24801*100)</f>
        <v>-0.002798038215554961</v>
      </c>
    </row>
    <row r="70" spans="1:7" s="9" customFormat="1" ht="15.75">
      <c r="A70" s="33" t="s">
        <v>93</v>
      </c>
      <c r="B70" s="43">
        <f>IF(3300.93041="","-",3300.93041)</f>
        <v>3300.93041</v>
      </c>
      <c r="C70" s="43">
        <f>IF(OR(3518.0865="",3300.93041=""),"-",3300.93041/3518.0865*100)</f>
        <v>93.8274374436217</v>
      </c>
      <c r="D70" s="43">
        <f>IF(3518.0865="","-",3518.0865/3222930.24801*100)</f>
        <v>0.10915800930449066</v>
      </c>
      <c r="E70" s="43">
        <f>IF(3300.93041="","-",3300.93041/3306313.64307*100)</f>
        <v>0.09983718323029385</v>
      </c>
      <c r="F70" s="43">
        <f>IF(OR(2578273.3802="",2028.62615="",3518.0865=""),"-",(3518.0865-2028.62615)/2578273.3802*100)</f>
        <v>0.05776968266586457</v>
      </c>
      <c r="G70" s="43">
        <f>IF(OR(3222930.24801="",3300.93041="",3518.0865=""),"-",(3300.93041-3518.0865)/3222930.24801*100)</f>
        <v>-0.006737846409616934</v>
      </c>
    </row>
    <row r="71" spans="1:7" s="9" customFormat="1" ht="15.75">
      <c r="A71" s="33" t="s">
        <v>76</v>
      </c>
      <c r="B71" s="43">
        <f>IF(3126.41208="","-",3126.41208)</f>
        <v>3126.41208</v>
      </c>
      <c r="C71" s="43">
        <f>IF(OR(4061.15309="",3126.41208=""),"-",3126.41208/4061.15309*100)</f>
        <v>76.9833594231731</v>
      </c>
      <c r="D71" s="43">
        <f>IF(4061.15309="","-",4061.15309/3222930.24801*100)</f>
        <v>0.12600809752266778</v>
      </c>
      <c r="E71" s="43">
        <f>IF(3126.41208="","-",3126.41208/3306313.64307*100)</f>
        <v>0.0945588476324056</v>
      </c>
      <c r="F71" s="43">
        <f>IF(OR(2578273.3802="",3088.7288="",4061.15309=""),"-",(4061.15309-3088.7288)/2578273.3802*100)</f>
        <v>0.03771610479586023</v>
      </c>
      <c r="G71" s="43">
        <f>IF(OR(3222930.24801="",3126.41208="",4061.15309=""),"-",(3126.41208-4061.15309)/3222930.24801*100)</f>
        <v>-0.029002830904489976</v>
      </c>
    </row>
    <row r="72" spans="1:7" s="9" customFormat="1" ht="15.75">
      <c r="A72" s="33" t="s">
        <v>73</v>
      </c>
      <c r="B72" s="43">
        <f>IF(3007.1603="","-",3007.1603)</f>
        <v>3007.1603</v>
      </c>
      <c r="C72" s="43">
        <f>IF(OR(3009.48823="",3007.1603=""),"-",3007.1603/3009.48823*100)</f>
        <v>99.92264698107824</v>
      </c>
      <c r="D72" s="43">
        <f>IF(3009.48823="","-",3009.48823/3222930.24801*100)</f>
        <v>0.09337739257181286</v>
      </c>
      <c r="E72" s="43">
        <f>IF(3007.1603="","-",3007.1603/3306313.64307*100)</f>
        <v>0.09095205793022623</v>
      </c>
      <c r="F72" s="43">
        <f>IF(OR(2578273.3802="",2916.09643="",3009.48823=""),"-",(3009.48823-2916.09643)/2578273.3802*100)</f>
        <v>0.0036222613442471853</v>
      </c>
      <c r="G72" s="43">
        <f>IF(OR(3222930.24801="",3007.1603="",3009.48823=""),"-",(3007.1603-3009.48823)/3222930.24801*100)</f>
        <v>-7.223023214471692E-05</v>
      </c>
    </row>
    <row r="73" spans="1:7" s="9" customFormat="1" ht="15.75">
      <c r="A73" s="33" t="s">
        <v>89</v>
      </c>
      <c r="B73" s="43">
        <f>IF(2851.24035="","-",2851.24035)</f>
        <v>2851.24035</v>
      </c>
      <c r="C73" s="43">
        <f>IF(OR(3833.99397="",2851.24035=""),"-",2851.24035/3833.99397*100)</f>
        <v>74.36736657152333</v>
      </c>
      <c r="D73" s="43">
        <f>IF(3833.99397="","-",3833.99397/3222930.24801*100)</f>
        <v>0.11895988044939233</v>
      </c>
      <c r="E73" s="43">
        <f>IF(2851.24035="","-",2851.24035/3306313.64307*100)</f>
        <v>0.08623623339474072</v>
      </c>
      <c r="F73" s="43">
        <f>IF(OR(2578273.3802="",3822.55235="",3833.99397=""),"-",(3833.99397-3822.55235)/2578273.3802*100)</f>
        <v>0.00044377062912981385</v>
      </c>
      <c r="G73" s="43">
        <f>IF(OR(3222930.24801="",2851.24035="",3833.99397=""),"-",(2851.24035-3833.99397)/3222930.24801*100)</f>
        <v>-0.030492550082546827</v>
      </c>
    </row>
    <row r="74" spans="1:7" s="9" customFormat="1" ht="15.75">
      <c r="A74" s="33" t="s">
        <v>83</v>
      </c>
      <c r="B74" s="43">
        <f>IF(2770.06506="","-",2770.06506)</f>
        <v>2770.06506</v>
      </c>
      <c r="C74" s="43">
        <f>IF(OR(3120.42413="",2770.06506=""),"-",2770.06506/3120.42413*100)</f>
        <v>88.77206894307665</v>
      </c>
      <c r="D74" s="43">
        <f>IF(3120.42413="","-",3120.42413/3222930.24801*100)</f>
        <v>0.09681947451164068</v>
      </c>
      <c r="E74" s="43">
        <f>IF(2770.06506="","-",2770.06506/3306313.64307*100)</f>
        <v>0.08378107339592625</v>
      </c>
      <c r="F74" s="43">
        <f>IF(OR(2578273.3802="",864.12777="",3120.42413=""),"-",(3120.42413-864.12777)/2578273.3802*100)</f>
        <v>0.08751191310151044</v>
      </c>
      <c r="G74" s="43">
        <f>IF(OR(3222930.24801="",2770.06506="",3120.42413=""),"-",(2770.06506-3120.42413)/3222930.24801*100)</f>
        <v>-0.010870823847842482</v>
      </c>
    </row>
    <row r="75" spans="1:7" s="9" customFormat="1" ht="15.75">
      <c r="A75" s="33" t="s">
        <v>90</v>
      </c>
      <c r="B75" s="43">
        <f>IF(2326.84919="","-",2326.84919)</f>
        <v>2326.84919</v>
      </c>
      <c r="C75" s="43">
        <f>IF(OR(2680.77763="",2326.84919=""),"-",2326.84919/2680.77763*100)</f>
        <v>86.7975457554083</v>
      </c>
      <c r="D75" s="43">
        <f>IF(2680.77763="","-",2680.77763/3222930.24801*100)</f>
        <v>0.08317827019853276</v>
      </c>
      <c r="E75" s="43">
        <f>IF(2326.84919="","-",2326.84919/3306313.64307*100)</f>
        <v>0.07037593650188186</v>
      </c>
      <c r="F75" s="43">
        <f>IF(OR(2578273.3802="",2585.30547="",2680.77763=""),"-",(2680.77763-2585.30547)/2578273.3802*100)</f>
        <v>0.003702949451876758</v>
      </c>
      <c r="G75" s="43">
        <f>IF(OR(3222930.24801="",2326.84919="",2680.77763=""),"-",(2326.84919-2680.77763)/3222930.24801*100)</f>
        <v>-0.010981573064404154</v>
      </c>
    </row>
    <row r="76" spans="1:7" s="9" customFormat="1" ht="15.75">
      <c r="A76" s="33" t="s">
        <v>47</v>
      </c>
      <c r="B76" s="43">
        <f>IF(1995.07051="","-",1995.07051)</f>
        <v>1995.07051</v>
      </c>
      <c r="C76" s="43">
        <f>IF(OR(2676.39852="",1995.07051=""),"-",1995.07051/2676.39852*100)</f>
        <v>74.5431031698523</v>
      </c>
      <c r="D76" s="43">
        <f>IF(2676.39852="","-",2676.39852/3222930.24801*100)</f>
        <v>0.08304239664052748</v>
      </c>
      <c r="E76" s="43">
        <f>IF(1995.07051="","-",1995.07051/3306313.64307*100)</f>
        <v>0.060341235750021704</v>
      </c>
      <c r="F76" s="43">
        <f>IF(OR(2578273.3802="",1286.34376="",2676.39852=""),"-",(2676.39852-1286.34376)/2578273.3802*100)</f>
        <v>0.053914172588330096</v>
      </c>
      <c r="G76" s="43">
        <f>IF(OR(3222930.24801="",1995.07051="",2676.39852=""),"-",(1995.07051-2676.39852)/3222930.24801*100)</f>
        <v>-0.021140017238061123</v>
      </c>
    </row>
    <row r="77" spans="1:7" s="9" customFormat="1" ht="15.75">
      <c r="A77" s="33" t="s">
        <v>66</v>
      </c>
      <c r="B77" s="43">
        <f>IF(1944.40112="","-",1944.40112)</f>
        <v>1944.40112</v>
      </c>
      <c r="C77" s="43">
        <f>IF(OR(1768.1783="",1944.40112=""),"-",1944.40112/1768.1783*100)</f>
        <v>109.96634898188718</v>
      </c>
      <c r="D77" s="43">
        <f>IF(1768.1783="","-",1768.1783/3222930.24801*100)</f>
        <v>0.0548624439232516</v>
      </c>
      <c r="E77" s="43">
        <f>IF(1944.40112="","-",1944.40112/3306313.64307*100)</f>
        <v>0.058808731714713305</v>
      </c>
      <c r="F77" s="43">
        <f>IF(OR(2578273.3802="",1345.42264="",1768.1783=""),"-",(1768.1783-1345.42264)/2578273.3802*100)</f>
        <v>0.016396851600244438</v>
      </c>
      <c r="G77" s="43">
        <f>IF(OR(3222930.24801="",1944.40112="",1768.1783=""),"-",(1944.40112-1768.1783)/3222930.24801*100)</f>
        <v>0.005467782621383407</v>
      </c>
    </row>
    <row r="78" spans="1:7" s="9" customFormat="1" ht="15.75">
      <c r="A78" s="33" t="s">
        <v>95</v>
      </c>
      <c r="B78" s="43">
        <f>IF(1884.06596="","-",1884.06596)</f>
        <v>1884.06596</v>
      </c>
      <c r="C78" s="43" t="s">
        <v>113</v>
      </c>
      <c r="D78" s="43">
        <f>IF(1039.86076="","-",1039.86076/3222930.24801*100)</f>
        <v>0.032264451290624815</v>
      </c>
      <c r="E78" s="43">
        <f>IF(1884.06596="","-",1884.06596/3306313.64307*100)</f>
        <v>0.056983884875803685</v>
      </c>
      <c r="F78" s="43">
        <f>IF(OR(2578273.3802="",900.82613="",1039.86076=""),"-",(1039.86076-900.82613)/2578273.3802*100)</f>
        <v>0.005392548015572146</v>
      </c>
      <c r="G78" s="43">
        <f>IF(OR(3222930.24801="",1884.06596="",1039.86076=""),"-",(1884.06596-1039.86076)/3222930.24801*100)</f>
        <v>0.026193716122812613</v>
      </c>
    </row>
    <row r="79" spans="1:7" s="9" customFormat="1" ht="15.75">
      <c r="A79" s="33" t="s">
        <v>155</v>
      </c>
      <c r="B79" s="43">
        <f>IF(1824.25556="","-",1824.25556)</f>
        <v>1824.25556</v>
      </c>
      <c r="C79" s="43" t="s">
        <v>276</v>
      </c>
      <c r="D79" s="43">
        <f>IF(621.21245="","-",621.21245/3222930.24801*100)</f>
        <v>0.019274771782093886</v>
      </c>
      <c r="E79" s="43">
        <f>IF(1824.25556="","-",1824.25556/3306313.64307*100)</f>
        <v>0.055174909489413414</v>
      </c>
      <c r="F79" s="43">
        <f>IF(OR(2578273.3802="",414.1538="",621.21245=""),"-",(621.21245-414.1538)/2578273.3802*100)</f>
        <v>0.008030903611312862</v>
      </c>
      <c r="G79" s="43">
        <f>IF(OR(3222930.24801="",1824.25556="",621.21245=""),"-",(1824.25556-621.21245)/3222930.24801*100)</f>
        <v>0.03732761857762264</v>
      </c>
    </row>
    <row r="80" spans="1:7" s="9" customFormat="1" ht="15.75">
      <c r="A80" s="33" t="s">
        <v>97</v>
      </c>
      <c r="B80" s="43">
        <f>IF(1692.8304="","-",1692.8304)</f>
        <v>1692.8304</v>
      </c>
      <c r="C80" s="43">
        <f>IF(OR(2501.4132="",1692.8304=""),"-",1692.8304/2501.4132*100)</f>
        <v>67.67496069821651</v>
      </c>
      <c r="D80" s="43">
        <f>IF(2501.4132="","-",2501.4132/3222930.24801*100)</f>
        <v>0.07761301075456097</v>
      </c>
      <c r="E80" s="43">
        <f>IF(1692.8304="","-",1692.8304/3306313.64307*100)</f>
        <v>0.051199933906698636</v>
      </c>
      <c r="F80" s="43">
        <f>IF(OR(2578273.3802="",930.06812="",2501.4132=""),"-",(2501.4132-930.06812)/2578273.3802*100)</f>
        <v>0.06094563486041611</v>
      </c>
      <c r="G80" s="43">
        <f>IF(OR(3222930.24801="",1692.8304="",2501.4132=""),"-",(1692.8304-2501.4132)/3222930.24801*100)</f>
        <v>-0.025088436229709278</v>
      </c>
    </row>
    <row r="81" spans="1:7" s="9" customFormat="1" ht="15.75">
      <c r="A81" s="33" t="s">
        <v>100</v>
      </c>
      <c r="B81" s="43">
        <f>IF(1620.72279="","-",1620.72279)</f>
        <v>1620.72279</v>
      </c>
      <c r="C81" s="43">
        <f>IF(OR(1135.76102="",1620.72279=""),"-",1620.72279/1135.76102*100)</f>
        <v>142.69927929028592</v>
      </c>
      <c r="D81" s="43">
        <f>IF(1135.76102="","-",1135.76102/3222930.24801*100)</f>
        <v>0.035240012429722176</v>
      </c>
      <c r="E81" s="43">
        <f>IF(1620.72279="","-",1620.72279/3306313.64307*100)</f>
        <v>0.04901902738105378</v>
      </c>
      <c r="F81" s="43">
        <f>IF(OR(2578273.3802="",1057.44663="",1135.76102=""),"-",(1135.76102-1057.44663)/2578273.3802*100)</f>
        <v>0.0030374742492948925</v>
      </c>
      <c r="G81" s="43">
        <f>IF(OR(3222930.24801="",1620.72279="",1135.76102=""),"-",(1620.72279-1135.76102)/3222930.24801*100)</f>
        <v>0.015047231329298546</v>
      </c>
    </row>
    <row r="82" spans="1:7" s="9" customFormat="1" ht="15.75">
      <c r="A82" s="33" t="s">
        <v>96</v>
      </c>
      <c r="B82" s="43">
        <f>IF(1612.89678="","-",1612.89678)</f>
        <v>1612.89678</v>
      </c>
      <c r="C82" s="43">
        <f>IF(OR(1656.68822="",1612.89678=""),"-",1612.89678/1656.68822*100)</f>
        <v>97.3566879107766</v>
      </c>
      <c r="D82" s="43">
        <f>IF(1656.68822="","-",1656.68822/3222930.24801*100)</f>
        <v>0.0514031670720433</v>
      </c>
      <c r="E82" s="43">
        <f>IF(1612.89678="","-",1612.89678/3306313.64307*100)</f>
        <v>0.048782328421280156</v>
      </c>
      <c r="F82" s="43">
        <f>IF(OR(2578273.3802="",2090.73728="",1656.68822=""),"-",(1656.68822-2090.73728)/2578273.3802*100)</f>
        <v>-0.016834873420844537</v>
      </c>
      <c r="G82" s="43">
        <f>IF(OR(3222930.24801="",1612.89678="",1656.68822=""),"-",(1612.89678-1656.68822)/3222930.24801*100)</f>
        <v>-0.0013587461294590228</v>
      </c>
    </row>
    <row r="83" spans="1:7" s="9" customFormat="1" ht="15.75">
      <c r="A83" s="33" t="s">
        <v>46</v>
      </c>
      <c r="B83" s="43">
        <f>IF(1510.3982="","-",1510.3982)</f>
        <v>1510.3982</v>
      </c>
      <c r="C83" s="43">
        <f>IF(OR(1249.10474="",1510.3982=""),"-",1510.3982/1249.10474*100)</f>
        <v>120.91845876751697</v>
      </c>
      <c r="D83" s="43">
        <f>IF(1249.10474="","-",1249.10474/3222930.24801*100)</f>
        <v>0.03875680340185023</v>
      </c>
      <c r="E83" s="43">
        <f>IF(1510.3982="","-",1510.3982/3306313.64307*100)</f>
        <v>0.04568224200888441</v>
      </c>
      <c r="F83" s="43">
        <f>IF(OR(2578273.3802="",487.28641="",1249.10474=""),"-",(1249.10474-487.28641)/2578273.3802*100)</f>
        <v>0.029547616472730475</v>
      </c>
      <c r="G83" s="43">
        <f>IF(OR(3222930.24801="",1510.3982="",1249.10474=""),"-",(1510.3982-1249.10474)/3222930.24801*100)</f>
        <v>0.008107325939223657</v>
      </c>
    </row>
    <row r="84" spans="1:7" s="9" customFormat="1" ht="15.75">
      <c r="A84" s="33" t="s">
        <v>45</v>
      </c>
      <c r="B84" s="43">
        <f>IF(1458.20758="","-",1458.20758)</f>
        <v>1458.20758</v>
      </c>
      <c r="C84" s="43" t="s">
        <v>115</v>
      </c>
      <c r="D84" s="43">
        <f>IF(918.42887="","-",918.42887/3222930.24801*100)</f>
        <v>0.028496703289408277</v>
      </c>
      <c r="E84" s="43">
        <f>IF(1458.20758="","-",1458.20758/3306313.64307*100)</f>
        <v>0.04410372812199436</v>
      </c>
      <c r="F84" s="43">
        <f>IF(OR(2578273.3802="",454.31288="",918.42887=""),"-",(918.42887-454.31288)/2578273.3802*100)</f>
        <v>0.01800103874027501</v>
      </c>
      <c r="G84" s="43">
        <f>IF(OR(3222930.24801="",1458.20758="",918.42887=""),"-",(1458.20758-918.42887)/3222930.24801*100)</f>
        <v>0.016748072979031633</v>
      </c>
    </row>
    <row r="85" spans="1:7" s="9" customFormat="1" ht="15.75">
      <c r="A85" s="33" t="s">
        <v>175</v>
      </c>
      <c r="B85" s="43">
        <f>IF(1389.14418="","-",1389.14418)</f>
        <v>1389.14418</v>
      </c>
      <c r="C85" s="43">
        <f>IF(OR(954.56491="",1389.14418=""),"-",1389.14418/954.56491*100)</f>
        <v>145.5264241799963</v>
      </c>
      <c r="D85" s="43">
        <f>IF(954.56491="","-",954.56491/3222930.24801*100)</f>
        <v>0.029617920232353667</v>
      </c>
      <c r="E85" s="43">
        <f>IF(1389.14418="","-",1389.14418/3306313.64307*100)</f>
        <v>0.04201489422855064</v>
      </c>
      <c r="F85" s="43">
        <f>IF(OR(2578273.3802="",647.09289="",954.56491=""),"-",(954.56491-647.09289)/2578273.3802*100)</f>
        <v>0.01192550108771433</v>
      </c>
      <c r="G85" s="43">
        <f>IF(OR(3222930.24801="",1389.14418="",954.56491=""),"-",(1389.14418-954.56491)/3222930.24801*100)</f>
        <v>0.013483979998274278</v>
      </c>
    </row>
    <row r="86" spans="1:7" s="9" customFormat="1" ht="15.75">
      <c r="A86" s="33" t="s">
        <v>75</v>
      </c>
      <c r="B86" s="43">
        <f>IF(1108.7469="","-",1108.7469)</f>
        <v>1108.7469</v>
      </c>
      <c r="C86" s="43">
        <f>IF(OR(1019.54667="",1108.7469=""),"-",1108.7469/1019.54667*100)</f>
        <v>108.74900900809182</v>
      </c>
      <c r="D86" s="43">
        <f>IF(1019.54667="","-",1019.54667/3222930.24801*100)</f>
        <v>0.03163415251166293</v>
      </c>
      <c r="E86" s="43">
        <f>IF(1108.7469="","-",1108.7469/3306313.64307*100)</f>
        <v>0.033534232371569536</v>
      </c>
      <c r="F86" s="43">
        <f>IF(OR(2578273.3802="",1054.01005="",1019.54667=""),"-",(1019.54667-1054.01005)/2578273.3802*100)</f>
        <v>-0.0013366844751477353</v>
      </c>
      <c r="G86" s="43">
        <f>IF(OR(3222930.24801="",1108.7469="",1019.54667=""),"-",(1108.7469-1019.54667)/3222930.24801*100)</f>
        <v>0.002767674852878894</v>
      </c>
    </row>
    <row r="87" spans="1:7" s="9" customFormat="1" ht="15.75">
      <c r="A87" s="33" t="s">
        <v>81</v>
      </c>
      <c r="B87" s="43">
        <f>IF(941.92272="","-",941.92272)</f>
        <v>941.92272</v>
      </c>
      <c r="C87" s="43">
        <f>IF(OR(1258.34052="",941.92272=""),"-",941.92272/1258.34052*100)</f>
        <v>74.85435818279142</v>
      </c>
      <c r="D87" s="43">
        <f>IF(1258.34052="","-",1258.34052/3222930.24801*100)</f>
        <v>0.03904336808955028</v>
      </c>
      <c r="E87" s="43">
        <f>IF(941.92272="","-",941.92272/3306313.64307*100)</f>
        <v>0.028488607606064854</v>
      </c>
      <c r="F87" s="43">
        <f>IF(OR(2578273.3802="",1120.70759="",1258.34052=""),"-",(1258.34052-1120.70759)/2578273.3802*100)</f>
        <v>0.005338182174821338</v>
      </c>
      <c r="G87" s="43">
        <f>IF(OR(3222930.24801="",941.92272="",1258.34052=""),"-",(941.92272-1258.34052)/3222930.24801*100)</f>
        <v>-0.009817705493172625</v>
      </c>
    </row>
    <row r="88" spans="1:7" s="9" customFormat="1" ht="15.75">
      <c r="A88" s="33" t="s">
        <v>98</v>
      </c>
      <c r="B88" s="43">
        <f>IF(815.47972="","-",815.47972)</f>
        <v>815.47972</v>
      </c>
      <c r="C88" s="43">
        <f>IF(OR(872.26546="",815.47972=""),"-",815.47972/872.26546*100)</f>
        <v>93.48985571433724</v>
      </c>
      <c r="D88" s="43">
        <f>IF(872.26546="","-",872.26546/3222930.24801*100)</f>
        <v>0.02706436046943866</v>
      </c>
      <c r="E88" s="43">
        <f>IF(815.47972="","-",815.47972/3306313.64307*100)</f>
        <v>0.024664318272080366</v>
      </c>
      <c r="F88" s="43">
        <f>IF(OR(2578273.3802="",641.88818="",872.26546=""),"-",(872.26546-641.88818)/2578273.3802*100)</f>
        <v>0.008935331752218193</v>
      </c>
      <c r="G88" s="43">
        <f>IF(OR(3222930.24801="",815.47972="",872.26546=""),"-",(815.47972-872.26546)/3222930.24801*100)</f>
        <v>-0.0017619289165523302</v>
      </c>
    </row>
    <row r="89" spans="1:7" s="9" customFormat="1" ht="15.75">
      <c r="A89" s="33" t="s">
        <v>106</v>
      </c>
      <c r="B89" s="43">
        <f>IF(710.15337="","-",710.15337)</f>
        <v>710.15337</v>
      </c>
      <c r="C89" s="43">
        <f>IF(OR(626.44453="",710.15337=""),"-",710.15337/626.44453*100)</f>
        <v>113.3625302786186</v>
      </c>
      <c r="D89" s="43">
        <f>IF(626.44453="","-",626.44453/3222930.24801*100)</f>
        <v>0.019437111007500035</v>
      </c>
      <c r="E89" s="43">
        <f>IF(710.15337="","-",710.15337/3306313.64307*100)</f>
        <v>0.02147870549088633</v>
      </c>
      <c r="F89" s="43">
        <f>IF(OR(2578273.3802="",400.57304="",626.44453=""),"-",(626.44453-400.57304)/2578273.3802*100)</f>
        <v>0.008760571773908585</v>
      </c>
      <c r="G89" s="43">
        <f>IF(OR(3222930.24801="",710.15337="",626.44453=""),"-",(710.15337-626.44453)/3222930.24801*100)</f>
        <v>0.002597289843665902</v>
      </c>
    </row>
    <row r="90" spans="1:7" s="9" customFormat="1" ht="15.75">
      <c r="A90" s="33" t="s">
        <v>87</v>
      </c>
      <c r="B90" s="43">
        <f>IF(663.99883="","-",663.99883)</f>
        <v>663.99883</v>
      </c>
      <c r="C90" s="43">
        <f>IF(OR(541.88011="",663.99883=""),"-",663.99883/541.88011*100)</f>
        <v>122.53611412310374</v>
      </c>
      <c r="D90" s="43">
        <f>IF(541.88011="","-",541.88011/3222930.24801*100)</f>
        <v>0.01681327451422767</v>
      </c>
      <c r="E90" s="43">
        <f>IF(663.99883="","-",663.99883/3306313.64307*100)</f>
        <v>0.02008275383648901</v>
      </c>
      <c r="F90" s="43">
        <f>IF(OR(2578273.3802="",370.41153="",541.88011=""),"-",(541.88011-370.41153)/2578273.3802*100)</f>
        <v>0.006650519736068441</v>
      </c>
      <c r="G90" s="43">
        <f>IF(OR(3222930.24801="",663.99883="",541.88011=""),"-",(663.99883-541.88011)/3222930.24801*100)</f>
        <v>0.0037890587323570627</v>
      </c>
    </row>
    <row r="91" spans="1:7" s="9" customFormat="1" ht="15.75">
      <c r="A91" s="33" t="s">
        <v>110</v>
      </c>
      <c r="B91" s="43">
        <f>IF(661.10361="","-",661.10361)</f>
        <v>661.10361</v>
      </c>
      <c r="C91" s="43">
        <f>IF(OR(732.99701="",661.10361=""),"-",661.10361/732.99701*100)</f>
        <v>90.19185630784496</v>
      </c>
      <c r="D91" s="43">
        <f>IF(732.99701="","-",732.99701/3222930.24801*100)</f>
        <v>0.02274318566008648</v>
      </c>
      <c r="E91" s="43">
        <f>IF(661.10361="","-",661.10361/3306313.64307*100)</f>
        <v>0.019995187431345676</v>
      </c>
      <c r="F91" s="43">
        <f>IF(OR(2578273.3802="",31.40523="",732.99701=""),"-",(732.99701-31.40523)/2578273.3802*100)</f>
        <v>0.027211690792292038</v>
      </c>
      <c r="G91" s="43">
        <f>IF(OR(3222930.24801="",661.10361="",732.99701=""),"-",(661.10361-732.99701)/3222930.24801*100)</f>
        <v>-0.002230684329714882</v>
      </c>
    </row>
    <row r="92" spans="1:7" s="9" customFormat="1" ht="15.75">
      <c r="A92" s="33" t="s">
        <v>102</v>
      </c>
      <c r="B92" s="43">
        <f>IF(593.95363="","-",593.95363)</f>
        <v>593.95363</v>
      </c>
      <c r="C92" s="43" t="s">
        <v>115</v>
      </c>
      <c r="D92" s="43">
        <f>IF(370.55734="","-",370.55734/3222930.24801*100)</f>
        <v>0.011497529002645987</v>
      </c>
      <c r="E92" s="43">
        <f>IF(593.95363="","-",593.95363/3306313.64307*100)</f>
        <v>0.01796422524054609</v>
      </c>
      <c r="F92" s="43">
        <f>IF(OR(2578273.3802="",537.95958="",370.55734=""),"-",(370.55734-537.95958)/2578273.3802*100)</f>
        <v>-0.006492804110129482</v>
      </c>
      <c r="G92" s="43">
        <f>IF(OR(3222930.24801="",593.95363="",370.55734=""),"-",(593.95363-370.55734)/3222930.24801*100)</f>
        <v>0.006931465244646114</v>
      </c>
    </row>
    <row r="93" spans="1:7" s="9" customFormat="1" ht="15.75">
      <c r="A93" s="33" t="s">
        <v>107</v>
      </c>
      <c r="B93" s="43">
        <f>IF(564.3471="","-",564.3471)</f>
        <v>564.3471</v>
      </c>
      <c r="C93" s="43">
        <f>IF(OR(517.59312="",564.3471=""),"-",564.3471/517.59312*100)</f>
        <v>109.03296009807858</v>
      </c>
      <c r="D93" s="43">
        <f>IF(517.59312="","-",517.59312/3222930.24801*100)</f>
        <v>0.016059705925053392</v>
      </c>
      <c r="E93" s="43">
        <f>IF(564.3471="","-",564.3471/3306313.64307*100)</f>
        <v>0.017068770870630065</v>
      </c>
      <c r="F93" s="43">
        <f>IF(OR(2578273.3802="",162.84882="",517.59312=""),"-",(517.59312-162.84882)/2578273.3802*100)</f>
        <v>0.013758987030788877</v>
      </c>
      <c r="G93" s="43">
        <f>IF(OR(3222930.24801="",564.3471="",517.59312=""),"-",(564.3471-517.59312)/3222930.24801*100)</f>
        <v>0.0014506668280788336</v>
      </c>
    </row>
    <row r="94" spans="1:7" ht="15.75">
      <c r="A94" s="33" t="s">
        <v>172</v>
      </c>
      <c r="B94" s="43">
        <f>IF(544.88064="","-",544.88064)</f>
        <v>544.88064</v>
      </c>
      <c r="C94" s="43">
        <f>IF(OR(366.98922="",544.88064=""),"-",544.88064/366.98922*100)</f>
        <v>148.47320038446904</v>
      </c>
      <c r="D94" s="43">
        <f>IF(366.98922="","-",366.98922/3222930.24801*100)</f>
        <v>0.01138681857066555</v>
      </c>
      <c r="E94" s="43">
        <f>IF(544.88064="","-",544.88064/3306313.64307*100)</f>
        <v>0.016480004585834266</v>
      </c>
      <c r="F94" s="43">
        <f>IF(OR(2578273.3802="",525.02283="",366.98922=""),"-",(366.98922-525.02283)/2578273.3802*100)</f>
        <v>-0.006129435738414254</v>
      </c>
      <c r="G94" s="43">
        <f>IF(OR(3222930.24801="",544.88064="",366.98922=""),"-",(544.88064-366.98922)/3222930.24801*100)</f>
        <v>0.005519555383174647</v>
      </c>
    </row>
    <row r="95" spans="1:7" ht="15.75">
      <c r="A95" s="33" t="s">
        <v>123</v>
      </c>
      <c r="B95" s="43">
        <f>IF(405.65979="","-",405.65979)</f>
        <v>405.65979</v>
      </c>
      <c r="C95" s="43" t="s">
        <v>277</v>
      </c>
      <c r="D95" s="43">
        <f>IF(41.85625="","-",41.85625/3222930.24801*100)</f>
        <v>0.0012987017024598706</v>
      </c>
      <c r="E95" s="43">
        <f>IF(405.65979="","-",405.65979/3306313.64307*100)</f>
        <v>0.012269247076733292</v>
      </c>
      <c r="F95" s="43" t="str">
        <f>IF(OR(2578273.3802="",""="",41.85625=""),"-",(41.85625-"")/2578273.3802*100)</f>
        <v>-</v>
      </c>
      <c r="G95" s="43">
        <f>IF(OR(3222930.24801="",405.65979="",41.85625=""),"-",(405.65979-41.85625)/3222930.24801*100)</f>
        <v>0.011287974358881351</v>
      </c>
    </row>
    <row r="96" spans="1:7" ht="15.75">
      <c r="A96" s="33" t="s">
        <v>99</v>
      </c>
      <c r="B96" s="43">
        <f>IF(367.26636="","-",367.26636)</f>
        <v>367.26636</v>
      </c>
      <c r="C96" s="43">
        <f>IF(OR(826.11579="",367.26636=""),"-",367.26636/826.11579*100)</f>
        <v>44.45700765506492</v>
      </c>
      <c r="D96" s="43">
        <f>IF(826.11579="","-",826.11579/3222930.24801*100)</f>
        <v>0.025632443969585927</v>
      </c>
      <c r="E96" s="43">
        <f>IF(367.26636="","-",367.26636/3306313.64307*100)</f>
        <v>0.011108031470933998</v>
      </c>
      <c r="F96" s="43">
        <f>IF(OR(2578273.3802="",343.6729="",826.11579=""),"-",(826.11579-343.6729)/2578273.3802*100)</f>
        <v>0.018711859405792577</v>
      </c>
      <c r="G96" s="43">
        <f>IF(OR(3222930.24801="",367.26636="",826.11579=""),"-",(367.26636-826.11579)/3222930.24801*100)</f>
        <v>-0.014237026391846881</v>
      </c>
    </row>
    <row r="97" spans="1:7" ht="15.75">
      <c r="A97" s="33" t="s">
        <v>101</v>
      </c>
      <c r="B97" s="43">
        <f>IF(347.54888="","-",347.54888)</f>
        <v>347.54888</v>
      </c>
      <c r="C97" s="43">
        <f>IF(OR(788.11414="",347.54888=""),"-",347.54888/788.11414*100)</f>
        <v>44.09880020678223</v>
      </c>
      <c r="D97" s="43">
        <f>IF(788.11414="","-",788.11414/3222930.24801*100)</f>
        <v>0.024453341504570923</v>
      </c>
      <c r="E97" s="43">
        <f>IF(347.54888="","-",347.54888/3306313.64307*100)</f>
        <v>0.01051167304494717</v>
      </c>
      <c r="F97" s="43">
        <f>IF(OR(2578273.3802="",632.19098="",788.11414=""),"-",(788.11414-632.19098)/2578273.3802*100)</f>
        <v>0.0060475805706804026</v>
      </c>
      <c r="G97" s="43">
        <f>IF(OR(3222930.24801="",347.54888="",788.11414=""),"-",(347.54888-788.11414)/3222930.24801*100)</f>
        <v>-0.013669711290588036</v>
      </c>
    </row>
    <row r="98" spans="1:7" ht="15.75">
      <c r="A98" s="33" t="s">
        <v>156</v>
      </c>
      <c r="B98" s="43">
        <f>IF(344.33438="","-",344.33438)</f>
        <v>344.33438</v>
      </c>
      <c r="C98" s="43">
        <f>IF(OR(975.74485="",344.33438=""),"-",344.33438/975.74485*100)</f>
        <v>35.28938738441714</v>
      </c>
      <c r="D98" s="43">
        <f>IF(975.74485="","-",975.74485/3222930.24801*100)</f>
        <v>0.030275084315041386</v>
      </c>
      <c r="E98" s="43">
        <f>IF(344.33438="","-",344.33438/3306313.64307*100)</f>
        <v>0.010414449963684522</v>
      </c>
      <c r="F98" s="43">
        <f>IF(OR(2578273.3802="",877.64584="",975.74485=""),"-",(975.74485-877.64584)/2578273.3802*100)</f>
        <v>0.00380483352748227</v>
      </c>
      <c r="G98" s="43">
        <f>IF(OR(3222930.24801="",344.33438="",975.74485=""),"-",(344.33438-975.74485)/3222930.24801*100)</f>
        <v>-0.019591192530147516</v>
      </c>
    </row>
    <row r="99" spans="1:7" ht="15.75">
      <c r="A99" s="33" t="s">
        <v>68</v>
      </c>
      <c r="B99" s="43">
        <f>IF(305.28972="","-",305.28972)</f>
        <v>305.28972</v>
      </c>
      <c r="C99" s="43">
        <f>IF(OR(387.82032="",305.28972=""),"-",305.28972/387.82032*100)</f>
        <v>78.7193718988216</v>
      </c>
      <c r="D99" s="43">
        <f>IF(387.82032="","-",387.82032/3222930.24801*100)</f>
        <v>0.012033158962700474</v>
      </c>
      <c r="E99" s="43">
        <f>IF(305.28972="","-",305.28972/3306313.64307*100)</f>
        <v>0.00923353779941247</v>
      </c>
      <c r="F99" s="43">
        <f>IF(OR(2578273.3802="",471.64926="",387.82032=""),"-",(387.82032-471.64926)/2578273.3802*100)</f>
        <v>-0.003251359636405094</v>
      </c>
      <c r="G99" s="43">
        <f>IF(OR(3222930.24801="",305.28972="",387.82032=""),"-",(305.28972-387.82032)/3222930.24801*100)</f>
        <v>-0.0025607318076759046</v>
      </c>
    </row>
    <row r="100" spans="1:7" ht="15.75">
      <c r="A100" s="33" t="s">
        <v>72</v>
      </c>
      <c r="B100" s="43">
        <f>IF(281.10103="","-",281.10103)</f>
        <v>281.10103</v>
      </c>
      <c r="C100" s="43" t="s">
        <v>146</v>
      </c>
      <c r="D100" s="43">
        <f>IF(184.35039="","-",184.35039/3222930.24801*100)</f>
        <v>0.0057199621404722375</v>
      </c>
      <c r="E100" s="43">
        <f>IF(281.10103="","-",281.10103/3306313.64307*100)</f>
        <v>0.008501946891493034</v>
      </c>
      <c r="F100" s="43">
        <f>IF(OR(2578273.3802="",53.64395="",184.35039=""),"-",(184.35039-53.64395)/2578273.3802*100)</f>
        <v>0.0050695337819397935</v>
      </c>
      <c r="G100" s="43">
        <f>IF(OR(3222930.24801="",281.10103="",184.35039=""),"-",(281.10103-184.35039)/3222930.24801*100)</f>
        <v>0.0030019464448459193</v>
      </c>
    </row>
    <row r="101" spans="1:7" ht="15.75">
      <c r="A101" s="33" t="s">
        <v>103</v>
      </c>
      <c r="B101" s="43">
        <f>IF(252.63667="","-",252.63667)</f>
        <v>252.63667</v>
      </c>
      <c r="C101" s="43">
        <f>IF(OR(322.95794="",252.63667=""),"-",252.63667/322.95794*100)</f>
        <v>78.22587362304824</v>
      </c>
      <c r="D101" s="43">
        <f>IF(322.95794="","-",322.95794/3222930.24801*100)</f>
        <v>0.010020630766036917</v>
      </c>
      <c r="E101" s="43">
        <f>IF(252.63667="","-",252.63667/3306313.64307*100)</f>
        <v>0.007641037641105946</v>
      </c>
      <c r="F101" s="43">
        <f>IF(OR(2578273.3802="",451.95546="",322.95794=""),"-",(322.95794-451.95546)/2578273.3802*100)</f>
        <v>-0.005003252214859912</v>
      </c>
      <c r="G101" s="43">
        <f>IF(OR(3222930.24801="",252.63667="",322.95794=""),"-",(252.63667-322.95794)/3222930.24801*100)</f>
        <v>-0.0021819048067645863</v>
      </c>
    </row>
    <row r="102" spans="1:7" ht="15.75">
      <c r="A102" s="33" t="s">
        <v>112</v>
      </c>
      <c r="B102" s="43">
        <f>IF(252.30622="","-",252.30622)</f>
        <v>252.30622</v>
      </c>
      <c r="C102" s="43">
        <f>IF(OR(442.75191="",252.30622=""),"-",252.30622/442.75191*100)</f>
        <v>56.98591339786654</v>
      </c>
      <c r="D102" s="43">
        <f>IF(442.75191="","-",442.75191/3222930.24801*100)</f>
        <v>0.013737557934223908</v>
      </c>
      <c r="E102" s="43">
        <f>IF(252.30622="","-",252.30622/3306313.64307*100)</f>
        <v>0.007631043126499243</v>
      </c>
      <c r="F102" s="43">
        <f>IF(OR(2578273.3802="",224.64823="",442.75191=""),"-",(442.75191-224.64823)/2578273.3802*100)</f>
        <v>0.008459292240882595</v>
      </c>
      <c r="G102" s="43">
        <f>IF(OR(3222930.24801="",252.30622="",442.75191=""),"-",(252.30622-442.75191)/3222930.24801*100)</f>
        <v>-0.005909085066845328</v>
      </c>
    </row>
    <row r="103" spans="1:7" ht="15.75">
      <c r="A103" s="33" t="s">
        <v>117</v>
      </c>
      <c r="B103" s="43">
        <f>IF(164.48396="","-",164.48396)</f>
        <v>164.48396</v>
      </c>
      <c r="C103" s="43" t="s">
        <v>278</v>
      </c>
      <c r="D103" s="43">
        <f>IF(17.89008="","-",17.89008/3222930.24801*100)</f>
        <v>0.0005550874087655555</v>
      </c>
      <c r="E103" s="43">
        <f>IF(164.48396="","-",164.48396/3306313.64307*100)</f>
        <v>0.004974844426654946</v>
      </c>
      <c r="F103" s="43">
        <f>IF(OR(2578273.3802="",61.11134="",17.89008=""),"-",(17.89008-61.11134)/2578273.3802*100)</f>
        <v>-0.0016763645132405343</v>
      </c>
      <c r="G103" s="43">
        <f>IF(OR(3222930.24801="",164.48396="",17.89008=""),"-",(164.48396-17.89008)/3222930.24801*100)</f>
        <v>0.004548465797251258</v>
      </c>
    </row>
    <row r="104" spans="1:7" ht="15.75">
      <c r="A104" s="33" t="s">
        <v>166</v>
      </c>
      <c r="B104" s="43">
        <f>IF(137.46298="","-",137.46298)</f>
        <v>137.46298</v>
      </c>
      <c r="C104" s="43" t="s">
        <v>115</v>
      </c>
      <c r="D104" s="43">
        <f>IF(87.63267="","-",87.63267/3222930.24801*100)</f>
        <v>0.00271903712635757</v>
      </c>
      <c r="E104" s="43">
        <f>IF(137.46298="","-",137.46298/3306313.64307*100)</f>
        <v>0.004157590441793718</v>
      </c>
      <c r="F104" s="43">
        <f>IF(OR(2578273.3802="",197.88314="",87.63267=""),"-",(87.63267-197.88314)/2578273.3802*100)</f>
        <v>-0.004276135759949852</v>
      </c>
      <c r="G104" s="43">
        <f>IF(OR(3222930.24801="",137.46298="",87.63267=""),"-",(137.46298-87.63267)/3222930.24801*100)</f>
        <v>0.0015461181646971025</v>
      </c>
    </row>
    <row r="105" spans="1:7" ht="15.75">
      <c r="A105" s="33" t="s">
        <v>158</v>
      </c>
      <c r="B105" s="43">
        <f>IF(134.36369="","-",134.36369)</f>
        <v>134.36369</v>
      </c>
      <c r="C105" s="43">
        <f>IF(OR(93.10667="",134.36369=""),"-",134.36369/93.10667*100)</f>
        <v>144.31156221138616</v>
      </c>
      <c r="D105" s="43">
        <f>IF(93.10667="","-",93.10667/3222930.24801*100)</f>
        <v>0.002888882564476496</v>
      </c>
      <c r="E105" s="43">
        <f>IF(134.36369="","-",134.36369/3306313.64307*100)</f>
        <v>0.004063851905932303</v>
      </c>
      <c r="F105" s="43">
        <f>IF(OR(2578273.3802="",43.72005="",93.10667=""),"-",(93.10667-43.72005)/2578273.3802*100)</f>
        <v>0.0019154919869734297</v>
      </c>
      <c r="G105" s="43">
        <f>IF(OR(3222930.24801="",134.36369="",93.10667=""),"-",(134.36369-93.10667)/3222930.24801*100)</f>
        <v>0.00128010899477189</v>
      </c>
    </row>
    <row r="106" spans="1:7" ht="15.75">
      <c r="A106" s="33" t="s">
        <v>157</v>
      </c>
      <c r="B106" s="43">
        <f>IF(129.70559="","-",129.70559)</f>
        <v>129.70559</v>
      </c>
      <c r="C106" s="43" t="s">
        <v>246</v>
      </c>
      <c r="D106" s="43">
        <f>IF(17.0814="","-",17.0814/3222930.24801*100)</f>
        <v>0.0005299959566468097</v>
      </c>
      <c r="E106" s="43">
        <f>IF(129.70559="","-",129.70559/3306313.64307*100)</f>
        <v>0.003922966905207605</v>
      </c>
      <c r="F106" s="43">
        <f>IF(OR(2578273.3802="",10.11623="",17.0814=""),"-",(17.0814-10.11623)/2578273.3802*100)</f>
        <v>0.00027014862168959374</v>
      </c>
      <c r="G106" s="43">
        <f>IF(OR(3222930.24801="",129.70559="",17.0814=""),"-",(129.70559-17.0814)/3222930.24801*100)</f>
        <v>0.003494465636342575</v>
      </c>
    </row>
    <row r="107" spans="1:7" ht="15.75">
      <c r="A107" s="34" t="s">
        <v>238</v>
      </c>
      <c r="B107" s="46">
        <f>IF(122.74016="","-",122.74016)</f>
        <v>122.74016</v>
      </c>
      <c r="C107" s="46">
        <f>IF(OR(226.56263="",122.74016=""),"-",122.74016/226.56263*100)</f>
        <v>54.17493608720908</v>
      </c>
      <c r="D107" s="46">
        <f>IF(226.56263="","-",226.56263/3222930.24801*100)</f>
        <v>0.007029709381389536</v>
      </c>
      <c r="E107" s="46">
        <f>IF(122.74016="","-",122.74016/3306313.64307*100)</f>
        <v>0.003712296329093343</v>
      </c>
      <c r="F107" s="46">
        <f>IF(OR(2578273.3802="",34.10485="",226.56263=""),"-",(226.56263-34.10485)/2578273.3802*100)</f>
        <v>0.007464599428361271</v>
      </c>
      <c r="G107" s="46">
        <f>IF(OR(3222930.24801="",122.74016="",226.56263=""),"-",(122.74016-226.56263)/3222930.24801*100)</f>
        <v>-0.0032213688169052137</v>
      </c>
    </row>
    <row r="108" ht="15.75">
      <c r="A108" s="52" t="s">
        <v>21</v>
      </c>
    </row>
  </sheetData>
  <sheetProtection/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4"/>
  <sheetViews>
    <sheetView zoomScale="95" zoomScaleNormal="95" zoomScalePageLayoutView="0" workbookViewId="0" topLeftCell="A1">
      <selection activeCell="H25" sqref="H25"/>
    </sheetView>
  </sheetViews>
  <sheetFormatPr defaultColWidth="9.00390625" defaultRowHeight="15.75"/>
  <cols>
    <col min="1" max="1" width="44.00390625" style="0" customWidth="1"/>
    <col min="2" max="2" width="13.75390625" style="0" customWidth="1"/>
    <col min="3" max="3" width="14.125" style="0" customWidth="1"/>
    <col min="4" max="4" width="17.125" style="0" customWidth="1"/>
  </cols>
  <sheetData>
    <row r="1" spans="1:4" ht="15.75">
      <c r="A1" s="85" t="s">
        <v>135</v>
      </c>
      <c r="B1" s="85"/>
      <c r="C1" s="85"/>
      <c r="D1" s="85"/>
    </row>
    <row r="2" ht="15.75">
      <c r="A2" s="4"/>
    </row>
    <row r="3" spans="1:5" ht="32.25" customHeight="1">
      <c r="A3" s="86"/>
      <c r="B3" s="84" t="s">
        <v>258</v>
      </c>
      <c r="C3" s="84"/>
      <c r="D3" s="88" t="s">
        <v>259</v>
      </c>
      <c r="E3" s="1"/>
    </row>
    <row r="4" spans="1:5" ht="21" customHeight="1">
      <c r="A4" s="87"/>
      <c r="B4" s="20">
        <v>2018</v>
      </c>
      <c r="C4" s="19">
        <v>2019</v>
      </c>
      <c r="D4" s="89"/>
      <c r="E4" s="1"/>
    </row>
    <row r="5" spans="1:4" ht="17.25" customHeight="1">
      <c r="A5" s="26" t="s">
        <v>251</v>
      </c>
      <c r="B5" s="41">
        <f>IF(-1689299.94104="","-",-1689299.94104)</f>
        <v>-1689299.94104</v>
      </c>
      <c r="C5" s="41">
        <f>IF(-1724732.89192="","-",-1724732.89192)</f>
        <v>-1724732.89192</v>
      </c>
      <c r="D5" s="58">
        <f>IF(-1689299.94104="","-",-1724732.89192/-1689299.94104*100)</f>
        <v>102.09749316975565</v>
      </c>
    </row>
    <row r="6" spans="1:4" ht="15.75">
      <c r="A6" s="27" t="s">
        <v>167</v>
      </c>
      <c r="B6" s="31"/>
      <c r="C6" s="31"/>
      <c r="D6" s="68"/>
    </row>
    <row r="7" spans="1:4" ht="15.75">
      <c r="A7" s="25" t="s">
        <v>241</v>
      </c>
      <c r="B7" s="55">
        <f>IF(-592952.87032="","-",-592952.87032)</f>
        <v>-592952.87032</v>
      </c>
      <c r="C7" s="55">
        <f>IF(-628134.68371="","-",-628134.68371)</f>
        <v>-628134.68371</v>
      </c>
      <c r="D7" s="69">
        <f>IF(-592952.87032="","-",-628134.68371/-592952.87032*100)</f>
        <v>105.93332373465255</v>
      </c>
    </row>
    <row r="8" spans="1:4" ht="15.75">
      <c r="A8" s="33" t="s">
        <v>4</v>
      </c>
      <c r="B8" s="56">
        <f>IF(-146032.85622="","-",-146032.85622)</f>
        <v>-146032.85622</v>
      </c>
      <c r="C8" s="56">
        <f>IF(-139695.23219="","-",-139695.23219)</f>
        <v>-139695.23219</v>
      </c>
      <c r="D8" s="70">
        <f>IF(OR(-146032.85622="",-139695.23219="",-146032.85622=0),"-",-139695.23219/-146032.85622*100)</f>
        <v>95.66013827706534</v>
      </c>
    </row>
    <row r="9" spans="1:4" ht="15.75">
      <c r="A9" s="33" t="s">
        <v>3</v>
      </c>
      <c r="B9" s="56">
        <f>IF(-60247.24844="","-",-60247.24844)</f>
        <v>-60247.24844</v>
      </c>
      <c r="C9" s="56">
        <f>IF(-79659.42698="","-",-79659.42698)</f>
        <v>-79659.42698</v>
      </c>
      <c r="D9" s="70">
        <f>IF(OR(-60247.24844="",-79659.42698="",-60247.24844=0),"-",-79659.42698/-60247.24844*100)</f>
        <v>132.2208549645757</v>
      </c>
    </row>
    <row r="10" spans="1:4" ht="15.75">
      <c r="A10" s="33" t="s">
        <v>168</v>
      </c>
      <c r="B10" s="56">
        <f>IF(-53335.85594="","-",-53335.85594)</f>
        <v>-53335.85594</v>
      </c>
      <c r="C10" s="56">
        <f>IF(-67189.67138="","-",-67189.67138)</f>
        <v>-67189.67138</v>
      </c>
      <c r="D10" s="70">
        <f>IF(OR(-53335.85594="",-67189.67138="",-53335.85594=0),"-",-67189.67138/-53335.85594*100)</f>
        <v>125.97467537707617</v>
      </c>
    </row>
    <row r="11" spans="1:4" ht="15.75">
      <c r="A11" s="33" t="s">
        <v>50</v>
      </c>
      <c r="B11" s="56">
        <f>IF(-65010.85455="","-",-65010.85455)</f>
        <v>-65010.85455</v>
      </c>
      <c r="C11" s="56">
        <f>IF(-61605.56009="","-",-61605.56009)</f>
        <v>-61605.56009</v>
      </c>
      <c r="D11" s="70">
        <f>IF(OR(-65010.85455="",-61605.56009="",-65010.85455=0),"-",-61605.56009/-65010.85455*100)</f>
        <v>94.76196016254336</v>
      </c>
    </row>
    <row r="12" spans="1:4" ht="15.75">
      <c r="A12" s="33" t="s">
        <v>5</v>
      </c>
      <c r="B12" s="56">
        <f>IF(-60850.09558="","-",-60850.09558)</f>
        <v>-60850.09558</v>
      </c>
      <c r="C12" s="56">
        <f>IF(-49507.00969="","-",-49507.00969)</f>
        <v>-49507.00969</v>
      </c>
      <c r="D12" s="70">
        <f>IF(OR(-60850.09558="",-49507.00969="",-60850.09558=0),"-",-49507.00969/-60850.09558*100)</f>
        <v>81.35896783418002</v>
      </c>
    </row>
    <row r="13" spans="1:4" ht="15.75">
      <c r="A13" s="33" t="s">
        <v>8</v>
      </c>
      <c r="B13" s="56">
        <f>IF(-39347.02047="","-",-39347.02047)</f>
        <v>-39347.02047</v>
      </c>
      <c r="C13" s="56">
        <f>IF(-38922.82069="","-",-38922.82069)</f>
        <v>-38922.82069</v>
      </c>
      <c r="D13" s="70">
        <f>IF(OR(-39347.02047="",-38922.82069="",-39347.02047=0),"-",-38922.82069/-39347.02047*100)</f>
        <v>98.92190113779154</v>
      </c>
    </row>
    <row r="14" spans="1:4" ht="15.75">
      <c r="A14" s="33" t="s">
        <v>7</v>
      </c>
      <c r="B14" s="56">
        <f>IF(-23839.14215="","-",-23839.14215)</f>
        <v>-23839.14215</v>
      </c>
      <c r="C14" s="56">
        <f>IF(-34018.61904="","-",-34018.61904)</f>
        <v>-34018.61904</v>
      </c>
      <c r="D14" s="70">
        <f>IF(OR(-23839.14215="",-34018.61904="",-23839.14215=0),"-",-34018.61904/-23839.14215*100)</f>
        <v>142.70068455462436</v>
      </c>
    </row>
    <row r="15" spans="1:4" ht="15.75">
      <c r="A15" s="33" t="s">
        <v>48</v>
      </c>
      <c r="B15" s="56">
        <f>IF(-27680.86935="","-",-27680.86935)</f>
        <v>-27680.86935</v>
      </c>
      <c r="C15" s="56">
        <f>IF(-28741.37984="","-",-28741.37984)</f>
        <v>-28741.37984</v>
      </c>
      <c r="D15" s="70">
        <f>IF(OR(-27680.86935="",-28741.37984="",-27680.86935=0),"-",-28741.37984/-27680.86935*100)</f>
        <v>103.8312036973651</v>
      </c>
    </row>
    <row r="16" spans="1:4" ht="15.75">
      <c r="A16" s="33" t="s">
        <v>2</v>
      </c>
      <c r="B16" s="56">
        <f>IF(-48339.58572="","-",-48339.58572)</f>
        <v>-48339.58572</v>
      </c>
      <c r="C16" s="56">
        <f>IF(-24558.6525499999="","-",-24558.6525499999)</f>
        <v>-24558.6525499999</v>
      </c>
      <c r="D16" s="70">
        <f>IF(OR(-48339.58572="",-24558.6525499999="",-48339.58572=0),"-",-24558.6525499999/-48339.58572*100)</f>
        <v>50.80443322839445</v>
      </c>
    </row>
    <row r="17" spans="1:4" ht="15.75">
      <c r="A17" s="33" t="s">
        <v>49</v>
      </c>
      <c r="B17" s="56">
        <f>IF(-19423.14396="","-",-19423.14396)</f>
        <v>-19423.14396</v>
      </c>
      <c r="C17" s="56">
        <f>IF(-16419.04618="","-",-16419.04618)</f>
        <v>-16419.04618</v>
      </c>
      <c r="D17" s="70">
        <f>IF(OR(-19423.14396="",-16419.04618="",-19423.14396=0),"-",-16419.04618/-19423.14396*100)</f>
        <v>84.5334113458324</v>
      </c>
    </row>
    <row r="18" spans="1:4" ht="15.75">
      <c r="A18" s="33" t="s">
        <v>58</v>
      </c>
      <c r="B18" s="56">
        <f>IF(-13129.98928="","-",-13129.98928)</f>
        <v>-13129.98928</v>
      </c>
      <c r="C18" s="56">
        <f>IF(-13631.25136="","-",-13631.25136)</f>
        <v>-13631.25136</v>
      </c>
      <c r="D18" s="70">
        <f>IF(OR(-13129.98928="",-13631.25136="",-13129.98928=0),"-",-13631.25136/-13129.98928*100)</f>
        <v>103.81768841779284</v>
      </c>
    </row>
    <row r="19" spans="1:4" ht="15.75">
      <c r="A19" s="33" t="s">
        <v>60</v>
      </c>
      <c r="B19" s="56">
        <f>IF(-13361.68516="","-",-13361.68516)</f>
        <v>-13361.68516</v>
      </c>
      <c r="C19" s="56">
        <f>IF(-12836.0282="","-",-12836.0282)</f>
        <v>-12836.0282</v>
      </c>
      <c r="D19" s="70">
        <f>IF(OR(-13361.68516="",-12836.0282="",-13361.68516=0),"-",-12836.0282/-13361.68516*100)</f>
        <v>96.06593813800055</v>
      </c>
    </row>
    <row r="20" spans="1:4" ht="15.75">
      <c r="A20" s="33" t="s">
        <v>52</v>
      </c>
      <c r="B20" s="56">
        <f>IF(-5107.70225="","-",-5107.70225)</f>
        <v>-5107.70225</v>
      </c>
      <c r="C20" s="56">
        <f>IF(-12811.82658="","-",-12811.82658)</f>
        <v>-12811.82658</v>
      </c>
      <c r="D20" s="70" t="s">
        <v>270</v>
      </c>
    </row>
    <row r="21" spans="1:4" ht="15.75">
      <c r="A21" s="33" t="s">
        <v>10</v>
      </c>
      <c r="B21" s="56">
        <f>IF(-12415.61512="","-",-12415.61512)</f>
        <v>-12415.61512</v>
      </c>
      <c r="C21" s="56">
        <f>IF(-12705.65434="","-",-12705.65434)</f>
        <v>-12705.65434</v>
      </c>
      <c r="D21" s="70">
        <f>IF(OR(-12415.61512="",-12705.65434="",-12415.61512=0),"-",-12705.65434/-12415.61512*100)</f>
        <v>102.33608417461961</v>
      </c>
    </row>
    <row r="22" spans="1:4" ht="15.75">
      <c r="A22" s="33" t="s">
        <v>59</v>
      </c>
      <c r="B22" s="56">
        <f>IF(-355.75024="","-",-355.75024)</f>
        <v>-355.75024</v>
      </c>
      <c r="C22" s="56">
        <f>IF(-10605.17023="","-",-10605.17023)</f>
        <v>-10605.17023</v>
      </c>
      <c r="D22" s="70" t="s">
        <v>290</v>
      </c>
    </row>
    <row r="23" spans="1:6" ht="15.75">
      <c r="A23" s="33" t="s">
        <v>57</v>
      </c>
      <c r="B23" s="56">
        <f>IF(-7635.88163="","-",-7635.88163)</f>
        <v>-7635.88163</v>
      </c>
      <c r="C23" s="56">
        <f>IF(-7332.17973="","-",-7332.17973)</f>
        <v>-7332.17973</v>
      </c>
      <c r="D23" s="70">
        <f>IF(OR(-7635.88163="",-7332.17973="",-7635.88163=0),"-",-7332.17973/-7635.88163*100)</f>
        <v>96.02270026283789</v>
      </c>
      <c r="F23" t="s">
        <v>118</v>
      </c>
    </row>
    <row r="24" spans="1:4" ht="15.75">
      <c r="A24" s="33" t="s">
        <v>56</v>
      </c>
      <c r="B24" s="56">
        <f>IF(-7920.29454="","-",-7920.29454)</f>
        <v>-7920.29454</v>
      </c>
      <c r="C24" s="56">
        <f>IF(-6557.46997="","-",-6557.46997)</f>
        <v>-6557.46997</v>
      </c>
      <c r="D24" s="70">
        <f>IF(OR(-7920.29454="",-6557.46997="",-7920.29454=0),"-",-6557.46997/-7920.29454*100)</f>
        <v>82.793258973927</v>
      </c>
    </row>
    <row r="25" spans="1:4" ht="15.75">
      <c r="A25" s="33" t="s">
        <v>51</v>
      </c>
      <c r="B25" s="56">
        <f>IF(-1419.75033="","-",-1419.75033)</f>
        <v>-1419.75033</v>
      </c>
      <c r="C25" s="56">
        <f>IF(-5480.291="","-",-5480.291)</f>
        <v>-5480.291</v>
      </c>
      <c r="D25" s="70" t="s">
        <v>291</v>
      </c>
    </row>
    <row r="26" spans="1:4" ht="15.75">
      <c r="A26" s="33" t="s">
        <v>6</v>
      </c>
      <c r="B26" s="56">
        <f>IF(-5677.21458="","-",-5677.21458)</f>
        <v>-5677.21458</v>
      </c>
      <c r="C26" s="56">
        <f>IF(-4775.79898="","-",-4775.79898)</f>
        <v>-4775.79898</v>
      </c>
      <c r="D26" s="70">
        <f>IF(OR(-5677.21458="",-4775.79898="",-5677.21458=0),"-",-4775.79898/-5677.21458*100)</f>
        <v>84.12222072465684</v>
      </c>
    </row>
    <row r="27" spans="1:4" ht="15.75">
      <c r="A27" s="33" t="s">
        <v>61</v>
      </c>
      <c r="B27" s="56">
        <f>IF(-3594.88435="","-",-3594.88435)</f>
        <v>-3594.88435</v>
      </c>
      <c r="C27" s="56">
        <f>IF(-4202.88447="","-",-4202.88447)</f>
        <v>-4202.88447</v>
      </c>
      <c r="D27" s="70">
        <f>IF(OR(-3594.88435="",-4202.88447="",-3594.88435=0),"-",-4202.88447/-3594.88435*100)</f>
        <v>116.91292572457861</v>
      </c>
    </row>
    <row r="28" spans="1:4" ht="15.75">
      <c r="A28" s="33" t="s">
        <v>170</v>
      </c>
      <c r="B28" s="56">
        <f>IF(-1688.64635="","-",-1688.64635)</f>
        <v>-1688.64635</v>
      </c>
      <c r="C28" s="56">
        <f>IF(-2775.01804="","-",-2775.01804)</f>
        <v>-2775.01804</v>
      </c>
      <c r="D28" s="70" t="s">
        <v>115</v>
      </c>
    </row>
    <row r="29" spans="1:4" ht="15.75">
      <c r="A29" s="33" t="s">
        <v>53</v>
      </c>
      <c r="B29" s="56">
        <f>IF(-3092.1091="","-",-3092.1091)</f>
        <v>-3092.1091</v>
      </c>
      <c r="C29" s="56">
        <f>IF(-1292.85254="","-",-1292.85254)</f>
        <v>-1292.85254</v>
      </c>
      <c r="D29" s="70">
        <f>IF(OR(-3092.1091="",-1292.85254="",-3092.1091=0),"-",-1292.85254/-3092.1091*100)</f>
        <v>41.811349411959625</v>
      </c>
    </row>
    <row r="30" spans="1:4" ht="15.75">
      <c r="A30" s="33" t="s">
        <v>62</v>
      </c>
      <c r="B30" s="56">
        <f>IF(-548.52196="","-",-548.52196)</f>
        <v>-548.52196</v>
      </c>
      <c r="C30" s="56">
        <f>IF(-1015.55704="","-",-1015.55704)</f>
        <v>-1015.55704</v>
      </c>
      <c r="D30" s="70" t="s">
        <v>253</v>
      </c>
    </row>
    <row r="31" spans="1:4" ht="15.75">
      <c r="A31" s="33" t="s">
        <v>169</v>
      </c>
      <c r="B31" s="56">
        <f>IF(16319.47844="","-",16319.47844)</f>
        <v>16319.47844</v>
      </c>
      <c r="C31" s="56">
        <f>IF(-935.73413="","-",-935.73413)</f>
        <v>-935.73413</v>
      </c>
      <c r="D31" s="70" t="s">
        <v>22</v>
      </c>
    </row>
    <row r="32" spans="1:4" ht="15.75">
      <c r="A32" s="33" t="s">
        <v>54</v>
      </c>
      <c r="B32" s="56">
        <f>IF(-859.00945="","-",-859.00945)</f>
        <v>-859.00945</v>
      </c>
      <c r="C32" s="56">
        <f>IF(-592.67458="","-",-592.67458)</f>
        <v>-592.67458</v>
      </c>
      <c r="D32" s="70">
        <f>IF(OR(-859.00945="",-592.67458="",-859.00945=0),"-",-592.67458/-859.00945*100)</f>
        <v>68.9951175740849</v>
      </c>
    </row>
    <row r="33" spans="1:4" ht="15.75">
      <c r="A33" s="33" t="s">
        <v>63</v>
      </c>
      <c r="B33" s="56">
        <f>IF(514.65307="","-",514.65307)</f>
        <v>514.65307</v>
      </c>
      <c r="C33" s="56">
        <f>IF(403.34932="","-",403.34932)</f>
        <v>403.34932</v>
      </c>
      <c r="D33" s="70">
        <f>IF(OR(514.65307="",403.34932="",514.65307=0),"-",403.34932/514.65307*100)</f>
        <v>78.37305235544403</v>
      </c>
    </row>
    <row r="34" spans="1:4" ht="15.75">
      <c r="A34" s="33" t="s">
        <v>9</v>
      </c>
      <c r="B34" s="56">
        <f>IF(6935.66507="","-",6935.66507)</f>
        <v>6935.66507</v>
      </c>
      <c r="C34" s="56">
        <f>IF(2032.69333="","-",2032.69333)</f>
        <v>2032.69333</v>
      </c>
      <c r="D34" s="70">
        <f>IF(OR(6935.66507="",2032.69333="",6935.66507=0),"-",2032.69333/6935.66507*100)</f>
        <v>29.307835794902363</v>
      </c>
    </row>
    <row r="35" spans="1:4" ht="15.75">
      <c r="A35" s="33" t="s">
        <v>55</v>
      </c>
      <c r="B35" s="56">
        <f>IF(4191.05982="","-",4191.05982)</f>
        <v>4191.05982</v>
      </c>
      <c r="C35" s="56">
        <f>IF(7297.08346="","-",7297.08346)</f>
        <v>7297.08346</v>
      </c>
      <c r="D35" s="70" t="s">
        <v>114</v>
      </c>
    </row>
    <row r="36" spans="1:4" ht="15.75">
      <c r="A36" s="25" t="s">
        <v>252</v>
      </c>
      <c r="B36" s="42">
        <f>IF(-514513.06406="","-",-514513.06406)</f>
        <v>-514513.06406</v>
      </c>
      <c r="C36" s="42">
        <f>IF(-575019.66849="","-",-575019.66849)</f>
        <v>-575019.66849</v>
      </c>
      <c r="D36" s="60">
        <f>IF(-514513.06406="","-",-575019.66849/-514513.06406*100)</f>
        <v>111.7599743634389</v>
      </c>
    </row>
    <row r="37" spans="1:4" ht="15.75">
      <c r="A37" s="33" t="s">
        <v>12</v>
      </c>
      <c r="B37" s="43">
        <f>IF(-262211.47474="","-",-262211.47474)</f>
        <v>-262211.47474</v>
      </c>
      <c r="C37" s="43">
        <f>IF(-282133.35345="","-",-282133.35345)</f>
        <v>-282133.35345</v>
      </c>
      <c r="D37" s="61">
        <f>IF(OR(-262211.47474="",-282133.35345="",-262211.47474=0),"-",-282133.35345/-262211.47474*100)</f>
        <v>107.59763802471036</v>
      </c>
    </row>
    <row r="38" spans="1:4" ht="15.75">
      <c r="A38" s="33" t="s">
        <v>171</v>
      </c>
      <c r="B38" s="43">
        <f>IF(-247980.34689="","-",-247980.34689)</f>
        <v>-247980.34689</v>
      </c>
      <c r="C38" s="43">
        <f>IF(-264110.83766="","-",-264110.83766)</f>
        <v>-264110.83766</v>
      </c>
      <c r="D38" s="61">
        <f>IF(OR(-247980.34689="",-264110.83766="",-247980.34689=0),"-",-264110.83766/-247980.34689*100)</f>
        <v>106.50474562694086</v>
      </c>
    </row>
    <row r="39" spans="1:4" ht="15.75">
      <c r="A39" s="33" t="s">
        <v>11</v>
      </c>
      <c r="B39" s="43">
        <f>IF(-6380.21692="","-",-6380.21692)</f>
        <v>-6380.21692</v>
      </c>
      <c r="C39" s="43">
        <f>IF(-27090.61262="","-",-27090.61262)</f>
        <v>-27090.61262</v>
      </c>
      <c r="D39" s="61" t="s">
        <v>292</v>
      </c>
    </row>
    <row r="40" spans="1:4" ht="15.75">
      <c r="A40" s="33" t="s">
        <v>15</v>
      </c>
      <c r="B40" s="43">
        <f>IF(-591.56322="","-",-591.56322)</f>
        <v>-591.56322</v>
      </c>
      <c r="C40" s="43">
        <f>IF(-3570.46669="","-",-3570.46669)</f>
        <v>-3570.46669</v>
      </c>
      <c r="D40" s="61" t="s">
        <v>293</v>
      </c>
    </row>
    <row r="41" spans="1:4" ht="15.75">
      <c r="A41" s="33" t="s">
        <v>16</v>
      </c>
      <c r="B41" s="43">
        <f>IF(-7159.39686="","-",-7159.39686)</f>
        <v>-7159.39686</v>
      </c>
      <c r="C41" s="43">
        <f>IF(-1629.79426="","-",-1629.79426)</f>
        <v>-1629.79426</v>
      </c>
      <c r="D41" s="61">
        <f>IF(OR(-7159.39686="",-1629.79426="",-7159.39686=0),"-",-1629.79426/-7159.39686*100)</f>
        <v>22.764407279973025</v>
      </c>
    </row>
    <row r="42" spans="1:4" ht="15.75">
      <c r="A42" s="33" t="s">
        <v>13</v>
      </c>
      <c r="B42" s="43">
        <f>IF(6439.2214="","-",6439.2214)</f>
        <v>6439.2214</v>
      </c>
      <c r="C42" s="43">
        <f>IF(77.23163="","-",77.23163)</f>
        <v>77.23163</v>
      </c>
      <c r="D42" s="61">
        <f>IF(OR(6439.2214="",77.23163="",6439.2214=0),"-",77.23163/6439.2214*100)</f>
        <v>1.1993939205134334</v>
      </c>
    </row>
    <row r="43" spans="1:4" ht="15.75">
      <c r="A43" s="33" t="s">
        <v>18</v>
      </c>
      <c r="B43" s="43">
        <f>IF(237.96944="","-",237.96944)</f>
        <v>237.96944</v>
      </c>
      <c r="C43" s="43">
        <f>IF(117.42155="","-",117.42155)</f>
        <v>117.42155</v>
      </c>
      <c r="D43" s="61">
        <f>IF(OR(237.96944="",117.42155="",237.96944=0),"-",117.42155/237.96944*100)</f>
        <v>49.34312153695029</v>
      </c>
    </row>
    <row r="44" spans="1:4" ht="15.75">
      <c r="A44" s="33" t="s">
        <v>17</v>
      </c>
      <c r="B44" s="43">
        <f>IF(414.76098="","-",414.76098)</f>
        <v>414.76098</v>
      </c>
      <c r="C44" s="43">
        <f>IF(444.84279="","-",444.84279)</f>
        <v>444.84279</v>
      </c>
      <c r="D44" s="61">
        <f>IF(OR(414.76098="",444.84279="",414.76098=0),"-",444.84279/414.76098*100)</f>
        <v>107.25280618249093</v>
      </c>
    </row>
    <row r="45" spans="1:4" ht="15.75">
      <c r="A45" s="33" t="s">
        <v>147</v>
      </c>
      <c r="B45" s="43">
        <f>IF(550.82664="","-",550.82664)</f>
        <v>550.82664</v>
      </c>
      <c r="C45" s="43">
        <f>IF(518.3326="","-",518.3326)</f>
        <v>518.3326</v>
      </c>
      <c r="D45" s="61">
        <f>IF(OR(550.82664="",518.3326="",550.82664=0),"-",518.3326/550.82664*100)</f>
        <v>94.10085902889517</v>
      </c>
    </row>
    <row r="46" spans="1:4" ht="15.75">
      <c r="A46" s="33" t="s">
        <v>14</v>
      </c>
      <c r="B46" s="43">
        <f>IF(2167.15611="","-",2167.15611)</f>
        <v>2167.15611</v>
      </c>
      <c r="C46" s="43">
        <f>IF(2357.56762="","-",2357.56762)</f>
        <v>2357.56762</v>
      </c>
      <c r="D46" s="61">
        <f>IF(OR(2167.15611="",2357.56762="",2167.15611=0),"-",2357.56762/2167.15611*100)</f>
        <v>108.78623875416156</v>
      </c>
    </row>
    <row r="47" spans="1:4" ht="15.75">
      <c r="A47" s="25" t="s">
        <v>236</v>
      </c>
      <c r="B47" s="42">
        <f>IF(-581834.00666="","-",-581834.00666)</f>
        <v>-581834.00666</v>
      </c>
      <c r="C47" s="42">
        <f>IF(-521578.53972="","-",-521578.53972)</f>
        <v>-521578.53972</v>
      </c>
      <c r="D47" s="60">
        <f>IF(-581834.00666="","-",-521578.53972/-581834.00666*100)</f>
        <v>89.64387329542758</v>
      </c>
    </row>
    <row r="48" spans="1:4" ht="15.75">
      <c r="A48" s="33" t="s">
        <v>67</v>
      </c>
      <c r="B48" s="43">
        <f>IF(-325831.7223="","-",-325831.7223)</f>
        <v>-325831.7223</v>
      </c>
      <c r="C48" s="43">
        <f>IF(-319827.77807="","-",-319827.77807)</f>
        <v>-319827.77807</v>
      </c>
      <c r="D48" s="61">
        <f>IF(OR(-325831.7223="",-319827.77807="",-325831.7223=0),"-",-319827.77807/-325831.7223*100)</f>
        <v>98.15734815885358</v>
      </c>
    </row>
    <row r="49" spans="1:4" ht="15.75">
      <c r="A49" s="33" t="s">
        <v>64</v>
      </c>
      <c r="B49" s="43">
        <f>IF(-133001.06233="","-",-133001.06233)</f>
        <v>-133001.06233</v>
      </c>
      <c r="C49" s="43">
        <f>IF(-87285.51837="","-",-87285.51837)</f>
        <v>-87285.51837</v>
      </c>
      <c r="D49" s="61">
        <f>IF(OR(-133001.06233="",-87285.51837="",-133001.06233=0),"-",-87285.51837/-133001.06233*100)</f>
        <v>65.62768510331793</v>
      </c>
    </row>
    <row r="50" spans="1:4" ht="15.75">
      <c r="A50" s="33" t="s">
        <v>19</v>
      </c>
      <c r="B50" s="43">
        <f>IF(-30007.1997="","-",-30007.1997)</f>
        <v>-30007.1997</v>
      </c>
      <c r="C50" s="43">
        <f>IF(-28601.46163="","-",-28601.46163)</f>
        <v>-28601.46163</v>
      </c>
      <c r="D50" s="61">
        <f>IF(OR(-30007.1997="",-28601.46163="",-30007.1997=0),"-",-28601.46163/-30007.1997*100)</f>
        <v>95.31533070711693</v>
      </c>
    </row>
    <row r="51" spans="1:4" ht="15.75">
      <c r="A51" s="33" t="s">
        <v>84</v>
      </c>
      <c r="B51" s="43">
        <f>IF(-31136.59462="","-",-31136.59462)</f>
        <v>-31136.59462</v>
      </c>
      <c r="C51" s="43">
        <f>IF(-26086.99395="","-",-26086.99395)</f>
        <v>-26086.99395</v>
      </c>
      <c r="D51" s="61">
        <f>IF(OR(-31136.59462="",-26086.99395="",-31136.59462=0),"-",-26086.99395/-31136.59462*100)</f>
        <v>83.78242472683097</v>
      </c>
    </row>
    <row r="52" spans="1:4" ht="15.75">
      <c r="A52" s="33" t="s">
        <v>80</v>
      </c>
      <c r="B52" s="43">
        <f>IF(-19142.78874="","-",-19142.78874)</f>
        <v>-19142.78874</v>
      </c>
      <c r="C52" s="43">
        <f>IF(-24317.26099="","-",-24317.26099)</f>
        <v>-24317.26099</v>
      </c>
      <c r="D52" s="61">
        <f>IF(OR(-19142.78874="",-24317.26099="",-19142.78874=0),"-",-24317.26099/-19142.78874*100)</f>
        <v>127.03092177571615</v>
      </c>
    </row>
    <row r="53" spans="1:4" ht="15.75">
      <c r="A53" s="33" t="s">
        <v>77</v>
      </c>
      <c r="B53" s="43">
        <f>IF(-16942.45801="","-",-16942.45801)</f>
        <v>-16942.45801</v>
      </c>
      <c r="C53" s="43">
        <f>IF(-20680.63997="","-",-20680.63997)</f>
        <v>-20680.63997</v>
      </c>
      <c r="D53" s="61">
        <f>IF(OR(-16942.45801="",-20680.63997="",-16942.45801=0),"-",-20680.63997/-16942.45801*100)</f>
        <v>122.06398834096919</v>
      </c>
    </row>
    <row r="54" spans="1:4" ht="15.75">
      <c r="A54" s="33" t="s">
        <v>44</v>
      </c>
      <c r="B54" s="43">
        <f>IF(-20483.73841="","-",-20483.73841)</f>
        <v>-20483.73841</v>
      </c>
      <c r="C54" s="43">
        <f>IF(-20512.38237="","-",-20512.38237)</f>
        <v>-20512.38237</v>
      </c>
      <c r="D54" s="61">
        <f>IF(OR(-20483.73841="",-20512.38237="",-20483.73841=0),"-",-20512.38237/-20483.73841*100)</f>
        <v>100.13983756005209</v>
      </c>
    </row>
    <row r="55" spans="1:4" ht="15.75">
      <c r="A55" s="33" t="s">
        <v>78</v>
      </c>
      <c r="B55" s="43">
        <f>IF(-10587.74853="","-",-10587.74853)</f>
        <v>-10587.74853</v>
      </c>
      <c r="C55" s="43">
        <f>IF(-12044.68088="","-",-12044.68088)</f>
        <v>-12044.68088</v>
      </c>
      <c r="D55" s="61">
        <f>IF(OR(-10587.74853="",-12044.68088="",-10587.74853=0),"-",-12044.68088/-10587.74853*100)</f>
        <v>113.76054924115202</v>
      </c>
    </row>
    <row r="56" spans="1:4" ht="15.75">
      <c r="A56" s="33" t="s">
        <v>88</v>
      </c>
      <c r="B56" s="43">
        <f>IF(-9132.83796="","-",-9132.83796)</f>
        <v>-9132.83796</v>
      </c>
      <c r="C56" s="43">
        <f>IF(-10214.84787="","-",-10214.84787)</f>
        <v>-10214.84787</v>
      </c>
      <c r="D56" s="61">
        <f>IF(OR(-9132.83796="",-10214.84787="",-9132.83796=0),"-",-10214.84787/-9132.83796*100)</f>
        <v>111.84746641448129</v>
      </c>
    </row>
    <row r="57" spans="1:4" ht="15.75">
      <c r="A57" s="33" t="s">
        <v>74</v>
      </c>
      <c r="B57" s="43">
        <f>IF(-717.79895="","-",-717.79895)</f>
        <v>-717.79895</v>
      </c>
      <c r="C57" s="43">
        <f>IF(-5663.03135="","-",-5663.03135)</f>
        <v>-5663.03135</v>
      </c>
      <c r="D57" s="61" t="s">
        <v>294</v>
      </c>
    </row>
    <row r="58" spans="1:4" ht="15.75">
      <c r="A58" s="33" t="s">
        <v>91</v>
      </c>
      <c r="B58" s="43">
        <f>IF(-4092.20667="","-",-4092.20667)</f>
        <v>-4092.20667</v>
      </c>
      <c r="C58" s="43">
        <f>IF(-5605.30478="","-",-5605.30478)</f>
        <v>-5605.30478</v>
      </c>
      <c r="D58" s="61">
        <f>IF(OR(-4092.20667="",-5605.30478="",-4092.20667=0),"-",-5605.30478/-4092.20667*100)</f>
        <v>136.97511470015763</v>
      </c>
    </row>
    <row r="59" spans="1:4" ht="15.75">
      <c r="A59" s="33" t="s">
        <v>79</v>
      </c>
      <c r="B59" s="43">
        <f>IF(-4750.39558="","-",-4750.39558)</f>
        <v>-4750.39558</v>
      </c>
      <c r="C59" s="43">
        <f>IF(-5216.31627="","-",-5216.31627)</f>
        <v>-5216.31627</v>
      </c>
      <c r="D59" s="61">
        <f>IF(OR(-4750.39558="",-5216.31627="",-4750.39558=0),"-",-5216.31627/-4750.39558*100)</f>
        <v>109.80803981802289</v>
      </c>
    </row>
    <row r="60" spans="1:4" ht="15.75">
      <c r="A60" s="33" t="s">
        <v>92</v>
      </c>
      <c r="B60" s="43">
        <f>IF(-6623.46608="","-",-6623.46608)</f>
        <v>-6623.46608</v>
      </c>
      <c r="C60" s="43">
        <f>IF(-4752.31778="","-",-4752.31778)</f>
        <v>-4752.31778</v>
      </c>
      <c r="D60" s="61">
        <f>IF(OR(-6623.46608="",-4752.31778="",-6623.46608=0),"-",-4752.31778/-6623.46608*100)</f>
        <v>71.74971114217588</v>
      </c>
    </row>
    <row r="61" spans="1:4" ht="15.75">
      <c r="A61" s="33" t="s">
        <v>86</v>
      </c>
      <c r="B61" s="43">
        <f>IF(-4215.53755="","-",-4215.53755)</f>
        <v>-4215.53755</v>
      </c>
      <c r="C61" s="43">
        <f>IF(-4714.21539="","-",-4714.21539)</f>
        <v>-4714.21539</v>
      </c>
      <c r="D61" s="61">
        <f>IF(OR(-4215.53755="",-4714.21539="",-4215.53755=0),"-",-4714.21539/-4215.53755*100)</f>
        <v>111.82951958285842</v>
      </c>
    </row>
    <row r="62" spans="1:4" ht="15.75">
      <c r="A62" s="33" t="s">
        <v>69</v>
      </c>
      <c r="B62" s="43">
        <f>IF(-2309.83534="","-",-2309.83534)</f>
        <v>-2309.83534</v>
      </c>
      <c r="C62" s="43">
        <f>IF(-4139.26758="","-",-4139.26758)</f>
        <v>-4139.26758</v>
      </c>
      <c r="D62" s="61" t="s">
        <v>113</v>
      </c>
    </row>
    <row r="63" spans="1:4" ht="15.75">
      <c r="A63" s="33" t="s">
        <v>71</v>
      </c>
      <c r="B63" s="43">
        <f>IF(-4660.13368="","-",-4660.13368)</f>
        <v>-4660.13368</v>
      </c>
      <c r="C63" s="43">
        <f>IF(-4107.76654="","-",-4107.76654)</f>
        <v>-4107.76654</v>
      </c>
      <c r="D63" s="61">
        <f>IF(OR(-4660.13368="",-4107.76654="",-4660.13368=0),"-",-4107.76654/-4660.13368*100)</f>
        <v>88.14696792131508</v>
      </c>
    </row>
    <row r="64" spans="1:7" ht="15.75">
      <c r="A64" s="33" t="s">
        <v>82</v>
      </c>
      <c r="B64" s="43">
        <f>IF(-2574.88026="","-",-2574.88026)</f>
        <v>-2574.88026</v>
      </c>
      <c r="C64" s="43">
        <f>IF(-3424.58139="","-",-3424.58139)</f>
        <v>-3424.58139</v>
      </c>
      <c r="D64" s="61">
        <f>IF(OR(-2574.88026="",-3424.58139="",-2574.88026=0),"-",-3424.58139/-2574.88026*100)</f>
        <v>132.9996366510651</v>
      </c>
      <c r="E64" s="1"/>
      <c r="F64" s="1"/>
      <c r="G64" s="1"/>
    </row>
    <row r="65" spans="1:4" ht="15.75">
      <c r="A65" s="33" t="s">
        <v>93</v>
      </c>
      <c r="B65" s="43">
        <f>IF(-3199.39367="","-",-3199.39367)</f>
        <v>-3199.39367</v>
      </c>
      <c r="C65" s="43">
        <f>IF(-3296.61575="","-",-3296.61575)</f>
        <v>-3296.61575</v>
      </c>
      <c r="D65" s="61">
        <f>IF(OR(-3199.39367="",-3296.61575="",-3199.39367=0),"-",-3296.61575/-3199.39367*100)</f>
        <v>103.03876577964223</v>
      </c>
    </row>
    <row r="66" spans="1:4" ht="15.75">
      <c r="A66" s="33" t="s">
        <v>94</v>
      </c>
      <c r="B66" s="43">
        <f>IF(-2156.10098="","-",-2156.10098)</f>
        <v>-2156.10098</v>
      </c>
      <c r="C66" s="43">
        <f>IF(-3155.80335="","-",-3155.80335)</f>
        <v>-3155.80335</v>
      </c>
      <c r="D66" s="61">
        <f>IF(OR(-2156.10098="",-3155.80335="",-2156.10098=0),"-",-3155.80335/-2156.10098*100)</f>
        <v>146.36621286633803</v>
      </c>
    </row>
    <row r="67" spans="1:4" ht="15.75">
      <c r="A67" s="33" t="s">
        <v>89</v>
      </c>
      <c r="B67" s="43">
        <f>IF(-3828.20541="","-",-3828.20541)</f>
        <v>-3828.20541</v>
      </c>
      <c r="C67" s="43">
        <f>IF(-2851.24035="","-",-2851.24035)</f>
        <v>-2851.24035</v>
      </c>
      <c r="D67" s="61">
        <f>IF(OR(-3828.20541="",-2851.24035="",-3828.20541=0),"-",-2851.24035/-3828.20541*100)</f>
        <v>74.47981611833102</v>
      </c>
    </row>
    <row r="68" spans="1:4" ht="15.75">
      <c r="A68" s="33" t="s">
        <v>178</v>
      </c>
      <c r="B68" s="43">
        <f>IF(-2153.72137="","-",-2153.72137)</f>
        <v>-2153.72137</v>
      </c>
      <c r="C68" s="43">
        <f>IF(-2654.43537="","-",-2654.43537)</f>
        <v>-2654.43537</v>
      </c>
      <c r="D68" s="61">
        <f>IF(OR(-2153.72137="",-2654.43537="",-2153.72137=0),"-",-2654.43537/-2153.72137*100)</f>
        <v>123.24878264081114</v>
      </c>
    </row>
    <row r="69" spans="1:4" ht="15.75">
      <c r="A69" s="33" t="s">
        <v>90</v>
      </c>
      <c r="B69" s="43">
        <f>IF(-2680.77763="","-",-2680.77763)</f>
        <v>-2680.77763</v>
      </c>
      <c r="C69" s="43">
        <f>IF(-2326.84919="","-",-2326.84919)</f>
        <v>-2326.84919</v>
      </c>
      <c r="D69" s="61">
        <f>IF(OR(-2680.77763="",-2326.84919="",-2680.77763=0),"-",-2326.84919/-2680.77763*100)</f>
        <v>86.7975457554083</v>
      </c>
    </row>
    <row r="70" spans="1:4" ht="15.75">
      <c r="A70" s="33" t="s">
        <v>70</v>
      </c>
      <c r="B70" s="43">
        <f>IF(-6897.17026="","-",-6897.17026)</f>
        <v>-6897.17026</v>
      </c>
      <c r="C70" s="43">
        <f>IF(-2195.87373="","-",-2195.87373)</f>
        <v>-2195.87373</v>
      </c>
      <c r="D70" s="61">
        <f>IF(OR(-6897.17026="",-2195.87373="",-6897.17026=0),"-",-2195.87373/-6897.17026*100)</f>
        <v>31.837313669562796</v>
      </c>
    </row>
    <row r="71" spans="1:7" ht="15.75">
      <c r="A71" s="33" t="s">
        <v>155</v>
      </c>
      <c r="B71" s="43">
        <f>IF(-621.21245="","-",-621.21245)</f>
        <v>-621.21245</v>
      </c>
      <c r="C71" s="43">
        <f>IF(-1824.25556="","-",-1824.25556)</f>
        <v>-1824.25556</v>
      </c>
      <c r="D71" s="61" t="s">
        <v>276</v>
      </c>
      <c r="E71" s="1"/>
      <c r="F71" s="1"/>
      <c r="G71" s="1"/>
    </row>
    <row r="72" spans="1:4" ht="15.75">
      <c r="A72" s="33" t="s">
        <v>95</v>
      </c>
      <c r="B72" s="43">
        <f>IF(-924.00956="","-",-924.00956)</f>
        <v>-924.00956</v>
      </c>
      <c r="C72" s="43">
        <f>IF(-1767.03232="","-",-1767.03232)</f>
        <v>-1767.03232</v>
      </c>
      <c r="D72" s="61" t="s">
        <v>253</v>
      </c>
    </row>
    <row r="73" spans="1:4" ht="15.75">
      <c r="A73" s="33" t="s">
        <v>97</v>
      </c>
      <c r="B73" s="43">
        <f>IF(-2499.8862="","-",-2499.8862)</f>
        <v>-2499.8862</v>
      </c>
      <c r="C73" s="43">
        <f>IF(-1692.8304="","-",-1692.8304)</f>
        <v>-1692.8304</v>
      </c>
      <c r="D73" s="61">
        <f>IF(OR(-2499.8862="",-1692.8304="",-2499.8862=0),"-",-1692.8304/-2499.8862*100)</f>
        <v>67.71629844590527</v>
      </c>
    </row>
    <row r="74" spans="1:4" ht="15.75">
      <c r="A74" s="33" t="s">
        <v>96</v>
      </c>
      <c r="B74" s="43">
        <f>IF(-1514.05792="","-",-1514.05792)</f>
        <v>-1514.05792</v>
      </c>
      <c r="C74" s="43">
        <f>IF(-1491.24944="","-",-1491.24944)</f>
        <v>-1491.24944</v>
      </c>
      <c r="D74" s="61">
        <f>IF(OR(-1514.05792="",-1491.24944="",-1514.05792=0),"-",-1491.24944/-1514.05792*100)</f>
        <v>98.4935530075362</v>
      </c>
    </row>
    <row r="75" spans="1:4" ht="15.75">
      <c r="A75" s="33" t="s">
        <v>83</v>
      </c>
      <c r="B75" s="43">
        <f>IF(5398.50083="","-",5398.50083)</f>
        <v>5398.50083</v>
      </c>
      <c r="C75" s="43">
        <f>IF(-1382.86989="","-",-1382.86989)</f>
        <v>-1382.86989</v>
      </c>
      <c r="D75" s="61" t="s">
        <v>22</v>
      </c>
    </row>
    <row r="76" spans="1:4" ht="15.75">
      <c r="A76" s="33" t="s">
        <v>75</v>
      </c>
      <c r="B76" s="43">
        <f>IF(-1008.20787="","-",-1008.20787)</f>
        <v>-1008.20787</v>
      </c>
      <c r="C76" s="43">
        <f>IF(-1086.47818="","-",-1086.47818)</f>
        <v>-1086.47818</v>
      </c>
      <c r="D76" s="61">
        <f>IF(OR(-1008.20787="",-1086.47818="",-1008.20787=0),"-",-1086.47818/-1008.20787*100)</f>
        <v>107.76331075455701</v>
      </c>
    </row>
    <row r="77" spans="1:4" ht="15.75">
      <c r="A77" s="33" t="s">
        <v>81</v>
      </c>
      <c r="B77" s="43">
        <f>IF(-1069.91401="","-",-1069.91401)</f>
        <v>-1069.91401</v>
      </c>
      <c r="C77" s="43">
        <f>IF(-941.92272="","-",-941.92272)</f>
        <v>-941.92272</v>
      </c>
      <c r="D77" s="61">
        <f>IF(OR(-1069.91401="",-941.92272="",-1069.91401=0),"-",-941.92272/-1069.91401*100)</f>
        <v>88.03723581486703</v>
      </c>
    </row>
    <row r="78" spans="1:4" ht="15.75">
      <c r="A78" s="33" t="s">
        <v>46</v>
      </c>
      <c r="B78" s="43">
        <f>IF(-1054.87108="","-",-1054.87108)</f>
        <v>-1054.87108</v>
      </c>
      <c r="C78" s="43">
        <f>IF(-885.95933="","-",-885.95933)</f>
        <v>-885.95933</v>
      </c>
      <c r="D78" s="61">
        <f>IF(OR(-1054.87108="",-885.95933="",-1054.87108=0),"-",-885.95933/-1054.87108*100)</f>
        <v>83.98745086461183</v>
      </c>
    </row>
    <row r="79" spans="1:7" ht="15.75">
      <c r="A79" s="33" t="s">
        <v>98</v>
      </c>
      <c r="B79" s="43">
        <f>IF(-872.26546="","-",-872.26546)</f>
        <v>-872.26546</v>
      </c>
      <c r="C79" s="43">
        <f>IF(-814.38208="","-",-814.38208)</f>
        <v>-814.38208</v>
      </c>
      <c r="D79" s="61">
        <f>IF(OR(-872.26546="",-814.38208="",-872.26546=0),"-",-814.38208/-872.26546*100)</f>
        <v>93.36401787593424</v>
      </c>
      <c r="E79" s="11"/>
      <c r="F79" s="11"/>
      <c r="G79" s="11"/>
    </row>
    <row r="80" spans="1:4" ht="15.75">
      <c r="A80" s="33" t="s">
        <v>47</v>
      </c>
      <c r="B80" s="43">
        <f>IF(-2145.36547="","-",-2145.36547)</f>
        <v>-2145.36547</v>
      </c>
      <c r="C80" s="43">
        <f>IF(-774.85898="","-",-774.85898)</f>
        <v>-774.85898</v>
      </c>
      <c r="D80" s="61">
        <f>IF(OR(-2145.36547="",-774.85898="",-2145.36547=0),"-",-774.85898/-2145.36547*100)</f>
        <v>36.11780793693859</v>
      </c>
    </row>
    <row r="81" spans="1:4" ht="15.75">
      <c r="A81" s="33" t="s">
        <v>106</v>
      </c>
      <c r="B81" s="43">
        <f>IF(-626.44453="","-",-626.44453)</f>
        <v>-626.44453</v>
      </c>
      <c r="C81" s="43">
        <f>IF(-710.15337="","-",-710.15337)</f>
        <v>-710.15337</v>
      </c>
      <c r="D81" s="61">
        <f>IF(OR(-626.44453="",-710.15337="",-626.44453=0),"-",-710.15337/-626.44453*100)</f>
        <v>113.3625302786186</v>
      </c>
    </row>
    <row r="82" spans="1:4" ht="15.75">
      <c r="A82" s="33" t="s">
        <v>87</v>
      </c>
      <c r="B82" s="43">
        <f>IF(-541.88011="","-",-541.88011)</f>
        <v>-541.88011</v>
      </c>
      <c r="C82" s="43">
        <f>IF(-581.25769="","-",-581.25769)</f>
        <v>-581.25769</v>
      </c>
      <c r="D82" s="61">
        <f>IF(OR(-541.88011="",-581.25769="",-541.88011=0),"-",-581.25769/-541.88011*100)</f>
        <v>107.26684358279917</v>
      </c>
    </row>
    <row r="83" spans="1:4" ht="15.75">
      <c r="A83" s="33" t="s">
        <v>175</v>
      </c>
      <c r="B83" s="43">
        <f>IF(-201.31552="","-",-201.31552)</f>
        <v>-201.31552</v>
      </c>
      <c r="C83" s="43">
        <f>IF(-579.66956="","-",-579.66956)</f>
        <v>-579.66956</v>
      </c>
      <c r="D83" s="61" t="s">
        <v>276</v>
      </c>
    </row>
    <row r="84" spans="1:4" ht="15.75">
      <c r="A84" s="33" t="s">
        <v>172</v>
      </c>
      <c r="B84" s="43">
        <f>IF(-366.98922="","-",-366.98922)</f>
        <v>-366.98922</v>
      </c>
      <c r="C84" s="43">
        <f>IF(-544.88064="","-",-544.88064)</f>
        <v>-544.88064</v>
      </c>
      <c r="D84" s="61">
        <f>IF(OR(-366.98922="",-544.88064="",-366.98922=0),"-",-544.88064/-366.98922*100)</f>
        <v>148.47320038446904</v>
      </c>
    </row>
    <row r="85" spans="1:4" ht="15.75">
      <c r="A85" s="33" t="s">
        <v>107</v>
      </c>
      <c r="B85" s="43">
        <f>IF(-465.38888="","-",-465.38888)</f>
        <v>-465.38888</v>
      </c>
      <c r="C85" s="43">
        <f>IF(-533.64211="","-",-533.64211)</f>
        <v>-533.64211</v>
      </c>
      <c r="D85" s="61">
        <f>IF(OR(-465.38888="",-533.64211="",-465.38888=0),"-",-533.64211/-465.38888*100)</f>
        <v>114.66584891327874</v>
      </c>
    </row>
    <row r="86" spans="1:4" ht="15.75">
      <c r="A86" s="33" t="s">
        <v>102</v>
      </c>
      <c r="B86" s="43">
        <f>IF(-262.94892="","-",-262.94892)</f>
        <v>-262.94892</v>
      </c>
      <c r="C86" s="43">
        <f>IF(-506.94022="","-",-506.94022)</f>
        <v>-506.94022</v>
      </c>
      <c r="D86" s="61" t="s">
        <v>253</v>
      </c>
    </row>
    <row r="87" spans="1:4" ht="15.75">
      <c r="A87" s="33" t="s">
        <v>100</v>
      </c>
      <c r="B87" s="43">
        <f>IF(-1105.24257="","-",-1105.24257)</f>
        <v>-1105.24257</v>
      </c>
      <c r="C87" s="43">
        <f>IF(-445.18603="","-",-445.18603)</f>
        <v>-445.18603</v>
      </c>
      <c r="D87" s="61">
        <f>IF(OR(-1105.24257="",-445.18603="",-1105.24257=0),"-",-445.18603/-1105.24257*100)</f>
        <v>40.27948633936531</v>
      </c>
    </row>
    <row r="88" spans="1:4" ht="15.75">
      <c r="A88" s="33" t="s">
        <v>101</v>
      </c>
      <c r="B88" s="43">
        <f>IF(-788.11414="","-",-788.11414)</f>
        <v>-788.11414</v>
      </c>
      <c r="C88" s="43">
        <f>IF(-347.54888="","-",-347.54888)</f>
        <v>-347.54888</v>
      </c>
      <c r="D88" s="61">
        <f>IF(OR(-788.11414="",-347.54888="",-788.11414=0),"-",-347.54888/-788.11414*100)</f>
        <v>44.09880020678223</v>
      </c>
    </row>
    <row r="89" spans="1:4" ht="15.75">
      <c r="A89" s="33" t="s">
        <v>156</v>
      </c>
      <c r="B89" s="43">
        <f>IF(-975.74485="","-",-975.74485)</f>
        <v>-975.74485</v>
      </c>
      <c r="C89" s="43">
        <f>IF(-344.33438="","-",-344.33438)</f>
        <v>-344.33438</v>
      </c>
      <c r="D89" s="61">
        <f>IF(OR(-975.74485="",-344.33438="",-975.74485=0),"-",-344.33438/-975.74485*100)</f>
        <v>35.28938738441714</v>
      </c>
    </row>
    <row r="90" spans="1:4" ht="15.75">
      <c r="A90" s="33" t="s">
        <v>110</v>
      </c>
      <c r="B90" s="43">
        <f>IF(-457.47582="","-",-457.47582)</f>
        <v>-457.47582</v>
      </c>
      <c r="C90" s="43">
        <f>IF(-319.63363="","-",-319.63363)</f>
        <v>-319.63363</v>
      </c>
      <c r="D90" s="61">
        <f>IF(OR(-457.47582="",-319.63363="",-457.47582=0),"-",-319.63363/-457.47582*100)</f>
        <v>69.86896706365813</v>
      </c>
    </row>
    <row r="91" spans="1:4" ht="15.75">
      <c r="A91" s="33" t="s">
        <v>99</v>
      </c>
      <c r="B91" s="43">
        <f>IF(-736.17932="","-",-736.17932)</f>
        <v>-736.17932</v>
      </c>
      <c r="C91" s="43">
        <f>IF(-300.17836="","-",-300.17836)</f>
        <v>-300.17836</v>
      </c>
      <c r="D91" s="61">
        <f>IF(OR(-736.17932="",-300.17836="",-736.17932=0),"-",-300.17836/-736.17932*100)</f>
        <v>40.77516874557139</v>
      </c>
    </row>
    <row r="92" spans="1:4" ht="15.75">
      <c r="A92" s="33" t="s">
        <v>103</v>
      </c>
      <c r="B92" s="43">
        <f>IF(-299.30794="","-",-299.30794)</f>
        <v>-299.30794</v>
      </c>
      <c r="C92" s="43">
        <f>IF(-170.75693="","-",-170.75693)</f>
        <v>-170.75693</v>
      </c>
      <c r="D92" s="61">
        <f>IF(OR(-299.30794="",-170.75693="",-299.30794=0),"-",-170.75693/-299.30794*100)</f>
        <v>57.050584758960966</v>
      </c>
    </row>
    <row r="93" spans="1:4" ht="15.75">
      <c r="A93" s="33" t="s">
        <v>112</v>
      </c>
      <c r="B93" s="43">
        <f>IF(-349.17346="","-",-349.17346)</f>
        <v>-349.17346</v>
      </c>
      <c r="C93" s="43">
        <f>IF(-151.32163="","-",-151.32163)</f>
        <v>-151.32163</v>
      </c>
      <c r="D93" s="61">
        <f>IF(OR(-349.17346="",-151.32163="",-349.17346=0),"-",-151.32163/-349.17346*100)</f>
        <v>43.33709383296199</v>
      </c>
    </row>
    <row r="94" spans="1:4" ht="15.75">
      <c r="A94" s="33" t="s">
        <v>123</v>
      </c>
      <c r="B94" s="43">
        <f>IF(368.5925="","-",368.5925)</f>
        <v>368.5925</v>
      </c>
      <c r="C94" s="43">
        <f>IF(-149.20785="","-",-149.20785)</f>
        <v>-149.20785</v>
      </c>
      <c r="D94" s="61" t="s">
        <v>22</v>
      </c>
    </row>
    <row r="95" spans="1:4" ht="15.75">
      <c r="A95" s="33" t="s">
        <v>166</v>
      </c>
      <c r="B95" s="43">
        <f>IF(-87.63267="","-",-87.63267)</f>
        <v>-87.63267</v>
      </c>
      <c r="C95" s="43">
        <f>IF(-137.46298="","-",-137.46298)</f>
        <v>-137.46298</v>
      </c>
      <c r="D95" s="61" t="s">
        <v>146</v>
      </c>
    </row>
    <row r="96" spans="1:4" ht="15.75">
      <c r="A96" s="33" t="s">
        <v>158</v>
      </c>
      <c r="B96" s="43">
        <f>IF(1645.97685="","-",1645.97685)</f>
        <v>1645.97685</v>
      </c>
      <c r="C96" s="43">
        <f>IF(-134.36369="","-",-134.36369)</f>
        <v>-134.36369</v>
      </c>
      <c r="D96" s="61" t="s">
        <v>22</v>
      </c>
    </row>
    <row r="97" spans="1:4" ht="15.75">
      <c r="A97" s="33" t="s">
        <v>157</v>
      </c>
      <c r="B97" s="43">
        <f>IF(-17.0814="","-",-17.0814)</f>
        <v>-17.0814</v>
      </c>
      <c r="C97" s="43">
        <f>IF(-129.70559="","-",-129.70559)</f>
        <v>-129.70559</v>
      </c>
      <c r="D97" s="61" t="s">
        <v>246</v>
      </c>
    </row>
    <row r="98" spans="1:4" ht="15.75">
      <c r="A98" s="33" t="s">
        <v>238</v>
      </c>
      <c r="B98" s="43">
        <f>IF(-226.56263="","-",-226.56263)</f>
        <v>-226.56263</v>
      </c>
      <c r="C98" s="43">
        <f>IF(-122.74016="","-",-122.74016)</f>
        <v>-122.74016</v>
      </c>
      <c r="D98" s="61">
        <f>IF(OR(-226.56263="",-122.74016="",-226.56263=0),"-",-122.74016/-226.56263*100)</f>
        <v>54.17493608720908</v>
      </c>
    </row>
    <row r="99" spans="1:7" ht="15.75">
      <c r="A99" s="33" t="s">
        <v>177</v>
      </c>
      <c r="B99" s="43">
        <f>IF(48.96218="","-",48.96218)</f>
        <v>48.96218</v>
      </c>
      <c r="C99" s="43">
        <f>IF(70.1905="","-",70.1905)</f>
        <v>70.1905</v>
      </c>
      <c r="D99" s="61">
        <f>IF(OR(48.96218="",70.1905="",48.96218=0),"-",70.1905/48.96218*100)</f>
        <v>143.35656623132388</v>
      </c>
      <c r="E99" s="1"/>
      <c r="F99" s="1"/>
      <c r="G99" s="1"/>
    </row>
    <row r="100" spans="1:4" ht="15.75">
      <c r="A100" s="33" t="s">
        <v>245</v>
      </c>
      <c r="B100" s="43">
        <f>IF(65.856="","-",65.856)</f>
        <v>65.856</v>
      </c>
      <c r="C100" s="43">
        <f>IF(71.9935="","-",71.9935)</f>
        <v>71.9935</v>
      </c>
      <c r="D100" s="61">
        <f>IF(OR(65.856="",71.9935="",65.856=0),"-",71.9935/65.856*100)</f>
        <v>109.3195760447036</v>
      </c>
    </row>
    <row r="101" spans="1:4" ht="15.75">
      <c r="A101" s="33" t="s">
        <v>117</v>
      </c>
      <c r="B101" s="43">
        <f>IF(241.17673="","-",241.17673)</f>
        <v>241.17673</v>
      </c>
      <c r="C101" s="43">
        <f>IF(86.67291="","-",86.67291)</f>
        <v>86.67291</v>
      </c>
      <c r="D101" s="61">
        <f>IF(OR(241.17673="",86.67291="",241.17673=0),"-",86.67291/241.17673*100)</f>
        <v>35.937509394044774</v>
      </c>
    </row>
    <row r="102" spans="1:4" ht="15.75">
      <c r="A102" s="33" t="s">
        <v>176</v>
      </c>
      <c r="B102" s="43">
        <f>IF(191.2774="","-",191.2774)</f>
        <v>191.2774</v>
      </c>
      <c r="C102" s="43">
        <f>IF(149.53541="","-",149.53541)</f>
        <v>149.53541</v>
      </c>
      <c r="D102" s="61">
        <f>IF(OR(191.2774="",149.53541="",191.2774=0),"-",149.53541/191.2774*100)</f>
        <v>78.17724937708272</v>
      </c>
    </row>
    <row r="103" spans="1:7" ht="15.75">
      <c r="A103" s="33" t="s">
        <v>159</v>
      </c>
      <c r="B103" s="43">
        <f>IF(7.147="","-",7.147)</f>
        <v>7.147</v>
      </c>
      <c r="C103" s="43">
        <f>IF(180.89096="","-",180.89096)</f>
        <v>180.89096</v>
      </c>
      <c r="D103" s="61" t="s">
        <v>254</v>
      </c>
      <c r="E103" s="11"/>
      <c r="F103" s="11"/>
      <c r="G103" s="11"/>
    </row>
    <row r="104" spans="1:7" ht="15.75">
      <c r="A104" s="33" t="s">
        <v>150</v>
      </c>
      <c r="B104" s="43">
        <f>IF(99.05="","-",99.05)</f>
        <v>99.05</v>
      </c>
      <c r="C104" s="43">
        <f>IF(242.40482="","-",242.40482)</f>
        <v>242.40482</v>
      </c>
      <c r="D104" s="61" t="s">
        <v>235</v>
      </c>
      <c r="E104" s="10"/>
      <c r="F104" s="10"/>
      <c r="G104" s="10"/>
    </row>
    <row r="105" spans="1:4" ht="15.75">
      <c r="A105" s="33" t="s">
        <v>152</v>
      </c>
      <c r="B105" s="43">
        <f>IF(21.39371="","-",21.39371)</f>
        <v>21.39371</v>
      </c>
      <c r="C105" s="43">
        <f>IF(259.8605="","-",259.8605)</f>
        <v>259.8605</v>
      </c>
      <c r="D105" s="61" t="s">
        <v>295</v>
      </c>
    </row>
    <row r="106" spans="1:7" ht="15.75">
      <c r="A106" s="33" t="s">
        <v>160</v>
      </c>
      <c r="B106" s="43">
        <f>IF(290.30018="","-",290.30018)</f>
        <v>290.30018</v>
      </c>
      <c r="C106" s="43">
        <f>IF(261.93325="","-",261.93325)</f>
        <v>261.93325</v>
      </c>
      <c r="D106" s="61">
        <f>IF(OR(290.30018="",261.93325="",290.30018=0),"-",261.93325/290.30018*100)</f>
        <v>90.22841460174085</v>
      </c>
      <c r="E106" s="11"/>
      <c r="F106" s="11"/>
      <c r="G106" s="11"/>
    </row>
    <row r="107" spans="1:4" ht="15.75">
      <c r="A107" s="33" t="s">
        <v>105</v>
      </c>
      <c r="B107" s="43">
        <f>IF(323.36257="","-",323.36257)</f>
        <v>323.36257</v>
      </c>
      <c r="C107" s="43">
        <f>IF(335.15055="","-",335.15055)</f>
        <v>335.15055</v>
      </c>
      <c r="D107" s="61">
        <f>IF(OR(323.36257="",335.15055="",323.36257=0),"-",335.15055/323.36257*100)</f>
        <v>103.64543738009009</v>
      </c>
    </row>
    <row r="108" spans="1:4" ht="15.75">
      <c r="A108" s="33" t="s">
        <v>153</v>
      </c>
      <c r="B108" s="43">
        <f>IF(95.45752="","-",95.45752)</f>
        <v>95.45752</v>
      </c>
      <c r="C108" s="43">
        <f>IF(390.55589="","-",390.55589)</f>
        <v>390.55589</v>
      </c>
      <c r="D108" s="61" t="s">
        <v>268</v>
      </c>
    </row>
    <row r="109" spans="1:7" ht="15.75">
      <c r="A109" s="33" t="s">
        <v>45</v>
      </c>
      <c r="B109" s="43">
        <f>IF(3459.93098="","-",3459.93098)</f>
        <v>3459.93098</v>
      </c>
      <c r="C109" s="43">
        <f>IF(397.38379="","-",397.38379)</f>
        <v>397.38379</v>
      </c>
      <c r="D109" s="61">
        <f>IF(OR(3459.93098="",397.38379="",3459.93098=0),"-",397.38379/3459.93098*100)</f>
        <v>11.485309744531378</v>
      </c>
      <c r="E109" s="11"/>
      <c r="F109" s="11"/>
      <c r="G109" s="11"/>
    </row>
    <row r="110" spans="1:4" ht="15.75">
      <c r="A110" s="33" t="s">
        <v>111</v>
      </c>
      <c r="B110" s="43">
        <f>IF(-310.37304="","-",-310.37304)</f>
        <v>-310.37304</v>
      </c>
      <c r="C110" s="43">
        <f>IF(450.38566="","-",450.38566)</f>
        <v>450.38566</v>
      </c>
      <c r="D110" s="61" t="s">
        <v>22</v>
      </c>
    </row>
    <row r="111" spans="1:4" ht="15.75">
      <c r="A111" s="33" t="s">
        <v>151</v>
      </c>
      <c r="B111" s="43" t="s">
        <v>296</v>
      </c>
      <c r="C111" s="43">
        <f>IF(743.8102="","-",743.8102)</f>
        <v>743.8102</v>
      </c>
      <c r="D111" s="61" t="s">
        <v>22</v>
      </c>
    </row>
    <row r="112" spans="1:4" ht="15.75">
      <c r="A112" s="33" t="s">
        <v>85</v>
      </c>
      <c r="B112" s="43">
        <f>IF(891.28025="","-",891.28025)</f>
        <v>891.28025</v>
      </c>
      <c r="C112" s="43">
        <f>IF(753.92354="","-",753.92354)</f>
        <v>753.92354</v>
      </c>
      <c r="D112" s="61">
        <f>IF(OR(891.28025="",753.92354="",891.28025=0),"-",753.92354/891.28025*100)</f>
        <v>84.58883050533208</v>
      </c>
    </row>
    <row r="113" spans="1:4" ht="15.75">
      <c r="A113" s="33" t="s">
        <v>72</v>
      </c>
      <c r="B113" s="43">
        <f>IF(2227.84754="","-",2227.84754)</f>
        <v>2227.84754</v>
      </c>
      <c r="C113" s="43">
        <f>IF(761.77388="","-",761.77388)</f>
        <v>761.77388</v>
      </c>
      <c r="D113" s="61">
        <f>IF(OR(2227.84754="",761.77388="",2227.84754=0),"-",761.77388/2227.84754*100)</f>
        <v>34.19326800073581</v>
      </c>
    </row>
    <row r="114" spans="1:4" ht="15.75">
      <c r="A114" s="33" t="s">
        <v>120</v>
      </c>
      <c r="B114" s="43">
        <f>IF(407.91458="","-",407.91458)</f>
        <v>407.91458</v>
      </c>
      <c r="C114" s="43">
        <f>IF(936.09838="","-",936.09838)</f>
        <v>936.09838</v>
      </c>
      <c r="D114" s="61" t="s">
        <v>179</v>
      </c>
    </row>
    <row r="115" spans="1:4" ht="15.75">
      <c r="A115" s="33" t="s">
        <v>174</v>
      </c>
      <c r="B115" s="43">
        <f>IF(69.65623="","-",69.65623)</f>
        <v>69.65623</v>
      </c>
      <c r="C115" s="43">
        <f>IF(1001.23142="","-",1001.23142)</f>
        <v>1001.23142</v>
      </c>
      <c r="D115" s="61" t="s">
        <v>239</v>
      </c>
    </row>
    <row r="116" spans="1:4" ht="15.75">
      <c r="A116" s="33" t="s">
        <v>76</v>
      </c>
      <c r="B116" s="43">
        <f>IF(-1625.51604="","-",-1625.51604)</f>
        <v>-1625.51604</v>
      </c>
      <c r="C116" s="43">
        <f>IF(2170.68312="","-",2170.68312)</f>
        <v>2170.68312</v>
      </c>
      <c r="D116" s="61" t="s">
        <v>22</v>
      </c>
    </row>
    <row r="117" spans="1:4" ht="15.75">
      <c r="A117" s="33" t="s">
        <v>149</v>
      </c>
      <c r="B117" s="43">
        <f>IF(6.0401="","-",6.0401)</f>
        <v>6.0401</v>
      </c>
      <c r="C117" s="43">
        <f>IF(2995.41757="","-",2995.41757)</f>
        <v>2995.41757</v>
      </c>
      <c r="D117" s="61" t="s">
        <v>297</v>
      </c>
    </row>
    <row r="118" spans="1:4" ht="15.75">
      <c r="A118" s="33" t="s">
        <v>73</v>
      </c>
      <c r="B118" s="43">
        <f>IF(-156.84281="","-",-156.84281)</f>
        <v>-156.84281</v>
      </c>
      <c r="C118" s="43">
        <f>IF(3630.77496="","-",3630.77496)</f>
        <v>3630.77496</v>
      </c>
      <c r="D118" s="61" t="s">
        <v>22</v>
      </c>
    </row>
    <row r="119" spans="1:4" ht="15.75">
      <c r="A119" s="33" t="s">
        <v>65</v>
      </c>
      <c r="B119" s="43">
        <f>IF(8267.47752="","-",8267.47752)</f>
        <v>8267.47752</v>
      </c>
      <c r="C119" s="43">
        <f>IF(6626.62425="","-",6626.62425)</f>
        <v>6626.62425</v>
      </c>
      <c r="D119" s="61">
        <f>IF(OR(8267.47752="",6626.62425="",8267.47752=0),"-",6626.62425/8267.47752*100)</f>
        <v>80.15291525098698</v>
      </c>
    </row>
    <row r="120" spans="1:4" ht="15.75">
      <c r="A120" s="33" t="s">
        <v>68</v>
      </c>
      <c r="B120" s="43">
        <f>IF(9665.4846="","-",9665.4846)</f>
        <v>9665.4846</v>
      </c>
      <c r="C120" s="43">
        <f>IF(8127.86807="","-",8127.86807)</f>
        <v>8127.86807</v>
      </c>
      <c r="D120" s="61">
        <f>IF(OR(9665.4846="",8127.86807="",9665.4846=0),"-",8127.86807/9665.4846*100)</f>
        <v>84.09167678980111</v>
      </c>
    </row>
    <row r="121" spans="1:4" ht="15.75">
      <c r="A121" s="33" t="s">
        <v>148</v>
      </c>
      <c r="B121" s="43">
        <f>IF(1773.07069="","-",1773.07069)</f>
        <v>1773.07069</v>
      </c>
      <c r="C121" s="43">
        <f>IF(8944.061="","-",8944.061)</f>
        <v>8944.061</v>
      </c>
      <c r="D121" s="61" t="s">
        <v>298</v>
      </c>
    </row>
    <row r="122" spans="1:4" ht="15.75">
      <c r="A122" s="33" t="s">
        <v>66</v>
      </c>
      <c r="B122" s="43">
        <f>IF(10495.23325="","-",10495.23325)</f>
        <v>10495.23325</v>
      </c>
      <c r="C122" s="43">
        <f>IF(9794.48269="","-",9794.48269)</f>
        <v>9794.48269</v>
      </c>
      <c r="D122" s="61">
        <f>IF(OR(10495.23325="",9794.48269="",10495.23325=0),"-",9794.48269/10495.23325*100)</f>
        <v>93.32315401375192</v>
      </c>
    </row>
    <row r="123" spans="1:4" ht="15.75">
      <c r="A123" s="34" t="s">
        <v>173</v>
      </c>
      <c r="B123" s="46">
        <f>IF(12215.8216="","-",12215.8216)</f>
        <v>12215.8216</v>
      </c>
      <c r="C123" s="46">
        <f>IF(23963.27447="","-",23963.27447)</f>
        <v>23963.27447</v>
      </c>
      <c r="D123" s="71" t="s">
        <v>20</v>
      </c>
    </row>
    <row r="124" ht="15.75">
      <c r="A124" s="52" t="s">
        <v>21</v>
      </c>
    </row>
  </sheetData>
  <sheetProtection/>
  <mergeCells count="4">
    <mergeCell ref="A1:D1"/>
    <mergeCell ref="A3:A4"/>
    <mergeCell ref="D3:D4"/>
    <mergeCell ref="B3:C3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37"/>
  <sheetViews>
    <sheetView zoomScalePageLayoutView="0" workbookViewId="0" topLeftCell="A1">
      <selection activeCell="J15" sqref="J15"/>
    </sheetView>
  </sheetViews>
  <sheetFormatPr defaultColWidth="9.00390625" defaultRowHeight="15.75"/>
  <cols>
    <col min="1" max="1" width="32.625" style="0" customWidth="1"/>
    <col min="2" max="2" width="13.75390625" style="0" customWidth="1"/>
    <col min="3" max="3" width="14.625" style="0" customWidth="1"/>
    <col min="4" max="5" width="10.50390625" style="0" customWidth="1"/>
  </cols>
  <sheetData>
    <row r="1" spans="1:5" ht="15.75">
      <c r="A1" s="72" t="s">
        <v>136</v>
      </c>
      <c r="B1" s="72"/>
      <c r="C1" s="72"/>
      <c r="D1" s="72"/>
      <c r="E1" s="72"/>
    </row>
    <row r="2" spans="1:5" ht="15.75">
      <c r="A2" s="9"/>
      <c r="B2" s="9"/>
      <c r="C2" s="9"/>
      <c r="D2" s="9"/>
      <c r="E2" s="9"/>
    </row>
    <row r="3" spans="1:6" ht="15.75" customHeight="1">
      <c r="A3" s="73"/>
      <c r="B3" s="84" t="s">
        <v>255</v>
      </c>
      <c r="C3" s="84"/>
      <c r="D3" s="76" t="s">
        <v>119</v>
      </c>
      <c r="E3" s="90"/>
      <c r="F3" s="1"/>
    </row>
    <row r="4" spans="1:6" ht="18" customHeight="1">
      <c r="A4" s="74"/>
      <c r="B4" s="80" t="s">
        <v>145</v>
      </c>
      <c r="C4" s="82" t="s">
        <v>256</v>
      </c>
      <c r="D4" s="84" t="s">
        <v>257</v>
      </c>
      <c r="E4" s="76"/>
      <c r="F4" s="1"/>
    </row>
    <row r="5" spans="1:6" ht="22.5" customHeight="1">
      <c r="A5" s="75"/>
      <c r="B5" s="81"/>
      <c r="C5" s="83"/>
      <c r="D5" s="22">
        <v>2018</v>
      </c>
      <c r="E5" s="21">
        <v>2019</v>
      </c>
      <c r="F5" s="1"/>
    </row>
    <row r="6" spans="1:5" ht="15.75" customHeight="1">
      <c r="A6" s="26" t="s">
        <v>163</v>
      </c>
      <c r="B6" s="54">
        <f>IF(1581580.75115="","-",1581580.75115)</f>
        <v>1581580.75115</v>
      </c>
      <c r="C6" s="58">
        <f>IF(1533630.30697="","-",1581580.75115/1533630.30697*100)</f>
        <v>103.12659732675313</v>
      </c>
      <c r="D6" s="41">
        <v>100</v>
      </c>
      <c r="E6" s="41">
        <v>100</v>
      </c>
    </row>
    <row r="7" spans="1:5" ht="15.75" customHeight="1">
      <c r="A7" s="27" t="s">
        <v>161</v>
      </c>
      <c r="B7" s="32"/>
      <c r="C7" s="64"/>
      <c r="D7" s="32"/>
      <c r="E7" s="32"/>
    </row>
    <row r="8" spans="1:5" ht="15.75">
      <c r="A8" s="28" t="s">
        <v>126</v>
      </c>
      <c r="B8" s="43">
        <f>IF(110440.58516="","-",110440.58516)</f>
        <v>110440.58516</v>
      </c>
      <c r="C8" s="65">
        <v>101.69</v>
      </c>
      <c r="D8" s="43">
        <f>IF(108610.25115="","-",108610.25115/1533630.30697*100)</f>
        <v>7.081905636344768</v>
      </c>
      <c r="E8" s="43">
        <f>IF(110440.58516="","-",110440.58516/1581580.75115*100)</f>
        <v>6.982924209193643</v>
      </c>
    </row>
    <row r="9" spans="1:5" ht="15.75">
      <c r="A9" s="28" t="s">
        <v>127</v>
      </c>
      <c r="B9" s="43">
        <f>IF(70111.38572="","-",70111.38572)</f>
        <v>70111.38572</v>
      </c>
      <c r="C9" s="65">
        <v>141.78</v>
      </c>
      <c r="D9" s="43">
        <f>IF(49450.33918="","-",49450.33918/1533630.30697*100)</f>
        <v>3.2243976240727306</v>
      </c>
      <c r="E9" s="43">
        <f>IF(70111.38572="","-",70111.38572/1581580.75115*100)</f>
        <v>4.432994374079261</v>
      </c>
    </row>
    <row r="10" spans="1:5" ht="15.75">
      <c r="A10" s="28" t="s">
        <v>128</v>
      </c>
      <c r="B10" s="43">
        <f>IF(1374017.74338="","-",1374017.74338)</f>
        <v>1374017.74338</v>
      </c>
      <c r="C10" s="65">
        <v>102.49</v>
      </c>
      <c r="D10" s="43">
        <f>IF(1340625.4072="","-",1340625.4072/1533630.30697*100)</f>
        <v>87.41516134019804</v>
      </c>
      <c r="E10" s="43">
        <f>IF(1374017.74338="","-",1374017.74338/1581580.75115*100)</f>
        <v>86.87623078245758</v>
      </c>
    </row>
    <row r="11" spans="1:5" ht="15.75">
      <c r="A11" s="28" t="s">
        <v>129</v>
      </c>
      <c r="B11" s="43">
        <f>IF(25613.37314="","-",25613.37314)</f>
        <v>25613.37314</v>
      </c>
      <c r="C11" s="65">
        <v>75.16</v>
      </c>
      <c r="D11" s="43">
        <f>IF(34078.64705="","-",34078.64705/1533630.30697*100)</f>
        <v>2.2220900887991273</v>
      </c>
      <c r="E11" s="43">
        <f>IF(25613.37314="","-",25613.37314/1581580.75115*100)</f>
        <v>1.6194793165872807</v>
      </c>
    </row>
    <row r="12" spans="1:5" ht="15.75">
      <c r="A12" s="28" t="s">
        <v>130</v>
      </c>
      <c r="B12" s="43">
        <f>IF(893.76832="","-",893.76832)</f>
        <v>893.76832</v>
      </c>
      <c r="C12" s="65">
        <v>106.53</v>
      </c>
      <c r="D12" s="43">
        <f>IF(839.01079="","-",839.01079/1533630.30697*100)</f>
        <v>0.05470749933584954</v>
      </c>
      <c r="E12" s="43">
        <f>IF(893.76832="","-",893.76832/1581580.75115*100)</f>
        <v>0.056511077246616886</v>
      </c>
    </row>
    <row r="13" spans="1:5" ht="15.75">
      <c r="A13" s="28" t="s">
        <v>131</v>
      </c>
      <c r="B13" s="43">
        <f>IF(4.24667="","-",4.24667)</f>
        <v>4.24667</v>
      </c>
      <c r="C13" s="65">
        <v>86.91</v>
      </c>
      <c r="D13" s="43">
        <f>IF(4.89313="","-",4.89313/1533630.30697*100)</f>
        <v>0.00031905537975885327</v>
      </c>
      <c r="E13" s="43">
        <f>IF(4.24667="","-",4.24667/1581580.75115*100)</f>
        <v>0.00026850794668006417</v>
      </c>
    </row>
    <row r="14" spans="1:5" ht="15.75">
      <c r="A14" s="28" t="s">
        <v>132</v>
      </c>
      <c r="B14" s="43">
        <f>IF(499.64876="","-",499.64876)</f>
        <v>499.64876</v>
      </c>
      <c r="C14" s="65" t="s">
        <v>287</v>
      </c>
      <c r="D14" s="43">
        <f>IF(21.75847="","-",21.75847/1533630.30697*100)</f>
        <v>0.0014187558697237993</v>
      </c>
      <c r="E14" s="43">
        <f>IF(499.64876="","-",499.64876/1581580.75115*100)</f>
        <v>0.03159173248894785</v>
      </c>
    </row>
    <row r="15" spans="1:5" ht="15.75">
      <c r="A15" s="25" t="s">
        <v>242</v>
      </c>
      <c r="B15" s="42">
        <f>IF(1034036.19812="","-",1034036.19812)</f>
        <v>1034036.19812</v>
      </c>
      <c r="C15" s="60">
        <f>IF(1053310.74893="","-",1034036.19812/1053310.74893*100)</f>
        <v>98.17009834661043</v>
      </c>
      <c r="D15" s="42">
        <f>IF(1053310.74893="","-",1053310.74893/1533630.30697*100)</f>
        <v>68.68087727159164</v>
      </c>
      <c r="E15" s="42">
        <f>IF(1034036.19812="","-",1034036.19812/1581580.75115*100)</f>
        <v>65.37991799458428</v>
      </c>
    </row>
    <row r="16" spans="1:5" ht="15.75">
      <c r="A16" s="28" t="s">
        <v>126</v>
      </c>
      <c r="B16" s="43">
        <f>IF(42333.38888="","-",42333.38888)</f>
        <v>42333.38888</v>
      </c>
      <c r="C16" s="65">
        <v>66.31</v>
      </c>
      <c r="D16" s="43">
        <f>IF(63839.88049="","-",63839.88049/1533630.30697*100)</f>
        <v>4.162664248343444</v>
      </c>
      <c r="E16" s="43">
        <f>IF(42333.38888="","-",42333.38888/1581580.75115*100)</f>
        <v>2.676650487129318</v>
      </c>
    </row>
    <row r="17" spans="1:5" ht="15.75">
      <c r="A17" s="28" t="s">
        <v>127</v>
      </c>
      <c r="B17" s="43">
        <f>IF(19496.01687="","-",19496.01687)</f>
        <v>19496.01687</v>
      </c>
      <c r="C17" s="65">
        <v>86.62</v>
      </c>
      <c r="D17" s="43">
        <f>IF(22508.37162="","-",22508.37162/1533630.30697*100)</f>
        <v>1.467653026789089</v>
      </c>
      <c r="E17" s="43">
        <f>IF(19496.01687="","-",19496.01687/1581580.75115*100)</f>
        <v>1.232691840478208</v>
      </c>
    </row>
    <row r="18" spans="1:11" ht="15.75">
      <c r="A18" s="28" t="s">
        <v>128</v>
      </c>
      <c r="B18" s="43">
        <f>IF(968416.80517="","-",968416.80517)</f>
        <v>968416.80517</v>
      </c>
      <c r="C18" s="65">
        <v>100.93</v>
      </c>
      <c r="D18" s="43">
        <f>IF(959497.23772="","-",959497.23772/1533630.30697*100)</f>
        <v>62.56378954949597</v>
      </c>
      <c r="E18" s="43">
        <f>IF(968416.80517="","-",968416.80517/1581580.75115*100)</f>
        <v>61.23094280616681</v>
      </c>
      <c r="K18" s="24"/>
    </row>
    <row r="19" spans="1:5" ht="15.75">
      <c r="A19" s="28" t="s">
        <v>129</v>
      </c>
      <c r="B19" s="43">
        <f>IF(3025.10472="","-",3025.10472)</f>
        <v>3025.10472</v>
      </c>
      <c r="C19" s="65">
        <v>43.31</v>
      </c>
      <c r="D19" s="43">
        <f>IF(6984.72519="","-",6984.72519/1533630.30697*100)</f>
        <v>0.45543734746607556</v>
      </c>
      <c r="E19" s="43">
        <f>IF(3025.10472="","-",3025.10472/1581580.75115*100)</f>
        <v>0.19127096215608239</v>
      </c>
    </row>
    <row r="20" spans="1:5" ht="15.75">
      <c r="A20" s="28" t="s">
        <v>130</v>
      </c>
      <c r="B20" s="43">
        <f>IF(393.07563="","-",393.07563)</f>
        <v>393.07563</v>
      </c>
      <c r="C20" s="66">
        <v>85.22</v>
      </c>
      <c r="D20" s="43">
        <f>IF(461.24293="","-",461.24293/1533630.30697*100)</f>
        <v>0.030075235726873425</v>
      </c>
      <c r="E20" s="43">
        <f>IF(393.07563="","-",393.07563/1581580.75115*100)</f>
        <v>0.02485333927554357</v>
      </c>
    </row>
    <row r="21" spans="1:5" ht="15.75">
      <c r="A21" s="28" t="s">
        <v>132</v>
      </c>
      <c r="B21" s="43">
        <f>IF(371.80685="","-",371.80685)</f>
        <v>371.80685</v>
      </c>
      <c r="C21" s="66" t="s">
        <v>288</v>
      </c>
      <c r="D21" s="43">
        <f>IF(19.29098="","-",19.29098/1533630.30697*100)</f>
        <v>0.0012578637701880888</v>
      </c>
      <c r="E21" s="43">
        <f>IF(371.80685="","-",371.80685/1581580.75115*100)</f>
        <v>0.023508559378308796</v>
      </c>
    </row>
    <row r="22" spans="1:5" ht="15.75">
      <c r="A22" s="25" t="s">
        <v>243</v>
      </c>
      <c r="B22" s="42">
        <f>IF(232937.39113="","-",232937.39113)</f>
        <v>232937.39113</v>
      </c>
      <c r="C22" s="60">
        <f>IF(245216.07228="","-",232937.39113/245216.07228*100)</f>
        <v>94.99270947624527</v>
      </c>
      <c r="D22" s="42">
        <f>IF(245216.07228="","-",245216.07228/1533630.30697*100)</f>
        <v>15.989255765587629</v>
      </c>
      <c r="E22" s="42">
        <f>IF(232937.39113="","-",232937.39113/1581580.75115*100)</f>
        <v>14.728137716687966</v>
      </c>
    </row>
    <row r="23" spans="1:5" ht="15.75">
      <c r="A23" s="28" t="s">
        <v>126</v>
      </c>
      <c r="B23" s="43">
        <f>IF(4024.29455="","-",4024.29455)</f>
        <v>4024.29455</v>
      </c>
      <c r="C23" s="65">
        <v>117.92</v>
      </c>
      <c r="D23" s="43">
        <f>IF(3412.82899="","-",3412.82899/1533630.30697*100)</f>
        <v>0.22253270390455054</v>
      </c>
      <c r="E23" s="43">
        <f>IF(4024.29455="","-",4024.29455/1581580.75115*100)</f>
        <v>0.2544476181234409</v>
      </c>
    </row>
    <row r="24" spans="1:5" ht="15.75">
      <c r="A24" s="28" t="s">
        <v>127</v>
      </c>
      <c r="B24" s="43">
        <f>IF(9687.97575="","-",9687.97575)</f>
        <v>9687.97575</v>
      </c>
      <c r="C24" s="65">
        <v>102.95</v>
      </c>
      <c r="D24" s="43">
        <f>IF(9409.96899="","-",9409.96899/1533630.30697*100)</f>
        <v>0.613574793562297</v>
      </c>
      <c r="E24" s="43">
        <f>IF(9687.97575="","-",9687.97575/1581580.75115*100)</f>
        <v>0.6125501807578067</v>
      </c>
    </row>
    <row r="25" spans="1:5" ht="15.75">
      <c r="A25" s="28" t="s">
        <v>128</v>
      </c>
      <c r="B25" s="43">
        <f>IF(213528.39409="","-",213528.39409)</f>
        <v>213528.39409</v>
      </c>
      <c r="C25" s="61">
        <v>95.13</v>
      </c>
      <c r="D25" s="43">
        <f>IF(224464.68471="","-",224464.68471/1533630.30697*100)</f>
        <v>14.63616646657667</v>
      </c>
      <c r="E25" s="43">
        <f>IF(213528.39409="","-",213528.39409/1581580.75115*100)</f>
        <v>13.50094795569174</v>
      </c>
    </row>
    <row r="26" spans="1:5" ht="15.75">
      <c r="A26" s="28" t="s">
        <v>129</v>
      </c>
      <c r="B26" s="43">
        <f>IF(5296.51044="","-",5296.51044)</f>
        <v>5296.51044</v>
      </c>
      <c r="C26" s="61">
        <v>66.97</v>
      </c>
      <c r="D26" s="43">
        <f>IF(7908.66924="","-",7908.66924/1533630.30697*100)</f>
        <v>0.5156828998525199</v>
      </c>
      <c r="E26" s="43">
        <f>IF(5296.51044="","-",5296.51044/1581580.75115*100)</f>
        <v>0.33488713340427284</v>
      </c>
    </row>
    <row r="27" spans="1:5" ht="15.75">
      <c r="A27" s="28" t="s">
        <v>130</v>
      </c>
      <c r="B27" s="43">
        <f>IF(380.81219="","-",380.81219)</f>
        <v>380.81219</v>
      </c>
      <c r="C27" s="61" t="s">
        <v>289</v>
      </c>
      <c r="D27" s="43">
        <f>IF(12.55973="","-",12.55973/1533630.30697*100)</f>
        <v>0.0008189542122973765</v>
      </c>
      <c r="E27" s="43">
        <f>IF(380.81219="","-",380.81219/1581580.75115*100)</f>
        <v>0.0240779479468945</v>
      </c>
    </row>
    <row r="28" spans="1:7" ht="15.75">
      <c r="A28" s="28" t="s">
        <v>131</v>
      </c>
      <c r="B28" s="43">
        <f>IF(4.24667="","-",4.24667)</f>
        <v>4.24667</v>
      </c>
      <c r="C28" s="61">
        <v>86.91</v>
      </c>
      <c r="D28" s="43">
        <f>IF(4.89313="","-",4.89313/1533630.30697*100)</f>
        <v>0.00031905537975885327</v>
      </c>
      <c r="E28" s="43">
        <f>IF(4.24667="","-",4.24667/1581580.75115*100)</f>
        <v>0.00026850794668006417</v>
      </c>
      <c r="F28" s="1"/>
      <c r="G28" s="1"/>
    </row>
    <row r="29" spans="1:7" ht="15.75">
      <c r="A29" s="28" t="s">
        <v>132</v>
      </c>
      <c r="B29" s="43">
        <f>IF(15.15744="","-",15.15744)</f>
        <v>15.15744</v>
      </c>
      <c r="C29" s="61" t="s">
        <v>240</v>
      </c>
      <c r="D29" s="43">
        <f>IF(2.46749="","-",2.46749/1533630.30697*100)</f>
        <v>0.00016089209953571085</v>
      </c>
      <c r="E29" s="43">
        <f>IF(15.15744="","-",15.15744/1581580.75115*100)</f>
        <v>0.0009583728171311337</v>
      </c>
      <c r="F29" s="11"/>
      <c r="G29" s="11"/>
    </row>
    <row r="30" spans="1:5" ht="15.75">
      <c r="A30" s="25" t="s">
        <v>250</v>
      </c>
      <c r="B30" s="42">
        <f>IF(314607.1619="","-",314607.1619)</f>
        <v>314607.1619</v>
      </c>
      <c r="C30" s="60">
        <f>IF(235103.48576="","-",314607.1619/235103.48576*100)</f>
        <v>133.81645996570185</v>
      </c>
      <c r="D30" s="42">
        <f>IF(235103.48576="","-",235103.48576/1533630.30697*100)</f>
        <v>15.329866962820718</v>
      </c>
      <c r="E30" s="42">
        <f>IF(314607.1619="","-",314607.1619/1581580.75115*100)</f>
        <v>19.891944288727757</v>
      </c>
    </row>
    <row r="31" spans="1:5" ht="15.75">
      <c r="A31" s="28" t="s">
        <v>126</v>
      </c>
      <c r="B31" s="43">
        <f>IF(64082.90173="","-",64082.90173)</f>
        <v>64082.90173</v>
      </c>
      <c r="C31" s="65" t="s">
        <v>146</v>
      </c>
      <c r="D31" s="43">
        <f>IF(41357.54167="","-",41357.54167/1533630.30697*100)</f>
        <v>2.6967086840967736</v>
      </c>
      <c r="E31" s="43">
        <f>IF(64082.90173="","-",64082.90173/1581580.75115*100)</f>
        <v>4.051826103940883</v>
      </c>
    </row>
    <row r="32" spans="1:5" ht="15.75">
      <c r="A32" s="28" t="s">
        <v>127</v>
      </c>
      <c r="B32" s="43">
        <f>IF(40927.3931="","-",40927.3931)</f>
        <v>40927.3931</v>
      </c>
      <c r="C32" s="65" t="s">
        <v>179</v>
      </c>
      <c r="D32" s="43">
        <f>IF(17531.99857="","-",17531.99857/1533630.30697*100)</f>
        <v>1.1431698037213442</v>
      </c>
      <c r="E32" s="43">
        <f>IF(40927.3931="","-",40927.3931/1581580.75115*100)</f>
        <v>2.587752352843246</v>
      </c>
    </row>
    <row r="33" spans="1:5" ht="15.75">
      <c r="A33" s="28" t="s">
        <v>128</v>
      </c>
      <c r="B33" s="43">
        <f>IF(192072.54412="","-",192072.54412)</f>
        <v>192072.54412</v>
      </c>
      <c r="C33" s="65">
        <v>122.6</v>
      </c>
      <c r="D33" s="43">
        <f>IF(156663.48477="","-",156663.48477/1533630.30697*100)</f>
        <v>10.21520532412539</v>
      </c>
      <c r="E33" s="43">
        <f>IF(192072.54412="","-",192072.54412/1581580.75115*100)</f>
        <v>12.144340020599017</v>
      </c>
    </row>
    <row r="34" spans="1:5" ht="15.75">
      <c r="A34" s="28" t="s">
        <v>129</v>
      </c>
      <c r="B34" s="43">
        <f>IF(17291.75798="","-",17291.75798)</f>
        <v>17291.75798</v>
      </c>
      <c r="C34" s="66">
        <v>90.13</v>
      </c>
      <c r="D34" s="43">
        <f>IF(19185.25262="","-",19185.25262/1533630.30697*100)</f>
        <v>1.2509698414805317</v>
      </c>
      <c r="E34" s="43">
        <f>IF(17291.75798="","-",17291.75798/1581580.75115*100)</f>
        <v>1.0933212210269254</v>
      </c>
    </row>
    <row r="35" spans="1:5" ht="15.75">
      <c r="A35" s="36" t="s">
        <v>130</v>
      </c>
      <c r="B35" s="43">
        <f>IF(119.8805="","-",119.8805)</f>
        <v>119.8805</v>
      </c>
      <c r="C35" s="66">
        <v>32.82</v>
      </c>
      <c r="D35" s="43">
        <f>IF(365.20813="","-",365.20813/1533630.30697*100)</f>
        <v>0.02381330939667874</v>
      </c>
      <c r="E35" s="43">
        <f>IF(119.8805="","-",119.8805/1581580.75115*100)</f>
        <v>0.00757979002417881</v>
      </c>
    </row>
    <row r="36" spans="1:5" ht="15.75">
      <c r="A36" s="29" t="s">
        <v>132</v>
      </c>
      <c r="B36" s="46">
        <f>IF(112.68447="","-",112.68447)</f>
        <v>112.68447</v>
      </c>
      <c r="C36" s="67" t="s">
        <v>22</v>
      </c>
      <c r="D36" s="46" t="s">
        <v>125</v>
      </c>
      <c r="E36" s="46">
        <f>IF(112.68447="","-",112.68447/1581580.75115*100)</f>
        <v>0.0071248002935079225</v>
      </c>
    </row>
    <row r="37" spans="1:5" ht="15.75">
      <c r="A37" s="52" t="s">
        <v>21</v>
      </c>
      <c r="B37" s="39"/>
      <c r="C37" s="39"/>
      <c r="D37" s="39"/>
      <c r="E37" s="39"/>
    </row>
  </sheetData>
  <sheetProtection/>
  <mergeCells count="7">
    <mergeCell ref="A1:E1"/>
    <mergeCell ref="A3:A5"/>
    <mergeCell ref="B3:C3"/>
    <mergeCell ref="D3:E3"/>
    <mergeCell ref="B4:B5"/>
    <mergeCell ref="C4:C5"/>
    <mergeCell ref="D4:E4"/>
  </mergeCells>
  <printOptions/>
  <pageMargins left="0.7874015748031497" right="0.5905511811023623" top="0.3937007874015748" bottom="0.3937007874015748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37"/>
  <sheetViews>
    <sheetView zoomScale="99" zoomScaleNormal="99" zoomScalePageLayoutView="0" workbookViewId="0" topLeftCell="A1">
      <selection activeCell="G27" sqref="G27"/>
    </sheetView>
  </sheetViews>
  <sheetFormatPr defaultColWidth="9.00390625" defaultRowHeight="15.75"/>
  <cols>
    <col min="1" max="1" width="32.125" style="0" customWidth="1"/>
    <col min="2" max="2" width="13.25390625" style="0" customWidth="1"/>
    <col min="3" max="3" width="13.50390625" style="0" customWidth="1"/>
    <col min="4" max="5" width="11.25390625" style="0" customWidth="1"/>
  </cols>
  <sheetData>
    <row r="1" spans="1:5" ht="15.75">
      <c r="A1" s="72" t="s">
        <v>137</v>
      </c>
      <c r="B1" s="72"/>
      <c r="C1" s="72"/>
      <c r="D1" s="72"/>
      <c r="E1" s="72"/>
    </row>
    <row r="2" spans="1:5" ht="15.75">
      <c r="A2" s="9"/>
      <c r="B2" s="9"/>
      <c r="C2" s="9"/>
      <c r="D2" s="9"/>
      <c r="E2" s="9"/>
    </row>
    <row r="3" spans="1:6" ht="15.75" customHeight="1">
      <c r="A3" s="73"/>
      <c r="B3" s="84" t="s">
        <v>255</v>
      </c>
      <c r="C3" s="84"/>
      <c r="D3" s="76" t="s">
        <v>119</v>
      </c>
      <c r="E3" s="90"/>
      <c r="F3" s="1"/>
    </row>
    <row r="4" spans="1:6" ht="18" customHeight="1">
      <c r="A4" s="74"/>
      <c r="B4" s="80" t="s">
        <v>108</v>
      </c>
      <c r="C4" s="82" t="s">
        <v>256</v>
      </c>
      <c r="D4" s="84" t="s">
        <v>257</v>
      </c>
      <c r="E4" s="76"/>
      <c r="F4" s="1"/>
    </row>
    <row r="5" spans="1:6" ht="22.5" customHeight="1">
      <c r="A5" s="75"/>
      <c r="B5" s="81"/>
      <c r="C5" s="83"/>
      <c r="D5" s="22">
        <v>2018</v>
      </c>
      <c r="E5" s="21">
        <v>2019</v>
      </c>
      <c r="F5" s="1"/>
    </row>
    <row r="6" spans="1:5" ht="15.75" customHeight="1">
      <c r="A6" s="26" t="s">
        <v>162</v>
      </c>
      <c r="B6" s="54">
        <f>IF(3306313.64307="","-",3306313.64307)</f>
        <v>3306313.64307</v>
      </c>
      <c r="C6" s="58">
        <f>IF(3222930.24801="","-",3306313.64307/3222930.24801*100)</f>
        <v>102.58719204709705</v>
      </c>
      <c r="D6" s="41">
        <v>100</v>
      </c>
      <c r="E6" s="41">
        <v>100</v>
      </c>
    </row>
    <row r="7" spans="1:5" ht="15.75" customHeight="1">
      <c r="A7" s="27" t="s">
        <v>161</v>
      </c>
      <c r="B7" s="32"/>
      <c r="C7" s="64"/>
      <c r="D7" s="32"/>
      <c r="E7" s="32"/>
    </row>
    <row r="8" spans="1:5" ht="15.75">
      <c r="A8" s="28" t="s">
        <v>126</v>
      </c>
      <c r="B8" s="43">
        <f>IF(67590.97088="","-",67590.97088)</f>
        <v>67590.97088</v>
      </c>
      <c r="C8" s="65">
        <v>71.84</v>
      </c>
      <c r="D8" s="43">
        <f>IF(94087.63487="","-",94087.63487/3222930.24801*100)</f>
        <v>2.919319613823304</v>
      </c>
      <c r="E8" s="43">
        <f>IF(67590.97088="","-",67590.97088/3306313.64307*100)</f>
        <v>2.0443000325050824</v>
      </c>
    </row>
    <row r="9" spans="1:5" ht="15.75">
      <c r="A9" s="28" t="s">
        <v>127</v>
      </c>
      <c r="B9" s="43">
        <f>IF(155374.56896="","-",155374.56896)</f>
        <v>155374.56896</v>
      </c>
      <c r="C9" s="65">
        <v>89.76</v>
      </c>
      <c r="D9" s="43">
        <f>IF(173108.07114="","-",173108.07114/3222930.24801*100)</f>
        <v>5.371139237248018</v>
      </c>
      <c r="E9" s="43">
        <f>IF(155374.56896="","-",155374.56896/3306313.64307*100)</f>
        <v>4.699329396219367</v>
      </c>
    </row>
    <row r="10" spans="1:5" ht="15.75">
      <c r="A10" s="28" t="s">
        <v>128</v>
      </c>
      <c r="B10" s="43">
        <f>IF(2790567.08118="","-",2790567.08118)</f>
        <v>2790567.08118</v>
      </c>
      <c r="C10" s="65">
        <v>103.78</v>
      </c>
      <c r="D10" s="43">
        <f>IF(2688826.98516="","-",2688826.98516/3222930.24801*100)</f>
        <v>83.42802289376935</v>
      </c>
      <c r="E10" s="43">
        <f>IF(2790567.08118="","-",2790567.08118/3306313.64307*100)</f>
        <v>84.40116039895369</v>
      </c>
    </row>
    <row r="11" spans="1:5" ht="15.75">
      <c r="A11" s="28" t="s">
        <v>129</v>
      </c>
      <c r="B11" s="43">
        <f>IF(87184.86236="","-",87184.86236)</f>
        <v>87184.86236</v>
      </c>
      <c r="C11" s="65">
        <v>106.11</v>
      </c>
      <c r="D11" s="43">
        <f>IF(82164.82165="","-",82164.82165/3222930.24801*100)</f>
        <v>2.5493825595739374</v>
      </c>
      <c r="E11" s="43">
        <f>IF(87184.86236="","-",87184.86236/3306313.64307*100)</f>
        <v>2.636920503375068</v>
      </c>
    </row>
    <row r="12" spans="1:5" ht="15.75">
      <c r="A12" s="28" t="s">
        <v>130</v>
      </c>
      <c r="B12" s="43">
        <f>IF(6197.53992="","-",6197.53992)</f>
        <v>6197.53992</v>
      </c>
      <c r="C12" s="65">
        <v>76.08</v>
      </c>
      <c r="D12" s="43">
        <f>IF(8145.58835="","-",8145.58835/3222930.24801*100)</f>
        <v>0.2527385864161813</v>
      </c>
      <c r="E12" s="43">
        <f>IF(6197.53992="","-",6197.53992/3306313.64307*100)</f>
        <v>0.1874456143321424</v>
      </c>
    </row>
    <row r="13" spans="1:5" ht="15.75">
      <c r="A13" s="28" t="s">
        <v>131</v>
      </c>
      <c r="B13" s="43">
        <f>IF(176944.0958="","-",176944.0958)</f>
        <v>176944.0958</v>
      </c>
      <c r="C13" s="65">
        <v>113.84</v>
      </c>
      <c r="D13" s="43">
        <f>IF(155436.93201="","-",155436.93201/3222930.24801*100)</f>
        <v>4.822845052447989</v>
      </c>
      <c r="E13" s="43">
        <f>IF(176944.0958="","-",176944.0958/3306313.64307*100)</f>
        <v>5.351703283530679</v>
      </c>
    </row>
    <row r="14" spans="1:5" ht="15.75">
      <c r="A14" s="28" t="s">
        <v>132</v>
      </c>
      <c r="B14" s="43">
        <f>IF(22454.52397="","-",22454.52397)</f>
        <v>22454.52397</v>
      </c>
      <c r="C14" s="65">
        <v>106.12</v>
      </c>
      <c r="D14" s="43">
        <f>IF(21160.21483="","-",21160.21483/3222930.24801*100)</f>
        <v>0.6565520567212209</v>
      </c>
      <c r="E14" s="43">
        <f>IF(22454.52397="","-",22454.52397/3306313.64307*100)</f>
        <v>0.679140771083967</v>
      </c>
    </row>
    <row r="15" spans="1:5" ht="15.75">
      <c r="A15" s="25" t="s">
        <v>242</v>
      </c>
      <c r="B15" s="42">
        <f>IF(1662170.88183="","-",1662170.88183)</f>
        <v>1662170.88183</v>
      </c>
      <c r="C15" s="60">
        <f>IF(1646263.61925="","-",1662170.88183/1646263.61925*100)</f>
        <v>100.96626460027387</v>
      </c>
      <c r="D15" s="42">
        <f>IF(1646263.61925="","-",1646263.61925/3222930.24801*100)</f>
        <v>51.07971605238699</v>
      </c>
      <c r="E15" s="42">
        <f>IF(1662170.88183="","-",1662170.88183/3306313.64307*100)</f>
        <v>50.27263173637182</v>
      </c>
    </row>
    <row r="16" spans="1:5" ht="15.75">
      <c r="A16" s="28" t="s">
        <v>126</v>
      </c>
      <c r="B16" s="43">
        <f>IF(48310.1834="","-",48310.1834)</f>
        <v>48310.1834</v>
      </c>
      <c r="C16" s="65">
        <v>96.18</v>
      </c>
      <c r="D16" s="43">
        <f>IF(50227.24341="","-",50227.24341/3222930.24801*100)</f>
        <v>1.5584340815632867</v>
      </c>
      <c r="E16" s="43">
        <f>IF(48310.1834="","-",48310.1834/3306313.64307*100)</f>
        <v>1.461149443618504</v>
      </c>
    </row>
    <row r="17" spans="1:5" ht="15.75">
      <c r="A17" s="28" t="s">
        <v>127</v>
      </c>
      <c r="B17" s="43">
        <f>IF(21970.94722="","-",21970.94722)</f>
        <v>21970.94722</v>
      </c>
      <c r="C17" s="65">
        <v>86.37</v>
      </c>
      <c r="D17" s="43">
        <f>IF(25438.86002="","-",25438.86002/3222930.24801*100)</f>
        <v>0.7893084262592167</v>
      </c>
      <c r="E17" s="43">
        <f>IF(21970.94722="","-",21970.94722/3306313.64307*100)</f>
        <v>0.6645149127352415</v>
      </c>
    </row>
    <row r="18" spans="1:5" ht="15.75">
      <c r="A18" s="28" t="s">
        <v>128</v>
      </c>
      <c r="B18" s="43">
        <f>IF(1544135.61963="","-",1544135.61963)</f>
        <v>1544135.61963</v>
      </c>
      <c r="C18" s="65">
        <v>101.23</v>
      </c>
      <c r="D18" s="43">
        <f>IF(1525382.07203="","-",1525382.07203/3222930.24801*100)</f>
        <v>47.329043902574305</v>
      </c>
      <c r="E18" s="43">
        <f>IF(1544135.61963="","-",1544135.61963/3306313.64307*100)</f>
        <v>46.70263581516208</v>
      </c>
    </row>
    <row r="19" spans="1:5" ht="15.75">
      <c r="A19" s="28" t="s">
        <v>129</v>
      </c>
      <c r="B19" s="43">
        <f>IF(26586.2478899999="","-",26586.2478899999)</f>
        <v>26586.2478899999</v>
      </c>
      <c r="C19" s="65">
        <v>116.54</v>
      </c>
      <c r="D19" s="43">
        <f>IF(22813.78113="","-",22813.78113/3222930.24801*100)</f>
        <v>0.7078583579053993</v>
      </c>
      <c r="E19" s="43">
        <f>IF(26586.2478899999="","-",26586.2478899999/3306313.64307*100)</f>
        <v>0.804105440683899</v>
      </c>
    </row>
    <row r="20" spans="1:5" ht="15.75">
      <c r="A20" s="28" t="s">
        <v>130</v>
      </c>
      <c r="B20" s="43">
        <f>IF(2652.4653="","-",2652.4653)</f>
        <v>2652.4653</v>
      </c>
      <c r="C20" s="65">
        <v>74.62</v>
      </c>
      <c r="D20" s="43">
        <f>IF(3554.8272="","-",3554.8272/3222930.24801*100)</f>
        <v>0.1102979874353449</v>
      </c>
      <c r="E20" s="43">
        <f>IF(2652.4653="","-",2652.4653/3306313.64307*100)</f>
        <v>0.08022424931039257</v>
      </c>
    </row>
    <row r="21" spans="1:5" ht="15.75">
      <c r="A21" s="28" t="s">
        <v>132</v>
      </c>
      <c r="B21" s="43">
        <f>IF(18515.41839="","-",18515.41839)</f>
        <v>18515.41839</v>
      </c>
      <c r="C21" s="65">
        <v>98.24</v>
      </c>
      <c r="D21" s="43">
        <f>IF(18846.83546="","-",18846.83546/3222930.24801*100)</f>
        <v>0.5847732966494384</v>
      </c>
      <c r="E21" s="43">
        <f>IF(18515.41839="","-",18515.41839/3306313.64307*100)</f>
        <v>0.5600018748616946</v>
      </c>
    </row>
    <row r="22" spans="1:5" ht="15.75">
      <c r="A22" s="25" t="s">
        <v>243</v>
      </c>
      <c r="B22" s="42">
        <f>IF(807957.05962="","-",807957.05962)</f>
        <v>807957.05962</v>
      </c>
      <c r="C22" s="60">
        <f>IF(759729.13634="","-",807957.05962/759729.13634*100)</f>
        <v>106.34804181821147</v>
      </c>
      <c r="D22" s="42">
        <f>IF(759729.13634="","-",759729.13634/3222930.24801*100)</f>
        <v>23.572621120456922</v>
      </c>
      <c r="E22" s="42">
        <f>IF(807957.05962="","-",807957.05962/3306313.64307*100)</f>
        <v>24.43679417146252</v>
      </c>
    </row>
    <row r="23" spans="1:5" ht="15.75">
      <c r="A23" s="28" t="s">
        <v>126</v>
      </c>
      <c r="B23" s="43">
        <f>IF(15155.20844="","-",15155.20844)</f>
        <v>15155.20844</v>
      </c>
      <c r="C23" s="65">
        <v>53.83</v>
      </c>
      <c r="D23" s="43">
        <f>IF(28155.26057="","-",28155.26057/3222930.24801*100)</f>
        <v>0.8735919924852384</v>
      </c>
      <c r="E23" s="43">
        <f>IF(15155.20844="","-",15155.20844/3306313.64307*100)</f>
        <v>0.45837177219303327</v>
      </c>
    </row>
    <row r="24" spans="1:5" ht="15.75">
      <c r="A24" s="28" t="s">
        <v>127</v>
      </c>
      <c r="B24" s="43">
        <f>IF(133109.99457="","-",133109.99457)</f>
        <v>133109.99457</v>
      </c>
      <c r="C24" s="65">
        <v>90.49</v>
      </c>
      <c r="D24" s="43">
        <f>IF(147098.27592="","-",147098.27592/3222930.24801*100)</f>
        <v>4.564116024875992</v>
      </c>
      <c r="E24" s="43">
        <f>IF(133109.99457="","-",133109.99457/3306313.64307*100)</f>
        <v>4.025933681427871</v>
      </c>
    </row>
    <row r="25" spans="1:5" ht="15.75">
      <c r="A25" s="28" t="s">
        <v>128</v>
      </c>
      <c r="B25" s="43">
        <f>IF(469516.49536="","-",469516.49536)</f>
        <v>469516.49536</v>
      </c>
      <c r="C25" s="65">
        <v>112.26</v>
      </c>
      <c r="D25" s="43">
        <f>IF(418226.36723="","-",418226.36723/3222930.24801*100)</f>
        <v>12.976587609621216</v>
      </c>
      <c r="E25" s="43">
        <f>IF(469516.49536="","-",469516.49536/3306313.64307*100)</f>
        <v>14.200603634325551</v>
      </c>
    </row>
    <row r="26" spans="1:5" ht="15.75">
      <c r="A26" s="28" t="s">
        <v>129</v>
      </c>
      <c r="B26" s="43">
        <f>IF(10405.46302="","-",10405.46302)</f>
        <v>10405.46302</v>
      </c>
      <c r="C26" s="65">
        <v>111.42</v>
      </c>
      <c r="D26" s="43">
        <f>IF(9338.67781="","-",9338.67781/3222930.24801*100)</f>
        <v>0.28975736647624223</v>
      </c>
      <c r="E26" s="43">
        <f>IF(10405.46302="","-",10405.46302/3306313.64307*100)</f>
        <v>0.31471494066540673</v>
      </c>
    </row>
    <row r="27" spans="1:5" ht="15.75">
      <c r="A27" s="28" t="s">
        <v>130</v>
      </c>
      <c r="B27" s="43">
        <f>IF(290.87555="","-",290.87555)</f>
        <v>290.87555</v>
      </c>
      <c r="C27" s="65">
        <v>93.51</v>
      </c>
      <c r="D27" s="43">
        <f>IF(311.0619="","-",311.0619/3222930.24801*100)</f>
        <v>0.009651524422288235</v>
      </c>
      <c r="E27" s="43">
        <f>IF(290.87555="","-",290.87555/3306313.64307*100)</f>
        <v>0.00879757885673285</v>
      </c>
    </row>
    <row r="28" spans="1:7" ht="15.75">
      <c r="A28" s="28" t="s">
        <v>131</v>
      </c>
      <c r="B28" s="43">
        <f>IF(176944.0958="","-",176944.0958)</f>
        <v>176944.0958</v>
      </c>
      <c r="C28" s="65">
        <v>113.84</v>
      </c>
      <c r="D28" s="43">
        <f>IF(155436.93201="","-",155436.93201/3222930.24801*100)</f>
        <v>4.822845052447989</v>
      </c>
      <c r="E28" s="43">
        <f>IF(176944.0958="","-",176944.0958/3306313.64307*100)</f>
        <v>5.351703283530679</v>
      </c>
      <c r="F28" s="1"/>
      <c r="G28" s="1"/>
    </row>
    <row r="29" spans="1:7" ht="15.75">
      <c r="A29" s="28" t="s">
        <v>132</v>
      </c>
      <c r="B29" s="43">
        <f>IF(2534.92688="","-",2534.92688)</f>
        <v>2534.92688</v>
      </c>
      <c r="C29" s="65" t="s">
        <v>232</v>
      </c>
      <c r="D29" s="43">
        <f>IF(1162.5609="","-",1162.5609/3222930.24801*100)</f>
        <v>0.0360715501279565</v>
      </c>
      <c r="E29" s="43">
        <f>IF(2534.92688="","-",2534.92688/3306313.64307*100)</f>
        <v>0.07666928046324888</v>
      </c>
      <c r="F29" s="1"/>
      <c r="G29" s="1"/>
    </row>
    <row r="30" spans="1:7" ht="15.75">
      <c r="A30" s="25" t="s">
        <v>244</v>
      </c>
      <c r="B30" s="42">
        <f>IF(836185.70162="","-",836185.70162)</f>
        <v>836185.70162</v>
      </c>
      <c r="C30" s="60">
        <f>IF(816937.49242="","-",836185.70162/816937.49242*100)</f>
        <v>102.35614222368241</v>
      </c>
      <c r="D30" s="42">
        <f>IF(816937.49242="","-",816937.49242/3222930.24801*100)</f>
        <v>25.347662827156075</v>
      </c>
      <c r="E30" s="42">
        <f>IF(836185.70162="","-",836185.70162/3306313.64307*100)</f>
        <v>25.290574092165656</v>
      </c>
      <c r="F30" s="11"/>
      <c r="G30" s="11"/>
    </row>
    <row r="31" spans="1:5" ht="15.75">
      <c r="A31" s="28" t="s">
        <v>126</v>
      </c>
      <c r="B31" s="43">
        <f>IF(4125.57904="","-",4125.57904)</f>
        <v>4125.57904</v>
      </c>
      <c r="C31" s="65">
        <v>26.27</v>
      </c>
      <c r="D31" s="43">
        <f>IF(15705.13089="","-",15705.13089/3222930.24801*100)</f>
        <v>0.48729353977477924</v>
      </c>
      <c r="E31" s="43">
        <f>IF(4125.57904="","-",4125.57904/3306313.64307*100)</f>
        <v>0.12477881669354543</v>
      </c>
    </row>
    <row r="32" spans="1:5" ht="15.75">
      <c r="A32" s="28" t="s">
        <v>127</v>
      </c>
      <c r="B32" s="43">
        <f>IF(293.62717="","-",293.62717)</f>
        <v>293.62717</v>
      </c>
      <c r="C32" s="65">
        <v>51.43</v>
      </c>
      <c r="D32" s="43">
        <f>IF(570.9352="","-",570.9352/3222930.24801*100)</f>
        <v>0.01771478611280912</v>
      </c>
      <c r="E32" s="43">
        <f>IF(293.62717="","-",293.62717/3306313.64307*100)</f>
        <v>0.008880802056254994</v>
      </c>
    </row>
    <row r="33" spans="1:5" ht="15.75">
      <c r="A33" s="28" t="s">
        <v>128</v>
      </c>
      <c r="B33" s="43">
        <f>IF(776914.96619="","-",776914.96619)</f>
        <v>776914.96619</v>
      </c>
      <c r="C33" s="65">
        <v>104.25</v>
      </c>
      <c r="D33" s="43">
        <f>IF(745218.5459="","-",745218.5459/3222930.24801*100)</f>
        <v>23.12239138157382</v>
      </c>
      <c r="E33" s="43">
        <f>IF(776914.96619="","-",776914.96619/3306313.64307*100)</f>
        <v>23.497920949466057</v>
      </c>
    </row>
    <row r="34" spans="1:5" ht="15.75">
      <c r="A34" s="28" t="s">
        <v>129</v>
      </c>
      <c r="B34" s="43">
        <f>IF(50193.15145="","-",50193.15145)</f>
        <v>50193.15145</v>
      </c>
      <c r="C34" s="65">
        <v>100.36</v>
      </c>
      <c r="D34" s="43">
        <f>IF(50012.36271="","-",50012.36271/3222930.24801*100)</f>
        <v>1.5517668351922962</v>
      </c>
      <c r="E34" s="43">
        <f>IF(50193.15145="","-",50193.15145/3306313.64307*100)</f>
        <v>1.518100122025759</v>
      </c>
    </row>
    <row r="35" spans="1:5" ht="15.75">
      <c r="A35" s="28" t="s">
        <v>130</v>
      </c>
      <c r="B35" s="49">
        <f>IF(3254.19907="","-",3254.19907)</f>
        <v>3254.19907</v>
      </c>
      <c r="C35" s="66">
        <v>76.04</v>
      </c>
      <c r="D35" s="49">
        <f>IF(4279.69925="","-",4279.69925/3222930.24801*100)</f>
        <v>0.13278907455854813</v>
      </c>
      <c r="E35" s="49">
        <f>IF(3254.19907="","-",3254.19907/3306313.64307*100)</f>
        <v>0.09842378616501699</v>
      </c>
    </row>
    <row r="36" spans="1:5" ht="15.75">
      <c r="A36" s="29" t="s">
        <v>132</v>
      </c>
      <c r="B36" s="46">
        <f>IF(1404.1787="","-",1404.1787)</f>
        <v>1404.1787</v>
      </c>
      <c r="C36" s="67">
        <v>122.02</v>
      </c>
      <c r="D36" s="46">
        <f>IF(1150.81847="","-",1150.81847/3222930.24801*100)</f>
        <v>0.03570720994382591</v>
      </c>
      <c r="E36" s="46">
        <f>IF(1404.1787="","-",1404.1787/3306313.64307*100)</f>
        <v>0.04246961575902347</v>
      </c>
    </row>
    <row r="37" ht="17.25" customHeight="1">
      <c r="A37" s="53" t="s">
        <v>21</v>
      </c>
    </row>
  </sheetData>
  <sheetProtection/>
  <mergeCells count="7">
    <mergeCell ref="A1:E1"/>
    <mergeCell ref="A3:A5"/>
    <mergeCell ref="B3:C3"/>
    <mergeCell ref="D3:E3"/>
    <mergeCell ref="B4:B5"/>
    <mergeCell ref="C4:C5"/>
    <mergeCell ref="D4:E4"/>
  </mergeCells>
  <printOptions/>
  <pageMargins left="0.7874015748031497" right="0.5905511811023623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78"/>
  <sheetViews>
    <sheetView zoomScalePageLayoutView="0" workbookViewId="0" topLeftCell="A1">
      <selection activeCell="K13" sqref="K13"/>
    </sheetView>
  </sheetViews>
  <sheetFormatPr defaultColWidth="9.00390625" defaultRowHeight="15.75"/>
  <cols>
    <col min="1" max="1" width="26.75390625" style="0" customWidth="1"/>
    <col min="2" max="2" width="12.375" style="0" customWidth="1"/>
    <col min="3" max="3" width="9.875" style="0" customWidth="1"/>
    <col min="4" max="4" width="8.625" style="0" customWidth="1"/>
    <col min="5" max="5" width="8.75390625" style="0" customWidth="1"/>
    <col min="6" max="6" width="9.375" style="0" customWidth="1"/>
    <col min="7" max="7" width="10.125" style="0" customWidth="1"/>
  </cols>
  <sheetData>
    <row r="1" spans="1:7" ht="15.75">
      <c r="A1" s="85" t="s">
        <v>138</v>
      </c>
      <c r="B1" s="85"/>
      <c r="C1" s="85"/>
      <c r="D1" s="85"/>
      <c r="E1" s="85"/>
      <c r="F1" s="85"/>
      <c r="G1" s="85"/>
    </row>
    <row r="2" spans="1:7" ht="15.75">
      <c r="A2" s="85" t="s">
        <v>23</v>
      </c>
      <c r="B2" s="85"/>
      <c r="C2" s="85"/>
      <c r="D2" s="85"/>
      <c r="E2" s="85"/>
      <c r="F2" s="85"/>
      <c r="G2" s="85"/>
    </row>
    <row r="3" ht="15.75">
      <c r="A3" s="6"/>
    </row>
    <row r="4" spans="1:7" ht="57" customHeight="1">
      <c r="A4" s="91"/>
      <c r="B4" s="76" t="s">
        <v>255</v>
      </c>
      <c r="C4" s="77"/>
      <c r="D4" s="94" t="s">
        <v>0</v>
      </c>
      <c r="E4" s="95"/>
      <c r="F4" s="88" t="s">
        <v>116</v>
      </c>
      <c r="G4" s="96"/>
    </row>
    <row r="5" spans="1:8" ht="26.25" customHeight="1">
      <c r="A5" s="92"/>
      <c r="B5" s="97" t="s">
        <v>122</v>
      </c>
      <c r="C5" s="82" t="s">
        <v>256</v>
      </c>
      <c r="D5" s="84" t="s">
        <v>257</v>
      </c>
      <c r="E5" s="84"/>
      <c r="F5" s="84" t="s">
        <v>257</v>
      </c>
      <c r="G5" s="76"/>
      <c r="H5" s="1"/>
    </row>
    <row r="6" spans="1:7" ht="21" customHeight="1">
      <c r="A6" s="93"/>
      <c r="B6" s="98"/>
      <c r="C6" s="83"/>
      <c r="D6" s="23">
        <v>2018</v>
      </c>
      <c r="E6" s="23">
        <v>2019</v>
      </c>
      <c r="F6" s="23" t="s">
        <v>121</v>
      </c>
      <c r="G6" s="19" t="s">
        <v>144</v>
      </c>
    </row>
    <row r="7" spans="1:7" ht="16.5" customHeight="1">
      <c r="A7" s="35" t="s">
        <v>109</v>
      </c>
      <c r="B7" s="41">
        <f>IF(1581580.75115="","-",1581580.75115)</f>
        <v>1581580.75115</v>
      </c>
      <c r="C7" s="41">
        <f>IF(1533630.30697="","-",1581580.75115/1533630.30697*100)</f>
        <v>103.12659732675313</v>
      </c>
      <c r="D7" s="41">
        <v>100</v>
      </c>
      <c r="E7" s="41">
        <v>100</v>
      </c>
      <c r="F7" s="41">
        <f>IF(1219791.03674="","-",(1533630.30697-1219791.03674)/1219791.03674*100)</f>
        <v>25.728937234099007</v>
      </c>
      <c r="G7" s="41">
        <f>IF(1533630.30697="","-",(1581580.75115-1533630.30697)/1533630.30697*100)</f>
        <v>3.126597326753132</v>
      </c>
    </row>
    <row r="8" spans="1:7" ht="16.5" customHeight="1">
      <c r="A8" s="36" t="s">
        <v>161</v>
      </c>
      <c r="B8" s="44"/>
      <c r="C8" s="44"/>
      <c r="D8" s="44"/>
      <c r="E8" s="44"/>
      <c r="F8" s="44"/>
      <c r="G8" s="44"/>
    </row>
    <row r="9" spans="1:7" ht="15.75">
      <c r="A9" s="30" t="s">
        <v>180</v>
      </c>
      <c r="B9" s="42">
        <f>IF(343036.48276="","-",343036.48276)</f>
        <v>343036.48276</v>
      </c>
      <c r="C9" s="42">
        <f>IF(329610.2878="","-",343036.48276/329610.2878*100)</f>
        <v>104.07335433903286</v>
      </c>
      <c r="D9" s="42">
        <f>IF(329610.2878="","-",329610.2878/1533630.30697*100)</f>
        <v>21.49216054886216</v>
      </c>
      <c r="E9" s="42">
        <f>IF(343036.48276="","-",343036.48276/1581580.75115*100)</f>
        <v>21.689470013502067</v>
      </c>
      <c r="F9" s="42">
        <f>IF(1219791.03674="","-",(329610.2878-241801.14632)/1219791.03674*100)</f>
        <v>7.198703616865208</v>
      </c>
      <c r="G9" s="42">
        <f>IF(1533630.30697="","-",(343036.48276-329610.2878)/1533630.30697*100)</f>
        <v>0.8754518542689851</v>
      </c>
    </row>
    <row r="10" spans="1:7" ht="13.5" customHeight="1">
      <c r="A10" s="33" t="s">
        <v>24</v>
      </c>
      <c r="B10" s="43">
        <f>IF(6740.30453="","-",6740.30453)</f>
        <v>6740.30453</v>
      </c>
      <c r="C10" s="43">
        <f>IF(OR(8662.40913="",6740.30453=""),"-",6740.30453/8662.40913*100)</f>
        <v>77.81096954491228</v>
      </c>
      <c r="D10" s="43">
        <f>IF(8662.40913="","-",8662.40913/1533630.30697*100)</f>
        <v>0.5648303304017485</v>
      </c>
      <c r="E10" s="43">
        <f>IF(6740.30453="","-",6740.30453/1581580.75115*100)</f>
        <v>0.426175174748364</v>
      </c>
      <c r="F10" s="43">
        <f>IF(OR(1219791.03674="",3447.3914="",8662.40913=""),"-",(8662.40913-3447.3914)/1219791.03674*100)</f>
        <v>0.42753369822568943</v>
      </c>
      <c r="G10" s="43">
        <f>IF(OR(1533630.30697="",6740.30453="",8662.40913=""),"-",(6740.30453-8662.40913)/1533630.30697*100)</f>
        <v>-0.1253303740324166</v>
      </c>
    </row>
    <row r="11" spans="1:10" ht="13.5" customHeight="1">
      <c r="A11" s="33" t="s">
        <v>181</v>
      </c>
      <c r="B11" s="43">
        <f>IF(3512.08292="","-",3512.08292)</f>
        <v>3512.08292</v>
      </c>
      <c r="C11" s="43">
        <f>IF(OR(3853.22416="",3512.08292=""),"-",3512.08292/3853.22416*100)</f>
        <v>91.14660279717543</v>
      </c>
      <c r="D11" s="43">
        <f>IF(3853.22416="","-",3853.22416/1533630.30697*100)</f>
        <v>0.25124856639099885</v>
      </c>
      <c r="E11" s="43">
        <f>IF(3512.08292="","-",3512.08292/1581580.75115*100)</f>
        <v>0.2220615619813463</v>
      </c>
      <c r="F11" s="43">
        <f>IF(OR(1219791.03674="",5216.95542="",3853.22416=""),"-",(3853.22416-5216.95542)/1219791.03674*100)</f>
        <v>-0.11180040014433072</v>
      </c>
      <c r="G11" s="43">
        <f>IF(OR(1533630.30697="",3512.08292="",3853.22416=""),"-",(3512.08292-3853.22416)/1533630.30697*100)</f>
        <v>-0.022244033548997514</v>
      </c>
      <c r="J11" s="16"/>
    </row>
    <row r="12" spans="1:10" s="9" customFormat="1" ht="13.5" customHeight="1">
      <c r="A12" s="33" t="s">
        <v>182</v>
      </c>
      <c r="B12" s="43">
        <f>IF(9966.95342="","-",9966.95342)</f>
        <v>9966.95342</v>
      </c>
      <c r="C12" s="43">
        <f>IF(OR(12775.81329="",9966.95342=""),"-",9966.95342/12775.81329*100)</f>
        <v>78.01423826224372</v>
      </c>
      <c r="D12" s="43">
        <f>IF(12775.81329="","-",12775.81329/1533630.30697*100)</f>
        <v>0.8330438719120796</v>
      </c>
      <c r="E12" s="43">
        <f>IF(9966.95342="","-",9966.95342/1581580.75115*100)</f>
        <v>0.6301893477619036</v>
      </c>
      <c r="F12" s="43">
        <f>IF(OR(1219791.03674="",14291.61057="",12775.81329=""),"-",(12775.81329-14291.61057)/1219791.03674*100)</f>
        <v>-0.12426696330308376</v>
      </c>
      <c r="G12" s="43">
        <f>IF(OR(1533630.30697="",9966.95342="",12775.81329=""),"-",(9966.95342-12775.81329)/1533630.30697*100)</f>
        <v>-0.18315104084956932</v>
      </c>
      <c r="J12" s="16"/>
    </row>
    <row r="13" spans="1:10" s="9" customFormat="1" ht="14.25" customHeight="1">
      <c r="A13" s="33" t="s">
        <v>183</v>
      </c>
      <c r="B13" s="43">
        <f>IF(19.48475="","-",19.48475)</f>
        <v>19.48475</v>
      </c>
      <c r="C13" s="43" t="s">
        <v>253</v>
      </c>
      <c r="D13" s="43">
        <f>IF(10.53017="","-",10.53017/1533630.30697*100)</f>
        <v>0.0006866172344236274</v>
      </c>
      <c r="E13" s="43">
        <f>IF(19.48475="","-",19.48475/1581580.75115*100)</f>
        <v>0.0012319794601592258</v>
      </c>
      <c r="F13" s="43">
        <f>IF(OR(1219791.03674="",12.15769="",10.53017=""),"-",(10.53017-12.15769)/1219791.03674*100)</f>
        <v>-0.0001334261320979774</v>
      </c>
      <c r="G13" s="43">
        <f>IF(OR(1533630.30697="",19.48475="",10.53017=""),"-",(19.48475-10.53017)/1533630.30697*100)</f>
        <v>0.0005838812626030846</v>
      </c>
      <c r="J13" s="16"/>
    </row>
    <row r="14" spans="1:10" s="9" customFormat="1" ht="15.75">
      <c r="A14" s="33" t="s">
        <v>184</v>
      </c>
      <c r="B14" s="43">
        <f>IF(143629.80751="","-",143629.80751)</f>
        <v>143629.80751</v>
      </c>
      <c r="C14" s="43">
        <f>IF(OR(118171.93463="",143629.80751=""),"-",143629.80751/118171.93463*100)</f>
        <v>121.54307870113949</v>
      </c>
      <c r="D14" s="43">
        <f>IF(118171.93463="","-",118171.93463/1533630.30697*100)</f>
        <v>7.705372937202369</v>
      </c>
      <c r="E14" s="43">
        <f>IF(143629.80751="","-",143629.80751/1581580.75115*100)</f>
        <v>9.081408420377134</v>
      </c>
      <c r="F14" s="43">
        <f>IF(OR(1219791.03674="",76766.88028="",118171.93463=""),"-",(118171.93463-76766.88028)/1219791.03674*100)</f>
        <v>3.394438317948187</v>
      </c>
      <c r="G14" s="43">
        <f>IF(OR(1533630.30697="",143629.80751="",118171.93463=""),"-",(143629.80751-118171.93463)/1533630.30697*100)</f>
        <v>1.6599745560778096</v>
      </c>
      <c r="J14" s="16"/>
    </row>
    <row r="15" spans="1:10" s="9" customFormat="1" ht="15.75">
      <c r="A15" s="33" t="s">
        <v>185</v>
      </c>
      <c r="B15" s="43">
        <f>IF(152236.36034="","-",152236.36034)</f>
        <v>152236.36034</v>
      </c>
      <c r="C15" s="43">
        <f>IF(OR(151947.6866="",152236.36034=""),"-",152236.36034/151947.6866*100)</f>
        <v>100.18998231987564</v>
      </c>
      <c r="D15" s="43">
        <f>IF(151947.6866="","-",151947.6866/1533630.30697*100)</f>
        <v>9.907712824233611</v>
      </c>
      <c r="E15" s="43">
        <f>IF(152236.36034="","-",152236.36034/1581580.75115*100)</f>
        <v>9.625582521114133</v>
      </c>
      <c r="F15" s="43">
        <f>IF(OR(1219791.03674="",104751.18142="",151947.6866=""),"-",(151947.6866-104751.18142)/1219791.03674*100)</f>
        <v>3.8692287251213826</v>
      </c>
      <c r="G15" s="43">
        <f>IF(OR(1533630.30697="",152236.36034="",151947.6866=""),"-",(152236.36034-151947.6866)/1533630.30697*100)</f>
        <v>0.01882290267009403</v>
      </c>
      <c r="J15" s="16"/>
    </row>
    <row r="16" spans="1:10" s="9" customFormat="1" ht="15" customHeight="1">
      <c r="A16" s="33" t="s">
        <v>25</v>
      </c>
      <c r="B16" s="43">
        <f>IF(7940.2462="","-",7940.2462)</f>
        <v>7940.2462</v>
      </c>
      <c r="C16" s="43">
        <f>IF(OR(14997.50085="",7940.2462=""),"-",7940.2462/14997.50085*100)</f>
        <v>52.94379563245699</v>
      </c>
      <c r="D16" s="43">
        <f>IF(14997.50085="","-",14997.50085/1533630.30697*100)</f>
        <v>0.9779084817142554</v>
      </c>
      <c r="E16" s="43">
        <f>IF(7940.2462="","-",7940.2462/1581580.75115*100)</f>
        <v>0.5020449442259893</v>
      </c>
      <c r="F16" s="43">
        <f>IF(OR(1219791.03674="",24145.2227="",14997.50085=""),"-",(14997.50085-24145.2227)/1219791.03674*100)</f>
        <v>-0.7499417174312166</v>
      </c>
      <c r="G16" s="43">
        <f>IF(OR(1533630.30697="",7940.2462="",14997.50085=""),"-",(7940.2462-14997.50085)/1533630.30697*100)</f>
        <v>-0.460166613682997</v>
      </c>
      <c r="J16" s="16"/>
    </row>
    <row r="17" spans="1:10" s="9" customFormat="1" ht="25.5">
      <c r="A17" s="33" t="s">
        <v>186</v>
      </c>
      <c r="B17" s="43">
        <f>IF(5398.24957="","-",5398.24957)</f>
        <v>5398.24957</v>
      </c>
      <c r="C17" s="43">
        <f>IF(OR(5935.28559="",5398.24957=""),"-",5398.24957/5935.28559*100)</f>
        <v>90.95180826842065</v>
      </c>
      <c r="D17" s="43">
        <f>IF(5935.28559="","-",5935.28559/1533630.30697*100)</f>
        <v>0.38700888754124646</v>
      </c>
      <c r="E17" s="43">
        <f>IF(5398.24957="","-",5398.24957/1581580.75115*100)</f>
        <v>0.3413198830394731</v>
      </c>
      <c r="F17" s="43">
        <f>IF(OR(1219791.03674="",4984.07829="",5935.28559=""),"-",(5935.28559-4984.07829)/1219791.03674*100)</f>
        <v>0.07798116819600398</v>
      </c>
      <c r="G17" s="43">
        <f>IF(OR(1533630.30697="",5398.24957="",5935.28559=""),"-",(5398.24957-5935.28559)/1533630.30697*100)</f>
        <v>-0.03501730616298427</v>
      </c>
      <c r="J17" s="16"/>
    </row>
    <row r="18" spans="1:10" s="9" customFormat="1" ht="25.5">
      <c r="A18" s="33" t="s">
        <v>26</v>
      </c>
      <c r="B18" s="43">
        <f>IF(11863.79031="","-",11863.79031)</f>
        <v>11863.79031</v>
      </c>
      <c r="C18" s="43">
        <f>IF(OR(11804.52274="",11863.79031=""),"-",11863.79031/11804.52274*100)</f>
        <v>100.5020751054947</v>
      </c>
      <c r="D18" s="43">
        <f>IF(11804.52274="","-",11804.52274/1533630.30697*100)</f>
        <v>0.7697111022357302</v>
      </c>
      <c r="E18" s="43">
        <f>IF(11863.79031="","-",11863.79031/1581580.75115*100)</f>
        <v>0.7501223254881925</v>
      </c>
      <c r="F18" s="43">
        <f>IF(OR(1219791.03674="",6589.83795="",11804.52274=""),"-",(11804.52274-6589.83795)/1219791.03674*100)</f>
        <v>0.4275064033866579</v>
      </c>
      <c r="G18" s="43">
        <f>IF(OR(1533630.30697="",11863.79031="",11804.52274=""),"-",(11863.79031-11804.52274)/1533630.30697*100)</f>
        <v>0.0038645278285544035</v>
      </c>
      <c r="J18" s="16"/>
    </row>
    <row r="19" spans="1:10" s="9" customFormat="1" ht="15.75" customHeight="1">
      <c r="A19" s="33" t="s">
        <v>187</v>
      </c>
      <c r="B19" s="43">
        <f>IF(1729.20321="","-",1729.20321)</f>
        <v>1729.20321</v>
      </c>
      <c r="C19" s="43">
        <f>IF(OR(1451.38064="",1729.20321=""),"-",1729.20321/1451.38064*100)</f>
        <v>119.14195093576554</v>
      </c>
      <c r="D19" s="43">
        <f>IF(1451.38064="","-",1451.38064/1533630.30697*100)</f>
        <v>0.09463692999569753</v>
      </c>
      <c r="E19" s="43">
        <f>IF(1729.20321="","-",1729.20321/1581580.75115*100)</f>
        <v>0.10933385530537475</v>
      </c>
      <c r="F19" s="43">
        <f>IF(OR(1219791.03674="",1595.8306="",1451.38064=""),"-",(1451.38064-1595.8306)/1219791.03674*100)</f>
        <v>-0.0118421890019831</v>
      </c>
      <c r="G19" s="43">
        <f>IF(OR(1533630.30697="",1729.20321="",1451.38064=""),"-",(1729.20321-1451.38064)/1533630.30697*100)</f>
        <v>0.018115354706891195</v>
      </c>
      <c r="J19" s="16"/>
    </row>
    <row r="20" spans="1:10" s="9" customFormat="1" ht="15.75">
      <c r="A20" s="30" t="s">
        <v>188</v>
      </c>
      <c r="B20" s="42">
        <f>IF(122630.14267="","-",122630.14267)</f>
        <v>122630.14267</v>
      </c>
      <c r="C20" s="42">
        <f>IF(125041.28="","-",122630.14267/125041.28*100)</f>
        <v>98.07172692889901</v>
      </c>
      <c r="D20" s="42">
        <f>IF(125041.28="","-",125041.28/1533630.30697*100)</f>
        <v>8.153286970902695</v>
      </c>
      <c r="E20" s="42">
        <f>IF(122630.14267="","-",122630.14267/1581580.75115*100)</f>
        <v>7.753644104534853</v>
      </c>
      <c r="F20" s="42">
        <f>IF(1219791.03674="","-",(125041.28-102594.72922)/1219791.03674*100)</f>
        <v>1.840196402819159</v>
      </c>
      <c r="G20" s="42">
        <f>IF(1533630.30697="","-",(122630.14267-125041.28)/1533630.30697*100)</f>
        <v>-0.1572176370695029</v>
      </c>
      <c r="J20" s="16"/>
    </row>
    <row r="21" spans="1:7" s="9" customFormat="1" ht="15.75">
      <c r="A21" s="33" t="s">
        <v>233</v>
      </c>
      <c r="B21" s="43">
        <f>IF(106932.18566="","-",106932.18566)</f>
        <v>106932.18566</v>
      </c>
      <c r="C21" s="43">
        <f>IF(OR(111901.93454="",106932.18566=""),"-",106932.18566/111901.93454*100)</f>
        <v>95.5588355997335</v>
      </c>
      <c r="D21" s="43">
        <f>IF(111901.93454="","-",111901.93454/1533630.30697*100)</f>
        <v>7.296539070167773</v>
      </c>
      <c r="E21" s="43">
        <f>IF(106932.18566="","-",106932.18566/1581580.75115*100)</f>
        <v>6.761095542054835</v>
      </c>
      <c r="F21" s="43">
        <f>IF(OR(1219791.03674="",93002.59763="",111901.93454=""),"-",(111901.93454-93002.59763)/1219791.03674*100)</f>
        <v>1.54939135808951</v>
      </c>
      <c r="G21" s="43">
        <f>IF(OR(1533630.30697="",106932.18566="",111901.93454=""),"-",(106932.18566-111901.93454)/1533630.30697*100)</f>
        <v>-0.32405129563582724</v>
      </c>
    </row>
    <row r="22" spans="1:7" s="9" customFormat="1" ht="15.75">
      <c r="A22" s="33" t="s">
        <v>189</v>
      </c>
      <c r="B22" s="43">
        <f>IF(15697.95701="","-",15697.95701)</f>
        <v>15697.95701</v>
      </c>
      <c r="C22" s="43">
        <f>IF(OR(13139.34546="",15697.95701=""),"-",15697.95701/13139.34546*100)</f>
        <v>119.47289960363064</v>
      </c>
      <c r="D22" s="43">
        <f>IF(13139.34546="","-",13139.34546/1533630.30697*100)</f>
        <v>0.8567479007349211</v>
      </c>
      <c r="E22" s="43">
        <f>IF(15697.95701="","-",15697.95701/1581580.75115*100)</f>
        <v>0.9925485624800183</v>
      </c>
      <c r="F22" s="43">
        <f>IF(OR(1219791.03674="",9592.13159="",13139.34546=""),"-",(13139.34546-9592.13159)/1219791.03674*100)</f>
        <v>0.29080504472964847</v>
      </c>
      <c r="G22" s="43">
        <f>IF(OR(1533630.30697="",15697.95701="",13139.34546=""),"-",(15697.95701-13139.34546)/1533630.30697*100)</f>
        <v>0.1668336585663242</v>
      </c>
    </row>
    <row r="23" spans="1:7" s="9" customFormat="1" ht="25.5">
      <c r="A23" s="30" t="s">
        <v>27</v>
      </c>
      <c r="B23" s="42">
        <f>IF(165079.52214="","-",165079.52214)</f>
        <v>165079.52214</v>
      </c>
      <c r="C23" s="42">
        <f>IF(155831.53693="","-",165079.52214/155831.53693*100)</f>
        <v>105.93460437610534</v>
      </c>
      <c r="D23" s="42">
        <f>IF(155831.53693="","-",155831.53693/1533630.30697*100)</f>
        <v>10.160958362767168</v>
      </c>
      <c r="E23" s="42">
        <f>IF(165079.52214="","-",165079.52214/1581580.75115*100)</f>
        <v>10.4376284309206</v>
      </c>
      <c r="F23" s="42">
        <f>IF(1219791.03674="","-",(155831.53693-146198.82045)/1219791.03674*100)</f>
        <v>0.7897021858550703</v>
      </c>
      <c r="G23" s="42">
        <f>IF(1533630.30697="","-",(165079.52214-155831.53693)/1533630.30697*100)</f>
        <v>0.6030126796510216</v>
      </c>
    </row>
    <row r="24" spans="1:7" s="9" customFormat="1" ht="15.75" customHeight="1">
      <c r="A24" s="33" t="s">
        <v>190</v>
      </c>
      <c r="B24" s="43">
        <f>IF(1010.06232="","-",1010.06232)</f>
        <v>1010.06232</v>
      </c>
      <c r="C24" s="43">
        <f>IF(OR(2018.90544="",1010.06232=""),"-",1010.06232/2018.90544*100)</f>
        <v>50.030194579098264</v>
      </c>
      <c r="D24" s="43">
        <f>IF(2018.90544="","-",2018.90544/1533630.30697*100)</f>
        <v>0.13164224981891237</v>
      </c>
      <c r="E24" s="43">
        <f>IF(1010.06232="","-",1010.06232/1581580.75115*100)</f>
        <v>0.06386410047451342</v>
      </c>
      <c r="F24" s="43">
        <f>IF(OR(1219791.03674="",2425.46153="",2018.90544=""),"-",(2018.90544-2425.46153)/1219791.03674*100)</f>
        <v>-0.033329978476195184</v>
      </c>
      <c r="G24" s="43">
        <f>IF(OR(1533630.30697="",1010.06232="",2018.90544=""),"-",(1010.06232-2018.90544)/1533630.30697*100)</f>
        <v>-0.06578137608620788</v>
      </c>
    </row>
    <row r="25" spans="1:8" s="9" customFormat="1" ht="15.75">
      <c r="A25" s="33" t="s">
        <v>222</v>
      </c>
      <c r="B25" s="43">
        <f>IF(143934.38489="","-",143934.38489)</f>
        <v>143934.38489</v>
      </c>
      <c r="C25" s="43">
        <f>IF(OR(131815.32488="",143934.38489=""),"-",143934.38489/131815.32488*100)</f>
        <v>109.19396892662728</v>
      </c>
      <c r="D25" s="43">
        <f>IF(131815.32488="","-",131815.32488/1533630.30697*100)</f>
        <v>8.594986958782009</v>
      </c>
      <c r="E25" s="43">
        <f>IF(143934.38489="","-",143934.38489/1581580.75115*100)</f>
        <v>9.100666202806423</v>
      </c>
      <c r="F25" s="43">
        <f>IF(OR(1219791.03674="",125268.09814="",131815.32488=""),"-",(131815.32488-125268.09814)/1219791.03674*100)</f>
        <v>0.5367498647553637</v>
      </c>
      <c r="G25" s="43">
        <f>IF(OR(1533630.30697="",143934.38489="",131815.32488=""),"-",(143934.38489-131815.32488)/1533630.30697*100)</f>
        <v>0.7902204302380842</v>
      </c>
      <c r="H25" s="7"/>
    </row>
    <row r="26" spans="1:8" s="9" customFormat="1" ht="15.75">
      <c r="A26" s="33" t="s">
        <v>191</v>
      </c>
      <c r="B26" s="43">
        <f>IF(490.14121="","-",490.14121)</f>
        <v>490.14121</v>
      </c>
      <c r="C26" s="43">
        <f>IF(OR(468.87259="",490.14121=""),"-",490.14121/468.87259*100)</f>
        <v>104.53611928989066</v>
      </c>
      <c r="D26" s="43">
        <f>IF(468.87259="","-",468.87259/1533630.30697*100)</f>
        <v>0.030572725895483478</v>
      </c>
      <c r="E26" s="43">
        <f>IF(490.14121="","-",490.14121/1581580.75115*100)</f>
        <v>0.030990590246094504</v>
      </c>
      <c r="F26" s="43">
        <f>IF(OR(1219791.03674="",303.1241="",468.87259=""),"-",(468.87259-303.1241)/1219791.03674*100)</f>
        <v>0.013588269220519736</v>
      </c>
      <c r="G26" s="43">
        <f>IF(OR(1533630.30697="",490.14121="",468.87259=""),"-",(490.14121-468.87259)/1533630.30697*100)</f>
        <v>0.0013868153167904266</v>
      </c>
      <c r="H26" s="8"/>
    </row>
    <row r="27" spans="1:8" s="9" customFormat="1" ht="15.75">
      <c r="A27" s="33" t="s">
        <v>234</v>
      </c>
      <c r="B27" s="43">
        <f>IF(1538.12397="","-",1538.12397)</f>
        <v>1538.12397</v>
      </c>
      <c r="C27" s="43">
        <f>IF(OR(1888.82295="",1538.12397=""),"-",1538.12397/1888.82295*100)</f>
        <v>81.43293525737815</v>
      </c>
      <c r="D27" s="43">
        <f>IF(1888.82295="","-",1888.82295/1533630.30697*100)</f>
        <v>0.12316025194701295</v>
      </c>
      <c r="E27" s="43">
        <f>IF(1538.12397="","-",1538.12397/1581580.75115*100)</f>
        <v>0.09725231979976985</v>
      </c>
      <c r="F27" s="43">
        <f>IF(OR(1219791.03674="",1583.21746="",1888.82295=""),"-",(1888.82295-1583.21746)/1219791.03674*100)</f>
        <v>0.025053921597649853</v>
      </c>
      <c r="G27" s="43">
        <f>IF(OR(1533630.30697="",1538.12397="",1888.82295=""),"-",(1538.12397-1888.82295)/1533630.30697*100)</f>
        <v>-0.022867243716178078</v>
      </c>
      <c r="H27" s="8"/>
    </row>
    <row r="28" spans="1:8" s="9" customFormat="1" ht="38.25">
      <c r="A28" s="33" t="s">
        <v>224</v>
      </c>
      <c r="B28" s="43">
        <f>IF(219.24078="","-",219.24078)</f>
        <v>219.24078</v>
      </c>
      <c r="C28" s="43">
        <f>IF(OR(244.99582="",219.24078=""),"-",219.24078/244.99582*100)</f>
        <v>89.48755942040154</v>
      </c>
      <c r="D28" s="43">
        <f>IF(244.99582="","-",244.99582/1533630.30697*100)</f>
        <v>0.01597489426796992</v>
      </c>
      <c r="E28" s="43">
        <f>IF(219.24078="","-",219.24078/1581580.75115*100)</f>
        <v>0.013862130013948737</v>
      </c>
      <c r="F28" s="43">
        <f>IF(OR(1219791.03674="",286.0684="",244.99582=""),"-",(244.99582-286.0684)/1219791.03674*100)</f>
        <v>-0.0033671816534879707</v>
      </c>
      <c r="G28" s="43">
        <f>IF(OR(1533630.30697="",219.24078="",244.99582=""),"-",(219.24078-244.99582)/1533630.30697*100)</f>
        <v>-0.0016793512675740184</v>
      </c>
      <c r="H28" s="8"/>
    </row>
    <row r="29" spans="1:8" s="9" customFormat="1" ht="38.25">
      <c r="A29" s="33" t="s">
        <v>192</v>
      </c>
      <c r="B29" s="43">
        <f>IF(5711.27812="","-",5711.27812)</f>
        <v>5711.27812</v>
      </c>
      <c r="C29" s="43">
        <f>IF(OR(6847.68973="",5711.27812=""),"-",5711.27812/6847.68973*100)</f>
        <v>83.40445238017523</v>
      </c>
      <c r="D29" s="43">
        <f>IF(6847.68973="","-",6847.68973/1533630.30697*100)</f>
        <v>0.4465019828363336</v>
      </c>
      <c r="E29" s="43">
        <f>IF(5711.27812="","-",5711.27812/1581580.75115*100)</f>
        <v>0.361112015042369</v>
      </c>
      <c r="F29" s="43">
        <f>IF(OR(1219791.03674="",6165.20068="",6847.68973=""),"-",(6847.68973-6165.20068)/1219791.03674*100)</f>
        <v>0.05595130882614229</v>
      </c>
      <c r="G29" s="43">
        <f>IF(OR(1533630.30697="",5711.27812="",6847.68973=""),"-",(5711.27812-6847.68973)/1533630.30697*100)</f>
        <v>-0.07409944918506556</v>
      </c>
      <c r="H29" s="8"/>
    </row>
    <row r="30" spans="1:8" s="9" customFormat="1" ht="25.5">
      <c r="A30" s="33" t="s">
        <v>193</v>
      </c>
      <c r="B30" s="43">
        <f>IF(9834.49189="","-",9834.49189)</f>
        <v>9834.49189</v>
      </c>
      <c r="C30" s="43">
        <f>IF(OR(10395.85107="",9834.49189=""),"-",9834.49189/10395.85107*100)</f>
        <v>94.60016138919157</v>
      </c>
      <c r="D30" s="43">
        <f>IF(10395.85107="","-",10395.85107/1533630.30697*100)</f>
        <v>0.6778590004874857</v>
      </c>
      <c r="E30" s="43">
        <f>IF(9834.49189="","-",9834.49189/1581580.75115*100)</f>
        <v>0.6218140858662536</v>
      </c>
      <c r="F30" s="43">
        <f>IF(OR(1219791.03674="",9058.72041="",10395.85107=""),"-",(10395.85107-9058.72041)/1219791.03674*100)</f>
        <v>0.10961964957322538</v>
      </c>
      <c r="G30" s="43">
        <f>IF(OR(1533630.30697="",9834.49189="",10395.85107=""),"-",(9834.49189-10395.85107)/1533630.30697*100)</f>
        <v>-0.036603292035163354</v>
      </c>
      <c r="H30" s="8"/>
    </row>
    <row r="31" spans="1:7" s="9" customFormat="1" ht="27" customHeight="1">
      <c r="A31" s="33" t="s">
        <v>28</v>
      </c>
      <c r="B31" s="43">
        <f>IF(2341.27355="","-",2341.27355)</f>
        <v>2341.27355</v>
      </c>
      <c r="C31" s="43">
        <f>IF(OR(2150.13757="",2341.27355=""),"-",2341.27355/2150.13757*100)</f>
        <v>108.88947677892071</v>
      </c>
      <c r="D31" s="43">
        <f>IF(2150.13757="","-",2150.13757/1533630.30697*100)</f>
        <v>0.14019920969402566</v>
      </c>
      <c r="E31" s="43">
        <f>IF(2341.27355="","-",2341.27355/1581580.75115*100)</f>
        <v>0.14803376611011557</v>
      </c>
      <c r="F31" s="43">
        <f>IF(OR(1219791.03674="",1108.53529="",2150.13757=""),"-",(2150.13757-1108.53529)/1219791.03674*100)</f>
        <v>0.08539186209990317</v>
      </c>
      <c r="G31" s="43">
        <f>IF(OR(1533630.30697="",2341.27355="",2150.13757=""),"-",(2341.27355-2150.13757)/1533630.30697*100)</f>
        <v>0.012462976189980764</v>
      </c>
    </row>
    <row r="32" spans="1:7" s="9" customFormat="1" ht="25.5">
      <c r="A32" s="30" t="s">
        <v>194</v>
      </c>
      <c r="B32" s="42">
        <f>IF(7910.41608="","-",7910.41608)</f>
        <v>7910.41608</v>
      </c>
      <c r="C32" s="42">
        <f>IF(13444.0353="","-",7910.41608/13444.0353*100)</f>
        <v>58.83959617392554</v>
      </c>
      <c r="D32" s="42">
        <f>IF(13444.0353="","-",13444.0353/1533630.30697*100)</f>
        <v>0.8766151294024332</v>
      </c>
      <c r="E32" s="42">
        <f>IF(7910.41608="","-",7910.41608/1581580.75115*100)</f>
        <v>0.5001588489394659</v>
      </c>
      <c r="F32" s="42">
        <f>IF(1219791.03674="","-",(13444.0353-8157.26209)/1219791.03674*100)</f>
        <v>0.43341630252746993</v>
      </c>
      <c r="G32" s="42">
        <f>IF(1533630.30697="","-",(7910.41608-13444.0353)/1533630.30697*100)</f>
        <v>-0.3608183272625066</v>
      </c>
    </row>
    <row r="33" spans="1:7" s="9" customFormat="1" ht="25.5">
      <c r="A33" s="33" t="s">
        <v>195</v>
      </c>
      <c r="B33" s="43">
        <f>IF(7906.0721="","-",7906.0721)</f>
        <v>7906.0721</v>
      </c>
      <c r="C33" s="43">
        <f>IF(OR(13411.50354="",7906.0721=""),"-",7906.0721/13411.50354*100)</f>
        <v>58.949931127557974</v>
      </c>
      <c r="D33" s="43">
        <f>IF(13411.50354="","-",13411.50354/1533630.30697*100)</f>
        <v>0.8744939037164156</v>
      </c>
      <c r="E33" s="43">
        <f>IF(7906.0721="","-",7906.0721/1581580.75115*100)</f>
        <v>0.49988418828765663</v>
      </c>
      <c r="F33" s="43">
        <f>IF(OR(1219791.03674="",8153.22965="",13411.50354=""),"-",(13411.50354-8153.22965)/1219791.03674*100)</f>
        <v>0.4310798925079172</v>
      </c>
      <c r="G33" s="43">
        <f>IF(OR(1533630.30697="",7906.0721="",13411.50354=""),"-",(7906.0721-13411.50354)/1533630.30697*100)</f>
        <v>-0.3589803497608954</v>
      </c>
    </row>
    <row r="34" spans="1:7" s="9" customFormat="1" ht="15.75">
      <c r="A34" s="33" t="s">
        <v>29</v>
      </c>
      <c r="B34" s="43">
        <f>IF(4.24667="","-",4.24667)</f>
        <v>4.24667</v>
      </c>
      <c r="C34" s="43">
        <f>IF(OR(4.89313="",4.24667=""),"-",4.24667/4.89313*100)</f>
        <v>86.78841559492594</v>
      </c>
      <c r="D34" s="43">
        <f>IF(4.89313="","-",4.89313/1533630.30697*100)</f>
        <v>0.00031905537975885327</v>
      </c>
      <c r="E34" s="43">
        <f>IF(4.24667="","-",4.24667/1581580.75115*100)</f>
        <v>0.00026850794668006417</v>
      </c>
      <c r="F34" s="43">
        <f>IF(OR(1219791.03674="",4.03244="",4.89313=""),"-",(4.89313-4.03244)/1219791.03674*100)</f>
        <v>7.056044634499615E-05</v>
      </c>
      <c r="G34" s="43">
        <f>IF(OR(1533630.30697="",4.24667="",4.89313=""),"-",(4.24667-4.89313)/1533630.30697*100)</f>
        <v>-4.215227079577046E-05</v>
      </c>
    </row>
    <row r="35" spans="1:7" s="9" customFormat="1" ht="25.5">
      <c r="A35" s="30" t="s">
        <v>196</v>
      </c>
      <c r="B35" s="42">
        <f>IF(34819.82109="","-",34819.82109)</f>
        <v>34819.82109</v>
      </c>
      <c r="C35" s="42">
        <f>IF(48975.38002="","-",34819.82109/48975.38002*100)</f>
        <v>71.0965817432773</v>
      </c>
      <c r="D35" s="42">
        <f>IF(48975.38002="","-",48975.38002/1533630.30697*100)</f>
        <v>3.1934280248256743</v>
      </c>
      <c r="E35" s="42">
        <f>IF(34819.82109="","-",34819.82109/1581580.75115*100)</f>
        <v>2.2015835147640606</v>
      </c>
      <c r="F35" s="42">
        <f>IF(1219791.03674="","-",(48975.38002-25074.60696)/1219791.03674*100)</f>
        <v>1.959415370347116</v>
      </c>
      <c r="G35" s="42">
        <f>IF(1533630.30697="","-",(34819.82109-48975.38002)/1533630.30697*100)</f>
        <v>-0.923009858742763</v>
      </c>
    </row>
    <row r="36" spans="1:7" s="9" customFormat="1" ht="25.5">
      <c r="A36" s="33" t="s">
        <v>279</v>
      </c>
      <c r="B36" s="43">
        <f>IF(34816.78596="","-",34816.78596)</f>
        <v>34816.78596</v>
      </c>
      <c r="C36" s="43">
        <f>IF(OR(48817.92134="",34816.78596=""),"-",34816.78596/48817.92134*100)</f>
        <v>71.31968138813835</v>
      </c>
      <c r="D36" s="43">
        <f>IF(48817.92134="","-",48817.92134/1533630.30697*100)</f>
        <v>3.183160968985399</v>
      </c>
      <c r="E36" s="43">
        <f>IF(34816.78596="","-",34816.78596/1581580.75115*100)</f>
        <v>2.201391609924691</v>
      </c>
      <c r="F36" s="43">
        <f>IF(OR(1219791.03674="",24980.98555="",48817.92134=""),"-",(48817.92134-24980.98555)/1219791.03674*100)</f>
        <v>1.9541819108382967</v>
      </c>
      <c r="G36" s="43">
        <f>IF(OR(1533630.30697="",34816.78596="",48817.92134=""),"-",(34816.78596-48817.92134)/1533630.30697*100)</f>
        <v>-0.9129407078334351</v>
      </c>
    </row>
    <row r="37" spans="1:7" s="9" customFormat="1" ht="63.75">
      <c r="A37" s="33" t="s">
        <v>227</v>
      </c>
      <c r="B37" s="43">
        <f>IF(3.03513="","-",3.03513)</f>
        <v>3.03513</v>
      </c>
      <c r="C37" s="43">
        <f>IF(OR(157.4556="",3.03513=""),"-",3.03513/157.4556*100)</f>
        <v>1.9276100691242484</v>
      </c>
      <c r="D37" s="43">
        <f>IF(157.4556="","-",157.4556/1533630.30697*100)</f>
        <v>0.010266855009606956</v>
      </c>
      <c r="E37" s="43">
        <f>IF(3.03513="","-",3.03513/1581580.75115*100)</f>
        <v>0.00019190483936992115</v>
      </c>
      <c r="F37" s="43">
        <f>IF(OR(1219791.03674="",93.62141="",157.4556=""),"-",(157.4556-93.62141)/1219791.03674*100)</f>
        <v>0.005233207006554381</v>
      </c>
      <c r="G37" s="43">
        <f>IF(OR(1533630.30697="",3.03513="",157.4556=""),"-",(3.03513-157.4556)/1533630.30697*100)</f>
        <v>-0.010068950078659386</v>
      </c>
    </row>
    <row r="38" spans="1:7" s="9" customFormat="1" ht="25.5">
      <c r="A38" s="30" t="s">
        <v>198</v>
      </c>
      <c r="B38" s="42">
        <f>IF(71968.15578="","-",71968.15578)</f>
        <v>71968.15578</v>
      </c>
      <c r="C38" s="42">
        <f>IF(76099.56078="","-",71968.15578/76099.56078*100)</f>
        <v>94.57105276606828</v>
      </c>
      <c r="D38" s="42">
        <f>IF(76099.56078="","-",76099.56078/1533630.30697*100)</f>
        <v>4.9620537905481426</v>
      </c>
      <c r="E38" s="42">
        <f>IF(71968.15578="","-",71968.15578/1581580.75115*100)</f>
        <v>4.550394011034244</v>
      </c>
      <c r="F38" s="42">
        <f>IF(1219791.03674="","-",(76099.56078-73722.48447)/1219791.03674*100)</f>
        <v>0.19487569906669852</v>
      </c>
      <c r="G38" s="42">
        <f>IF(1533630.30697="","-",(71968.15578-76099.56078)/1533630.30697*100)</f>
        <v>-0.2693872820081675</v>
      </c>
    </row>
    <row r="39" spans="1:7" s="9" customFormat="1" ht="14.25" customHeight="1">
      <c r="A39" s="33" t="s">
        <v>30</v>
      </c>
      <c r="B39" s="43">
        <f>IF(10698.16709="","-",10698.16709)</f>
        <v>10698.16709</v>
      </c>
      <c r="C39" s="43">
        <f>IF(OR(15695.49776="",10698.16709=""),"-",10698.16709/15695.49776*100)</f>
        <v>68.16073789812704</v>
      </c>
      <c r="D39" s="43">
        <f>IF(15695.49776="","-",15695.49776/1533630.30697*100)</f>
        <v>1.0234212044889528</v>
      </c>
      <c r="E39" s="43">
        <f>IF(10698.16709="","-",10698.16709/1581580.75115*100)</f>
        <v>0.6764224388935653</v>
      </c>
      <c r="F39" s="43">
        <f>IF(OR(1219791.03674="",14179.19776="",15695.49776=""),"-",(15695.49776-14179.19776)/1219791.03674*100)</f>
        <v>0.12430817691958516</v>
      </c>
      <c r="G39" s="43">
        <f>IF(OR(1533630.30697="",10698.16709="",15695.49776=""),"-",(10698.16709-15695.49776)/1533630.30697*100)</f>
        <v>-0.3258497597033829</v>
      </c>
    </row>
    <row r="40" spans="1:7" s="9" customFormat="1" ht="15.75">
      <c r="A40" s="33" t="s">
        <v>31</v>
      </c>
      <c r="B40" s="43">
        <f>IF(671.723="","-",671.723)</f>
        <v>671.723</v>
      </c>
      <c r="C40" s="43">
        <f>IF(OR(492.15784="",671.723=""),"-",671.723/492.15784*100)</f>
        <v>136.48527878779703</v>
      </c>
      <c r="D40" s="43">
        <f>IF(492.15784="","-",492.15784/1533630.30697*100)</f>
        <v>0.032091035092567936</v>
      </c>
      <c r="E40" s="43">
        <f>IF(671.723="","-",671.723/1581580.75115*100)</f>
        <v>0.04247162211044718</v>
      </c>
      <c r="F40" s="43">
        <f>IF(OR(1219791.03674="",664.4592="",492.15784=""),"-",(492.15784-664.4592)/1219791.03674*100)</f>
        <v>-0.014125481726812054</v>
      </c>
      <c r="G40" s="43">
        <f>IF(OR(1533630.30697="",671.723="",492.15784=""),"-",(671.723-492.15784)/1533630.30697*100)</f>
        <v>0.01170850361941318</v>
      </c>
    </row>
    <row r="41" spans="1:7" s="9" customFormat="1" ht="15.75">
      <c r="A41" s="33" t="s">
        <v>199</v>
      </c>
      <c r="B41" s="43">
        <f>IF(556.73996="","-",556.73996)</f>
        <v>556.73996</v>
      </c>
      <c r="C41" s="43">
        <f>IF(OR(2148.57197="",556.73996=""),"-",556.73996/2148.57197*100)</f>
        <v>25.912092672418137</v>
      </c>
      <c r="D41" s="43">
        <f>IF(2148.57197="","-",2148.57197/1533630.30697*100)</f>
        <v>0.14009712511778297</v>
      </c>
      <c r="E41" s="43">
        <f>IF(556.73996="","-",556.73996/1581580.75115*100)</f>
        <v>0.03520148810581963</v>
      </c>
      <c r="F41" s="43">
        <f>IF(OR(1219791.03674="",560.52989="",2148.57197=""),"-",(2148.57197-560.52989)/1219791.03674*100)</f>
        <v>0.13018968267254888</v>
      </c>
      <c r="G41" s="43">
        <f>IF(OR(1533630.30697="",556.73996="",2148.57197=""),"-",(556.73996-2148.57197)/1533630.30697*100)</f>
        <v>-0.10379502822586946</v>
      </c>
    </row>
    <row r="42" spans="1:7" s="9" customFormat="1" ht="15.75">
      <c r="A42" s="33" t="s">
        <v>200</v>
      </c>
      <c r="B42" s="43">
        <f>IF(48403.15174="","-",48403.15174)</f>
        <v>48403.15174</v>
      </c>
      <c r="C42" s="43">
        <f>IF(OR(40526.92973="",48403.15174=""),"-",48403.15174/40526.92973*100)</f>
        <v>119.43453911380224</v>
      </c>
      <c r="D42" s="43">
        <f>IF(40526.92973="","-",40526.92973/1533630.30697*100)</f>
        <v>2.6425488297808375</v>
      </c>
      <c r="E42" s="43">
        <f>IF(48403.15174="","-",48403.15174/1581580.75115*100)</f>
        <v>3.0604287327602506</v>
      </c>
      <c r="F42" s="43">
        <f>IF(OR(1219791.03674="",34853.17486="",40526.92973=""),"-",(40526.92973-34853.17486)/1219791.03674*100)</f>
        <v>0.4651415446668324</v>
      </c>
      <c r="G42" s="43">
        <f>IF(OR(1533630.30697="",48403.15174="",40526.92973=""),"-",(48403.15174-40526.92973)/1533630.30697*100)</f>
        <v>0.5135671859250801</v>
      </c>
    </row>
    <row r="43" spans="1:7" s="9" customFormat="1" ht="40.5" customHeight="1">
      <c r="A43" s="33" t="s">
        <v>201</v>
      </c>
      <c r="B43" s="43">
        <f>IF(7613.20998="","-",7613.20998)</f>
        <v>7613.20998</v>
      </c>
      <c r="C43" s="43">
        <f>IF(OR(12989.17495="",7613.20998=""),"-",7613.20998/12989.17495*100)</f>
        <v>58.61195964567403</v>
      </c>
      <c r="D43" s="43">
        <f>IF(12989.17495="","-",12989.17495/1533630.30697*100)</f>
        <v>0.8469560682888936</v>
      </c>
      <c r="E43" s="43">
        <f>IF(7613.20998="","-",7613.20998/1581580.75115*100)</f>
        <v>0.4813671369270445</v>
      </c>
      <c r="F43" s="43">
        <f>IF(OR(1219791.03674="",16493.01132="",12989.17495=""),"-",(12989.17495-16493.01132)/1219791.03674*100)</f>
        <v>-0.2872489028419421</v>
      </c>
      <c r="G43" s="43">
        <f>IF(OR(1533630.30697="",7613.20998="",12989.17495=""),"-",(7613.20998-12989.17495)/1533630.30697*100)</f>
        <v>-0.3505385193268199</v>
      </c>
    </row>
    <row r="44" spans="1:7" s="9" customFormat="1" ht="14.25" customHeight="1">
      <c r="A44" s="33" t="s">
        <v>202</v>
      </c>
      <c r="B44" s="43">
        <f>IF(24.24707="","-",24.24707)</f>
        <v>24.24707</v>
      </c>
      <c r="C44" s="43" t="s">
        <v>22</v>
      </c>
      <c r="D44" s="43" t="str">
        <f>IF(""="","-",""/1533630.30697*100)</f>
        <v>-</v>
      </c>
      <c r="E44" s="43">
        <f>IF(24.24707="","-",24.24707/1581580.75115*100)</f>
        <v>0.0015330908638316102</v>
      </c>
      <c r="F44" s="43" t="str">
        <f>IF(OR(1219791.03674="",25.2="",""=""),"-",(""-25.2)/1219791.03674*100)</f>
        <v>-</v>
      </c>
      <c r="G44" s="43" t="s">
        <v>22</v>
      </c>
    </row>
    <row r="45" spans="1:7" s="9" customFormat="1" ht="15.75">
      <c r="A45" s="33" t="s">
        <v>32</v>
      </c>
      <c r="B45" s="43">
        <f>IF(1223.39145="","-",1223.39145)</f>
        <v>1223.39145</v>
      </c>
      <c r="C45" s="43">
        <f>IF(OR(1440.27952="",1223.39145=""),"-",1223.39145/1440.27952*100)</f>
        <v>84.94125154261724</v>
      </c>
      <c r="D45" s="43">
        <f>IF(1440.27952="","-",1440.27952/1533630.30697*100)</f>
        <v>0.093913084102098</v>
      </c>
      <c r="E45" s="43">
        <f>IF(1223.39145="","-",1223.39145/1581580.75115*100)</f>
        <v>0.0773524493839753</v>
      </c>
      <c r="F45" s="43">
        <f>IF(OR(1219791.03674="",2227.27977="",1440.27952=""),"-",(1440.27952-2227.27977)/1219791.03674*100)</f>
        <v>-0.06451926816115391</v>
      </c>
      <c r="G45" s="43">
        <f>IF(OR(1533630.30697="",1223.39145="",1440.27952=""),"-",(1223.39145-1440.27952)/1533630.30697*100)</f>
        <v>-0.014142135103505267</v>
      </c>
    </row>
    <row r="46" spans="1:7" s="9" customFormat="1" ht="15" customHeight="1">
      <c r="A46" s="33" t="s">
        <v>33</v>
      </c>
      <c r="B46" s="43">
        <f>IF(1513.07389="","-",1513.07389)</f>
        <v>1513.07389</v>
      </c>
      <c r="C46" s="43">
        <f>IF(OR(1150.56773="",1513.07389=""),"-",1513.07389/1150.56773*100)</f>
        <v>131.50672059957736</v>
      </c>
      <c r="D46" s="43">
        <f>IF(1150.56773="","-",1150.56773/1533630.30697*100)</f>
        <v>0.07502249562824444</v>
      </c>
      <c r="E46" s="43">
        <f>IF(1513.07389="","-",1513.07389/1581580.75115*100)</f>
        <v>0.09566845631497556</v>
      </c>
      <c r="F46" s="43">
        <f>IF(OR(1219791.03674="",1927.06157="",1150.56773=""),"-",(1150.56773-1927.06157)/1219791.03674*100)</f>
        <v>-0.06365793948406516</v>
      </c>
      <c r="G46" s="43">
        <f>IF(OR(1533630.30697="",1513.07389="",1150.56773=""),"-",(1513.07389-1150.56773)/1533630.30697*100)</f>
        <v>0.023637128084421134</v>
      </c>
    </row>
    <row r="47" spans="1:7" s="9" customFormat="1" ht="15.75">
      <c r="A47" s="33" t="s">
        <v>203</v>
      </c>
      <c r="B47" s="43">
        <f>IF(1264.4516="","-",1264.4516)</f>
        <v>1264.4516</v>
      </c>
      <c r="C47" s="43">
        <f>IF(OR(1656.38128="",1264.4516=""),"-",1264.4516/1656.38128*100)</f>
        <v>76.3381967224358</v>
      </c>
      <c r="D47" s="43">
        <f>IF(1656.38128="","-",1656.38128/1533630.30697*100)</f>
        <v>0.10800394804876538</v>
      </c>
      <c r="E47" s="43">
        <f>IF(1264.4516="","-",1264.4516/1581580.75115*100)</f>
        <v>0.0799485956743335</v>
      </c>
      <c r="F47" s="43">
        <f>IF(OR(1219791.03674="",2792.5701="",1656.38128=""),"-",(1656.38128-2792.5701)/1219791.03674*100)</f>
        <v>-0.09314618535290811</v>
      </c>
      <c r="G47" s="43">
        <f>IF(OR(1533630.30697="",1264.4516="",1656.38128=""),"-",(1264.4516-1656.38128)/1533630.30697*100)</f>
        <v>-0.02555568171930151</v>
      </c>
    </row>
    <row r="48" spans="1:7" s="9" customFormat="1" ht="25.5">
      <c r="A48" s="30" t="s">
        <v>280</v>
      </c>
      <c r="B48" s="42">
        <f>IF(101405.39851="","-",101405.39851)</f>
        <v>101405.39851</v>
      </c>
      <c r="C48" s="42">
        <f>IF(105665.31451="","-",101405.39851/105665.31451*100)</f>
        <v>95.96848216488596</v>
      </c>
      <c r="D48" s="42">
        <f>IF(105665.31451="","-",105665.31451/1533630.30697*100)</f>
        <v>6.889881742019262</v>
      </c>
      <c r="E48" s="42">
        <f>IF(101405.39851="","-",101405.39851/1581580.75115*100)</f>
        <v>6.411648500164538</v>
      </c>
      <c r="F48" s="42">
        <f>IF(1219791.03674="","-",(105665.31451-96275.15405)/1219791.03674*100)</f>
        <v>0.7698171389335701</v>
      </c>
      <c r="G48" s="42">
        <f>IF(1533630.30697="","-",(101405.39851-105665.31451)/1533630.30697*100)</f>
        <v>-0.27776681124777275</v>
      </c>
    </row>
    <row r="49" spans="1:7" s="9" customFormat="1" ht="15.75" customHeight="1">
      <c r="A49" s="33" t="s">
        <v>204</v>
      </c>
      <c r="B49" s="43">
        <f>IF(298.83156="","-",298.83156)</f>
        <v>298.83156</v>
      </c>
      <c r="C49" s="43">
        <f>IF(OR(990.1444="",298.83156=""),"-",298.83156/990.1444*100)</f>
        <v>30.180603960392045</v>
      </c>
      <c r="D49" s="43">
        <f>IF(990.1444="","-",990.1444/1533630.30697*100)</f>
        <v>0.06456213048868555</v>
      </c>
      <c r="E49" s="43">
        <f>IF(298.83156="","-",298.83156/1581580.75115*100)</f>
        <v>0.018894486404359274</v>
      </c>
      <c r="F49" s="43">
        <f>IF(OR(1219791.03674="",1490.20252="",990.1444=""),"-",(990.1444-1490.20252)/1219791.03674*100)</f>
        <v>-0.04099539223836649</v>
      </c>
      <c r="G49" s="43">
        <f>IF(OR(1533630.30697="",298.83156="",990.1444=""),"-",(298.83156-990.1444)/1533630.30697*100)</f>
        <v>-0.04507688957750384</v>
      </c>
    </row>
    <row r="50" spans="1:7" s="9" customFormat="1" ht="15.75">
      <c r="A50" s="33" t="s">
        <v>35</v>
      </c>
      <c r="B50" s="43">
        <f>IF(897.96929="","-",897.96929)</f>
        <v>897.96929</v>
      </c>
      <c r="C50" s="43">
        <f>IF(OR(934.82303="",897.96929=""),"-",897.96929/934.82303*100)</f>
        <v>96.057677355253</v>
      </c>
      <c r="D50" s="43">
        <f>IF(934.82303="","-",934.82303/1533630.30697*100)</f>
        <v>0.060954913694091895</v>
      </c>
      <c r="E50" s="43">
        <f>IF(897.96929="","-",897.96929/1581580.75115*100)</f>
        <v>0.05677669567912154</v>
      </c>
      <c r="F50" s="43">
        <f>IF(OR(1219791.03674="",1209.62642="",934.82303=""),"-",(934.82303-1209.62642)/1219791.03674*100)</f>
        <v>-0.022528726783764254</v>
      </c>
      <c r="G50" s="43">
        <f>IF(OR(1533630.30697="",897.96929="",934.82303=""),"-",(897.96929-934.82303)/1533630.30697*100)</f>
        <v>-0.002403039365648173</v>
      </c>
    </row>
    <row r="51" spans="1:7" s="9" customFormat="1" ht="15.75">
      <c r="A51" s="33" t="s">
        <v>36</v>
      </c>
      <c r="B51" s="43">
        <f>IF(11932.93489="","-",11932.93489)</f>
        <v>11932.93489</v>
      </c>
      <c r="C51" s="43">
        <f>IF(OR(9261.67002="",11932.93489=""),"-",11932.93489/9261.67002*100)</f>
        <v>128.84215119121683</v>
      </c>
      <c r="D51" s="43">
        <f>IF(9261.67002="","-",9261.67002/1533630.30697*100)</f>
        <v>0.6039049944375656</v>
      </c>
      <c r="E51" s="43">
        <f>IF(11932.93489="","-",11932.93489/1581580.75115*100)</f>
        <v>0.7544941907849674</v>
      </c>
      <c r="F51" s="43">
        <f>IF(OR(1219791.03674="",5296.67357="",9261.67002=""),"-",(9261.67002-5296.67357)/1219791.03674*100)</f>
        <v>0.3250553849450153</v>
      </c>
      <c r="G51" s="43">
        <f>IF(OR(1533630.30697="",11932.93489="",9261.67002=""),"-",(11932.93489-9261.67002)/1533630.30697*100)</f>
        <v>0.1741791915469922</v>
      </c>
    </row>
    <row r="52" spans="1:7" s="9" customFormat="1" ht="25.5">
      <c r="A52" s="33" t="s">
        <v>205</v>
      </c>
      <c r="B52" s="43">
        <f>IF(6161.97912="","-",6161.97912)</f>
        <v>6161.97912</v>
      </c>
      <c r="C52" s="43">
        <f>IF(OR(5748.77519="",6161.97912=""),"-",6161.97912/5748.77519*100)</f>
        <v>107.1876863565437</v>
      </c>
      <c r="D52" s="43">
        <f>IF(5748.77519="","-",5748.77519/1533630.30697*100)</f>
        <v>0.37484752119680526</v>
      </c>
      <c r="E52" s="43">
        <f>IF(6161.97912="","-",6161.97912/1581580.75115*100)</f>
        <v>0.38960888437213836</v>
      </c>
      <c r="F52" s="43">
        <f>IF(OR(1219791.03674="",4204.66025="",5748.77519=""),"-",(5748.77519-4204.66025)/1219791.03674*100)</f>
        <v>0.12658848060785763</v>
      </c>
      <c r="G52" s="43">
        <f>IF(OR(1533630.30697="",6161.97912="",5748.77519=""),"-",(6161.97912-5748.77519)/1533630.30697*100)</f>
        <v>0.026942864138905058</v>
      </c>
    </row>
    <row r="53" spans="1:7" s="9" customFormat="1" ht="24" customHeight="1">
      <c r="A53" s="33" t="s">
        <v>247</v>
      </c>
      <c r="B53" s="43">
        <f>IF(37454.72261="","-",37454.72261)</f>
        <v>37454.72261</v>
      </c>
      <c r="C53" s="43">
        <f>IF(OR(43525.30777="",37454.72261=""),"-",37454.72261/43525.30777*100)</f>
        <v>86.0527461584449</v>
      </c>
      <c r="D53" s="43">
        <f>IF(43525.30777="","-",43525.30777/1533630.30697*100)</f>
        <v>2.8380573579034922</v>
      </c>
      <c r="E53" s="43">
        <f>IF(37454.72261="","-",37454.72261/1581580.75115*100)</f>
        <v>2.3681827553076817</v>
      </c>
      <c r="F53" s="43">
        <f>IF(OR(1219791.03674="",49046.98041="",43525.30777=""),"-",(43525.30777-49046.98041)/1219791.03674*100)</f>
        <v>-0.45267365259193565</v>
      </c>
      <c r="G53" s="43">
        <f>IF(OR(1533630.30697="",37454.72261="",43525.30777=""),"-",(37454.72261-43525.30777)/1533630.30697*100)</f>
        <v>-0.39583106387573175</v>
      </c>
    </row>
    <row r="54" spans="1:7" s="9" customFormat="1" ht="15.75">
      <c r="A54" s="33" t="s">
        <v>37</v>
      </c>
      <c r="B54" s="43">
        <f>IF(28424.89589="","-",28424.89589)</f>
        <v>28424.89589</v>
      </c>
      <c r="C54" s="43">
        <f>IF(OR(28614.98386="",28424.89589=""),"-",28424.89589/28614.98386*100)</f>
        <v>99.3357047799502</v>
      </c>
      <c r="D54" s="43">
        <f>IF(28614.98386="","-",28614.98386/1533630.30697*100)</f>
        <v>1.865833227861462</v>
      </c>
      <c r="E54" s="43">
        <f>IF(28424.89589="","-",28424.89589/1581580.75115*100)</f>
        <v>1.7972459432963934</v>
      </c>
      <c r="F54" s="43">
        <f>IF(OR(1219791.03674="",16428.21013="",28614.98386=""),"-",(28614.98386-16428.21013)/1219791.03674*100)</f>
        <v>0.9990870044897394</v>
      </c>
      <c r="G54" s="43">
        <f>IF(OR(1533630.30697="",28424.89589="",28614.98386=""),"-",(28424.89589-28614.98386)/1533630.30697*100)</f>
        <v>-0.012394640946784503</v>
      </c>
    </row>
    <row r="55" spans="1:7" ht="15.75">
      <c r="A55" s="33" t="s">
        <v>207</v>
      </c>
      <c r="B55" s="43">
        <f>IF(1959.04599="","-",1959.04599)</f>
        <v>1959.04599</v>
      </c>
      <c r="C55" s="43">
        <f>IF(OR(1509.18578="",1959.04599=""),"-",1959.04599/1509.18578*100)</f>
        <v>129.80813998923313</v>
      </c>
      <c r="D55" s="43">
        <f>IF(1509.18578="","-",1509.18578/1533630.30697*100)</f>
        <v>0.09840610042336113</v>
      </c>
      <c r="E55" s="43">
        <f>IF(1959.04599="","-",1959.04599/1581580.75115*100)</f>
        <v>0.12386632731686557</v>
      </c>
      <c r="F55" s="43">
        <f>IF(OR(1219791.03674="",1477.42871="",1509.18578=""),"-",(1509.18578-1477.42871)/1219791.03674*100)</f>
        <v>0.002603484452949721</v>
      </c>
      <c r="G55" s="43">
        <f>IF(OR(1533630.30697="",1959.04599="",1509.18578=""),"-",(1959.04599-1509.18578)/1533630.30697*100)</f>
        <v>0.02933302817214083</v>
      </c>
    </row>
    <row r="56" spans="1:7" ht="15.75">
      <c r="A56" s="33" t="s">
        <v>38</v>
      </c>
      <c r="B56" s="43">
        <f>IF(563.79218="","-",563.79218)</f>
        <v>563.79218</v>
      </c>
      <c r="C56" s="43">
        <f>IF(OR(1248.97484="",563.79218=""),"-",563.79218/1248.97484*100)</f>
        <v>45.140395302118336</v>
      </c>
      <c r="D56" s="43">
        <f>IF(1248.97484="","-",1248.97484/1533630.30697*100)</f>
        <v>0.08143910786867567</v>
      </c>
      <c r="E56" s="43">
        <f>IF(563.79218="","-",563.79218/1581580.75115*100)</f>
        <v>0.035647385034880776</v>
      </c>
      <c r="F56" s="43">
        <f>IF(OR(1219791.03674="",2034.52671="",1248.97484=""),"-",(1248.97484-2034.52671)/1219791.03674*100)</f>
        <v>-0.06440052815107228</v>
      </c>
      <c r="G56" s="43">
        <f>IF(OR(1533630.30697="",563.79218="",1248.97484=""),"-",(563.79218-1248.97484)/1533630.30697*100)</f>
        <v>-0.04467717264623691</v>
      </c>
    </row>
    <row r="57" spans="1:7" ht="15.75">
      <c r="A57" s="33" t="s">
        <v>39</v>
      </c>
      <c r="B57" s="43">
        <f>IF(13711.22698="","-",13711.22698)</f>
        <v>13711.22698</v>
      </c>
      <c r="C57" s="43">
        <f>IF(OR(13831.44962="",13711.22698=""),"-",13711.22698/13831.44962*100)</f>
        <v>99.13080231426964</v>
      </c>
      <c r="D57" s="43">
        <f>IF(13831.44962="","-",13831.44962/1533630.30697*100)</f>
        <v>0.901876388145123</v>
      </c>
      <c r="E57" s="43">
        <f>IF(13711.22698="","-",13711.22698/1581580.75115*100)</f>
        <v>0.8669318319681296</v>
      </c>
      <c r="F57" s="43">
        <f>IF(OR(1219791.03674="",15086.84533="",13831.44962=""),"-",(13831.44962-15086.84533)/1219791.03674*100)</f>
        <v>-0.102918915796853</v>
      </c>
      <c r="G57" s="43">
        <f>IF(OR(1533630.30697="",13711.22698="",13831.44962=""),"-",(13711.22698-13831.44962)/1533630.30697*100)</f>
        <v>-0.007839088693905923</v>
      </c>
    </row>
    <row r="58" spans="1:7" ht="25.5">
      <c r="A58" s="30" t="s">
        <v>208</v>
      </c>
      <c r="B58" s="42">
        <f>IF(395492.55335="","-",395492.55335)</f>
        <v>395492.55335</v>
      </c>
      <c r="C58" s="42">
        <f>IF(314459.44756="","-",395492.55335/314459.44756*100)</f>
        <v>125.76901613825375</v>
      </c>
      <c r="D58" s="42">
        <f>IF(314459.44756="","-",314459.44756/1533630.30697*100)</f>
        <v>20.50425360863394</v>
      </c>
      <c r="E58" s="42">
        <f>IF(395492.55335="","-",395492.55335/1581580.75115*100)</f>
        <v>25.006156218228455</v>
      </c>
      <c r="F58" s="42">
        <f>IF(1219791.03674="","-",(314459.44756-231205.94056)/1219791.03674*100)</f>
        <v>6.825226984984447</v>
      </c>
      <c r="G58" s="42">
        <f>IF(1533630.30697="","-",(395492.55335-314459.44756)/1533630.30697*100)</f>
        <v>5.2837444214373575</v>
      </c>
    </row>
    <row r="59" spans="1:7" ht="25.5">
      <c r="A59" s="33" t="s">
        <v>209</v>
      </c>
      <c r="B59" s="43">
        <f>IF(1933.97303="","-",1933.97303)</f>
        <v>1933.97303</v>
      </c>
      <c r="C59" s="43">
        <f>IF(OR(1887.45604="",1933.97303=""),"-",1933.97303/1887.45604*100)</f>
        <v>102.4645336905436</v>
      </c>
      <c r="D59" s="43">
        <f>IF(1887.45604="","-",1887.45604/1533630.30697*100)</f>
        <v>0.12307112290504058</v>
      </c>
      <c r="E59" s="43">
        <f>IF(1933.97303="","-",1933.97303/1581580.75115*100)</f>
        <v>0.12228101717814716</v>
      </c>
      <c r="F59" s="43">
        <f>IF(OR(1219791.03674="",1681.6547="",1887.45604=""),"-",(1887.45604-1681.6547)/1219791.03674*100)</f>
        <v>0.016871852128871382</v>
      </c>
      <c r="G59" s="43">
        <f>IF(OR(1533630.30697="",1933.97303="",1887.45604=""),"-",(1933.97303-1887.45604)/1533630.30697*100)</f>
        <v>0.003033129287325046</v>
      </c>
    </row>
    <row r="60" spans="1:7" ht="25.5">
      <c r="A60" s="33" t="s">
        <v>228</v>
      </c>
      <c r="B60" s="43">
        <f>IF(8421.43998="","-",8421.43998)</f>
        <v>8421.43998</v>
      </c>
      <c r="C60" s="43">
        <f>IF(OR(8828.04582="",8421.43998=""),"-",8421.43998/8828.04582*100)</f>
        <v>95.39415802443128</v>
      </c>
      <c r="D60" s="43">
        <f>IF(8828.04582="","-",8828.04582/1533630.30697*100)</f>
        <v>0.5756306314421764</v>
      </c>
      <c r="E60" s="43">
        <f>IF(8421.43998="","-",8421.43998/1581580.75115*100)</f>
        <v>0.5324698074301041</v>
      </c>
      <c r="F60" s="43">
        <f>IF(OR(1219791.03674="",4594.15142="",8828.04582=""),"-",(8828.04582-4594.15142)/1219791.03674*100)</f>
        <v>0.34709997634639606</v>
      </c>
      <c r="G60" s="43">
        <f>IF(OR(1533630.30697="",8421.43998="",8828.04582=""),"-",(8421.43998-8828.04582)/1533630.30697*100)</f>
        <v>-0.02651263724719506</v>
      </c>
    </row>
    <row r="61" spans="1:7" ht="25.5">
      <c r="A61" s="33" t="s">
        <v>210</v>
      </c>
      <c r="B61" s="43">
        <f>IF(1372.33064="","-",1372.33064)</f>
        <v>1372.33064</v>
      </c>
      <c r="C61" s="43">
        <f>IF(OR(1374.71663="",1372.33064=""),"-",1372.33064/1374.71663*100)</f>
        <v>99.82643768556142</v>
      </c>
      <c r="D61" s="43">
        <f>IF(1374.71663="","-",1374.71663/1533630.30697*100)</f>
        <v>0.08963807142778976</v>
      </c>
      <c r="E61" s="43">
        <f>IF(1372.33064="","-",1372.33064/1581580.75115*100)</f>
        <v>0.08676955881020619</v>
      </c>
      <c r="F61" s="43">
        <f>IF(OR(1219791.03674="",874.08851="",1374.71663=""),"-",(1374.71663-874.08851)/1219791.03674*100)</f>
        <v>0.0410421215537026</v>
      </c>
      <c r="G61" s="43">
        <f>IF(OR(1533630.30697="",1372.33064="",1374.71663=""),"-",(1372.33064-1374.71663)/1533630.30697*100)</f>
        <v>-0.00015557791138817563</v>
      </c>
    </row>
    <row r="62" spans="1:7" ht="38.25">
      <c r="A62" s="33" t="s">
        <v>211</v>
      </c>
      <c r="B62" s="43">
        <f>IF(13519.75386="","-",13519.75386)</f>
        <v>13519.75386</v>
      </c>
      <c r="C62" s="43">
        <f>IF(OR(11818.66934="",13519.75386=""),"-",13519.75386/11818.66934*100)</f>
        <v>114.39319834630386</v>
      </c>
      <c r="D62" s="43">
        <f>IF(11818.66934="","-",11818.66934/1533630.30697*100)</f>
        <v>0.7706335279295696</v>
      </c>
      <c r="E62" s="43">
        <f>IF(13519.75386="","-",13519.75386/1581580.75115*100)</f>
        <v>0.8548253922646384</v>
      </c>
      <c r="F62" s="43">
        <f>IF(OR(1219791.03674="",17878.71221="",11818.66934=""),"-",(11818.66934-17878.71221)/1219791.03674*100)</f>
        <v>-0.49680991968886773</v>
      </c>
      <c r="G62" s="43">
        <f>IF(OR(1533630.30697="",13519.75386="",11818.66934=""),"-",(13519.75386-11818.66934)/1533630.30697*100)</f>
        <v>0.11091881219802185</v>
      </c>
    </row>
    <row r="63" spans="1:7" ht="25.5">
      <c r="A63" s="33" t="s">
        <v>212</v>
      </c>
      <c r="B63" s="43">
        <f>IF(689.13139="","-",689.13139)</f>
        <v>689.13139</v>
      </c>
      <c r="C63" s="43">
        <f>IF(OR(804.38083="",689.13139=""),"-",689.13139/804.38083*100)</f>
        <v>85.67227913673678</v>
      </c>
      <c r="D63" s="43">
        <f>IF(804.38083="","-",804.38083/1533630.30697*100)</f>
        <v>0.05244946101705688</v>
      </c>
      <c r="E63" s="43">
        <f>IF(689.13139="","-",689.13139/1581580.75115*100)</f>
        <v>0.043572317726990446</v>
      </c>
      <c r="F63" s="43">
        <f>IF(OR(1219791.03674="",500.46248="",804.38083=""),"-",(804.38083-500.46248)/1219791.03674*100)</f>
        <v>0.02491560774313023</v>
      </c>
      <c r="G63" s="43">
        <f>IF(OR(1533630.30697="",689.13139="",804.38083=""),"-",(689.13139-804.38083)/1533630.30697*100)</f>
        <v>-0.007514812368809974</v>
      </c>
    </row>
    <row r="64" spans="1:7" ht="38.25">
      <c r="A64" s="33" t="s">
        <v>213</v>
      </c>
      <c r="B64" s="43">
        <f>IF(2137.01579="","-",2137.01579)</f>
        <v>2137.01579</v>
      </c>
      <c r="C64" s="43">
        <f>IF(OR(2790.02255="",2137.01579=""),"-",2137.01579/2790.02255*100)</f>
        <v>76.59492895496489</v>
      </c>
      <c r="D64" s="43">
        <f>IF(2790.02255="","-",2790.02255/1533630.30697*100)</f>
        <v>0.18192275787195805</v>
      </c>
      <c r="E64" s="43">
        <f>IF(2137.01579="","-",2137.01579/1581580.75115*100)</f>
        <v>0.13511898070624162</v>
      </c>
      <c r="F64" s="43">
        <f>IF(OR(1219791.03674="",2642.44918="",2790.02255=""),"-",(2790.02255-2642.44918)/1219791.03674*100)</f>
        <v>0.012098250073586623</v>
      </c>
      <c r="G64" s="43">
        <f>IF(OR(1533630.30697="",2137.01579="",2790.02255=""),"-",(2137.01579-2790.02255)/1533630.30697*100)</f>
        <v>-0.04257915072701898</v>
      </c>
    </row>
    <row r="65" spans="1:7" ht="51">
      <c r="A65" s="33" t="s">
        <v>229</v>
      </c>
      <c r="B65" s="43">
        <f>IF(349602.3047="","-",349602.3047)</f>
        <v>349602.3047</v>
      </c>
      <c r="C65" s="43">
        <f>IF(OR(275855.82344="",349602.3047=""),"-",349602.3047/275855.82344*100)</f>
        <v>126.73370470862659</v>
      </c>
      <c r="D65" s="43">
        <f>IF(275855.82344="","-",275855.82344/1533630.30697*100)</f>
        <v>17.987113464457387</v>
      </c>
      <c r="E65" s="43">
        <f>IF(349602.3047="","-",349602.3047/1581580.75115*100)</f>
        <v>22.104613023761</v>
      </c>
      <c r="F65" s="43">
        <f>IF(OR(1219791.03674="",173803.447="",275855.82344=""),"-",(275855.82344-173803.447)/1219791.03674*100)</f>
        <v>8.366381893799128</v>
      </c>
      <c r="G65" s="43">
        <f>IF(OR(1533630.30697="",349602.3047="",275855.82344=""),"-",(349602.3047-275855.82344)/1533630.30697*100)</f>
        <v>4.808621799193654</v>
      </c>
    </row>
    <row r="66" spans="1:7" ht="25.5">
      <c r="A66" s="33" t="s">
        <v>40</v>
      </c>
      <c r="B66" s="43">
        <f>IF(15014.00939="","-",15014.00939)</f>
        <v>15014.00939</v>
      </c>
      <c r="C66" s="43">
        <f>IF(OR(10867.04358="",15014.00939=""),"-",15014.00939/10867.04358*100)</f>
        <v>138.16093843252997</v>
      </c>
      <c r="D66" s="43">
        <f>IF(10867.04358="","-",10867.04358/1533630.30697*100)</f>
        <v>0.7085829962156959</v>
      </c>
      <c r="E66" s="43">
        <f>IF(15014.00939="","-",15014.00939/1581580.75115*100)</f>
        <v>0.9493040035472741</v>
      </c>
      <c r="F66" s="43">
        <f>IF(OR(1219791.03674="",16583.75748="",10867.04358=""),"-",(10867.04358-16583.75748)/1219791.03674*100)</f>
        <v>-0.4686633798587689</v>
      </c>
      <c r="G66" s="43">
        <f>IF(OR(1533630.30697="",15014.00939="",10867.04358=""),"-",(15014.00939-10867.04358)/1533630.30697*100)</f>
        <v>0.2704019209292478</v>
      </c>
    </row>
    <row r="67" spans="1:7" ht="15.75">
      <c r="A67" s="33" t="s">
        <v>41</v>
      </c>
      <c r="B67" s="43">
        <f>IF(2802.59457="","-",2802.59457)</f>
        <v>2802.59457</v>
      </c>
      <c r="C67" s="43" t="s">
        <v>281</v>
      </c>
      <c r="D67" s="43">
        <f>IF(233.28933="","-",233.28933/1533630.30697*100)</f>
        <v>0.015211575367267666</v>
      </c>
      <c r="E67" s="43">
        <f>IF(2802.59457="","-",2802.59457/1581580.75115*100)</f>
        <v>0.17720211680384804</v>
      </c>
      <c r="F67" s="43">
        <f>IF(OR(1219791.03674="",12647.21758="",233.28933=""),"-",(233.28933-12647.21758)/1219791.03674*100)</f>
        <v>-1.0177094171127319</v>
      </c>
      <c r="G67" s="43">
        <f>IF(OR(1533630.30697="",2802.59457="",233.28933=""),"-",(2802.59457-233.28933)/1533630.30697*100)</f>
        <v>0.16753093808351946</v>
      </c>
    </row>
    <row r="68" spans="1:7" ht="15.75">
      <c r="A68" s="30" t="s">
        <v>42</v>
      </c>
      <c r="B68" s="42">
        <f>IF(338775.27136="","-",338775.27136)</f>
        <v>338775.27136</v>
      </c>
      <c r="C68" s="42">
        <f>IF(363777.74347="","-",338775.27136/363777.74347*100)</f>
        <v>93.12699235761193</v>
      </c>
      <c r="D68" s="42">
        <f>IF(363777.74347="","-",363777.74347/1533630.30697*100)</f>
        <v>23.720041382640463</v>
      </c>
      <c r="E68" s="42">
        <f>IF(338775.27136="","-",338775.27136/1581580.75115*100)</f>
        <v>21.42004264490887</v>
      </c>
      <c r="F68" s="42">
        <f>IF(1219791.03674="","-",(363777.74347-294442.95593)/1219791.03674*100)</f>
        <v>5.684152895999579</v>
      </c>
      <c r="G68" s="42">
        <f>IF(1533630.30697="","-",(338775.27136-363777.74347)/1533630.30697*100)</f>
        <v>-1.6302802570064925</v>
      </c>
    </row>
    <row r="69" spans="1:7" ht="38.25">
      <c r="A69" s="33" t="s">
        <v>214</v>
      </c>
      <c r="B69" s="43">
        <f>IF(4860.72856="","-",4860.72856)</f>
        <v>4860.72856</v>
      </c>
      <c r="C69" s="43">
        <f>IF(OR(4510.28407="",4860.72856=""),"-",4860.72856/4510.28407*100)</f>
        <v>107.76989840464748</v>
      </c>
      <c r="D69" s="43">
        <f>IF(4510.28407="","-",4510.28407/1533630.30697*100)</f>
        <v>0.2940920018013329</v>
      </c>
      <c r="E69" s="43">
        <f>IF(4860.72856="","-",4860.72856/1581580.75115*100)</f>
        <v>0.30733356842296317</v>
      </c>
      <c r="F69" s="43">
        <f>IF(OR(1219791.03674="",5607.72495="",4510.28407=""),"-",(4510.28407-5607.72495)/1219791.03674*100)</f>
        <v>-0.08996958060398677</v>
      </c>
      <c r="G69" s="43">
        <f>IF(OR(1533630.30697="",4860.72856="",4510.28407=""),"-",(4860.72856-4510.28407)/1533630.30697*100)</f>
        <v>0.02285064975615763</v>
      </c>
    </row>
    <row r="70" spans="1:7" ht="15.75">
      <c r="A70" s="33" t="s">
        <v>215</v>
      </c>
      <c r="B70" s="43">
        <f>IF(84656.4346="","-",84656.4346)</f>
        <v>84656.4346</v>
      </c>
      <c r="C70" s="43">
        <f>IF(OR(92144.52943="",84656.4346=""),"-",84656.4346/92144.52943*100)</f>
        <v>91.87353294186767</v>
      </c>
      <c r="D70" s="43">
        <f>IF(92144.52943="","-",92144.52943/1533630.30697*100)</f>
        <v>6.008262161436438</v>
      </c>
      <c r="E70" s="43">
        <f>IF(84656.4346="","-",84656.4346/1581580.75115*100)</f>
        <v>5.3526469981658895</v>
      </c>
      <c r="F70" s="43">
        <f>IF(OR(1219791.03674="",71449.0462="",92144.52943=""),"-",(92144.52943-71449.0462)/1219791.03674*100)</f>
        <v>1.6966416875230137</v>
      </c>
      <c r="G70" s="43">
        <f>IF(OR(1533630.30697="",84656.4346="",92144.52943=""),"-",(84656.4346-92144.52943)/1533630.30697*100)</f>
        <v>-0.48825944531536175</v>
      </c>
    </row>
    <row r="71" spans="1:7" ht="15.75">
      <c r="A71" s="33" t="s">
        <v>216</v>
      </c>
      <c r="B71" s="43">
        <f>IF(7745.64197="","-",7745.64197)</f>
        <v>7745.64197</v>
      </c>
      <c r="C71" s="43">
        <f>IF(OR(10476.20042="",7745.64197=""),"-",7745.64197/10476.20042*100)</f>
        <v>73.93560317166975</v>
      </c>
      <c r="D71" s="43">
        <f>IF(10476.20042="","-",10476.20042/1533630.30697*100)</f>
        <v>0.6830981607749962</v>
      </c>
      <c r="E71" s="43">
        <f>IF(7745.64197="","-",7745.64197/1581580.75115*100)</f>
        <v>0.4897405310710809</v>
      </c>
      <c r="F71" s="43">
        <f>IF(OR(1219791.03674="",7128.98025="",10476.20042=""),"-",(10476.20042-7128.98025)/1219791.03674*100)</f>
        <v>0.2744093102164239</v>
      </c>
      <c r="G71" s="43">
        <f>IF(OR(1533630.30697="",7745.64197="",10476.20042=""),"-",(7745.64197-10476.20042)/1533630.30697*100)</f>
        <v>-0.17804541535142035</v>
      </c>
    </row>
    <row r="72" spans="1:7" ht="15.75">
      <c r="A72" s="33" t="s">
        <v>217</v>
      </c>
      <c r="B72" s="43">
        <f>IF(167782.66273="","-",167782.66273)</f>
        <v>167782.66273</v>
      </c>
      <c r="C72" s="43">
        <f>IF(OR(185701.68226="",167782.66273=""),"-",167782.66273/185701.68226*100)</f>
        <v>90.35064232487045</v>
      </c>
      <c r="D72" s="43">
        <f>IF(185701.68226="","-",185701.68226/1533630.30697*100)</f>
        <v>12.108634096237418</v>
      </c>
      <c r="E72" s="43">
        <f>IF(167782.66273="","-",167782.66273/1581580.75115*100)</f>
        <v>10.608542283282203</v>
      </c>
      <c r="F72" s="43">
        <f>IF(OR(1219791.03674="",152466.53797="",185701.68226=""),"-",(185701.68226-152466.53797)/1219791.03674*100)</f>
        <v>2.7246588381911607</v>
      </c>
      <c r="G72" s="43">
        <f>IF(OR(1533630.30697="",167782.66273="",185701.68226=""),"-",(167782.66273-185701.68226)/1533630.30697*100)</f>
        <v>-1.1684054135186381</v>
      </c>
    </row>
    <row r="73" spans="1:7" ht="15.75">
      <c r="A73" s="33" t="s">
        <v>218</v>
      </c>
      <c r="B73" s="43">
        <f>IF(20876.23869="","-",20876.23869)</f>
        <v>20876.23869</v>
      </c>
      <c r="C73" s="43">
        <f>IF(OR(22471.22422="",20876.23869=""),"-",20876.23869/22471.22422*100)</f>
        <v>92.90209774783689</v>
      </c>
      <c r="D73" s="43">
        <f>IF(22471.22422="","-",22471.22422/1533630.30697*100)</f>
        <v>1.4652308393928715</v>
      </c>
      <c r="E73" s="43">
        <f>IF(20876.23869="","-",20876.23869/1581580.75115*100)</f>
        <v>1.3199603418807706</v>
      </c>
      <c r="F73" s="43">
        <f>IF(OR(1219791.03674="",18839.21243="",22471.22422=""),"-",(22471.22422-18839.21243)/1219791.03674*100)</f>
        <v>0.2977568846305737</v>
      </c>
      <c r="G73" s="43">
        <f>IF(OR(1533630.30697="",20876.23869="",22471.22422=""),"-",(20876.23869-22471.22422)/1533630.30697*100)</f>
        <v>-0.10400065274865501</v>
      </c>
    </row>
    <row r="74" spans="1:7" ht="25.5">
      <c r="A74" s="33" t="s">
        <v>219</v>
      </c>
      <c r="B74" s="43">
        <f>IF(13275.30428="","-",13275.30428)</f>
        <v>13275.30428</v>
      </c>
      <c r="C74" s="43">
        <f>IF(OR(14880.76988="",13275.30428=""),"-",13275.30428/14880.76988*100)</f>
        <v>89.2111388527164</v>
      </c>
      <c r="D74" s="43">
        <f>IF(14880.76988="","-",14880.76988/1533630.30697*100)</f>
        <v>0.9702970665335899</v>
      </c>
      <c r="E74" s="43">
        <f>IF(13275.30428="","-",13275.30428/1581580.75115*100)</f>
        <v>0.8393693632365754</v>
      </c>
      <c r="F74" s="43">
        <f>IF(OR(1219791.03674="",13983.73717="",14880.76988=""),"-",(14880.76988-13983.73717)/1219791.03674*100)</f>
        <v>0.07353986732001239</v>
      </c>
      <c r="G74" s="43">
        <f>IF(OR(1533630.30697="",13275.30428="",14880.76988=""),"-",(13275.30428-14880.76988)/1533630.30697*100)</f>
        <v>-0.10468400322447492</v>
      </c>
    </row>
    <row r="75" spans="1:7" ht="25.5">
      <c r="A75" s="33" t="s">
        <v>220</v>
      </c>
      <c r="B75" s="43">
        <f>IF(2317.21672="","-",2317.21672)</f>
        <v>2317.21672</v>
      </c>
      <c r="C75" s="43">
        <f>IF(OR(2023.27842="",2317.21672=""),"-",2317.21672/2023.27842*100)</f>
        <v>114.5278226216637</v>
      </c>
      <c r="D75" s="43">
        <f>IF(2023.27842="","-",2023.27842/1533630.30697*100)</f>
        <v>0.1319273889414327</v>
      </c>
      <c r="E75" s="43">
        <f>IF(2317.21672="","-",2317.21672/1581580.75115*100)</f>
        <v>0.14651270371842248</v>
      </c>
      <c r="F75" s="43">
        <f>IF(OR(1219791.03674="",1347.72441="",2023.27842=""),"-",(2023.27842-1347.72441)/1219791.03674*100)</f>
        <v>0.05538276554363593</v>
      </c>
      <c r="G75" s="43">
        <f>IF(OR(1533630.30697="",2317.21672="",2023.27842=""),"-",(2317.21672-2023.27842)/1533630.30697*100)</f>
        <v>0.019166177054803706</v>
      </c>
    </row>
    <row r="76" spans="1:7" ht="15.75">
      <c r="A76" s="33" t="s">
        <v>43</v>
      </c>
      <c r="B76" s="43">
        <f>IF(37261.04381="","-",37261.04381)</f>
        <v>37261.04381</v>
      </c>
      <c r="C76" s="43">
        <f>IF(OR(31569.77477="",37261.04381=""),"-",37261.04381/31569.77477*100)</f>
        <v>118.02758835456844</v>
      </c>
      <c r="D76" s="43">
        <f>IF(31569.77477="","-",31569.77477/1533630.30697*100)</f>
        <v>2.058499667522386</v>
      </c>
      <c r="E76" s="43">
        <f>IF(37261.04381="","-",37261.04381/1581580.75115*100)</f>
        <v>2.355936855130965</v>
      </c>
      <c r="F76" s="43">
        <f>IF(OR(1219791.03674="",23619.99255="",31569.77477=""),"-",(31569.77477-23619.99255)/1219791.03674*100)</f>
        <v>0.6517331231787455</v>
      </c>
      <c r="G76" s="43">
        <f>IF(OR(1533630.30697="",37261.04381="",31569.77477=""),"-",(37261.04381-31569.77477)/1533630.30697*100)</f>
        <v>0.37109784634109555</v>
      </c>
    </row>
    <row r="77" spans="1:7" ht="25.5">
      <c r="A77" s="37" t="s">
        <v>221</v>
      </c>
      <c r="B77" s="50">
        <f>IF(462.98741="","-",462.98741)</f>
        <v>462.98741</v>
      </c>
      <c r="C77" s="50">
        <f>IF(725.7206="","-",462.98741/725.7206*100)</f>
        <v>63.79692267244447</v>
      </c>
      <c r="D77" s="50">
        <f>IF(725.7206="","-",725.7206/1533630.30697*100)</f>
        <v>0.04732043939805867</v>
      </c>
      <c r="E77" s="50">
        <f>IF(462.98741="","-",462.98741/1581580.75115*100)</f>
        <v>0.029273713002851882</v>
      </c>
      <c r="F77" s="50">
        <f>IF(1219791.03674="","-",(725.7206-317.93669)/1219791.03674*100)</f>
        <v>0.03343063670067939</v>
      </c>
      <c r="G77" s="50">
        <f>IF(1533630.30697="","-",(462.98741-725.7206)/1533630.30697*100)</f>
        <v>-0.017131455267018234</v>
      </c>
    </row>
    <row r="78" ht="15.75">
      <c r="A78" s="52" t="s">
        <v>21</v>
      </c>
    </row>
  </sheetData>
  <sheetProtection/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H81"/>
  <sheetViews>
    <sheetView zoomScalePageLayoutView="0" workbookViewId="0" topLeftCell="A1">
      <selection activeCell="A1" sqref="A1:G1"/>
    </sheetView>
  </sheetViews>
  <sheetFormatPr defaultColWidth="9.00390625" defaultRowHeight="15.75"/>
  <cols>
    <col min="1" max="1" width="28.25390625" style="0" customWidth="1"/>
    <col min="2" max="2" width="12.00390625" style="0" customWidth="1"/>
    <col min="3" max="3" width="10.125" style="0" customWidth="1"/>
    <col min="4" max="5" width="8.125" style="0" customWidth="1"/>
    <col min="6" max="6" width="9.875" style="0" customWidth="1"/>
    <col min="7" max="7" width="9.625" style="0" customWidth="1"/>
  </cols>
  <sheetData>
    <row r="1" spans="1:7" ht="15.75">
      <c r="A1" s="85" t="s">
        <v>139</v>
      </c>
      <c r="B1" s="85"/>
      <c r="C1" s="85"/>
      <c r="D1" s="85"/>
      <c r="E1" s="85"/>
      <c r="F1" s="85"/>
      <c r="G1" s="85"/>
    </row>
    <row r="2" spans="1:7" ht="15.75">
      <c r="A2" s="85" t="s">
        <v>23</v>
      </c>
      <c r="B2" s="85"/>
      <c r="C2" s="85"/>
      <c r="D2" s="85"/>
      <c r="E2" s="85"/>
      <c r="F2" s="85"/>
      <c r="G2" s="85"/>
    </row>
    <row r="3" ht="12" customHeight="1">
      <c r="A3" s="5"/>
    </row>
    <row r="4" spans="1:7" ht="57" customHeight="1">
      <c r="A4" s="91"/>
      <c r="B4" s="76" t="s">
        <v>255</v>
      </c>
      <c r="C4" s="77"/>
      <c r="D4" s="94" t="s">
        <v>0</v>
      </c>
      <c r="E4" s="95"/>
      <c r="F4" s="88" t="s">
        <v>142</v>
      </c>
      <c r="G4" s="96"/>
    </row>
    <row r="5" spans="1:8" ht="26.25" customHeight="1">
      <c r="A5" s="92"/>
      <c r="B5" s="97" t="s">
        <v>122</v>
      </c>
      <c r="C5" s="82" t="s">
        <v>256</v>
      </c>
      <c r="D5" s="84" t="s">
        <v>257</v>
      </c>
      <c r="E5" s="84"/>
      <c r="F5" s="84" t="s">
        <v>257</v>
      </c>
      <c r="G5" s="76"/>
      <c r="H5" s="1"/>
    </row>
    <row r="6" spans="1:7" ht="22.5" customHeight="1">
      <c r="A6" s="93"/>
      <c r="B6" s="98"/>
      <c r="C6" s="83"/>
      <c r="D6" s="23">
        <v>2018</v>
      </c>
      <c r="E6" s="23">
        <v>2019</v>
      </c>
      <c r="F6" s="23" t="s">
        <v>121</v>
      </c>
      <c r="G6" s="19" t="s">
        <v>144</v>
      </c>
    </row>
    <row r="7" spans="1:7" ht="15.75">
      <c r="A7" s="35" t="s">
        <v>154</v>
      </c>
      <c r="B7" s="41">
        <f>IF(3306313.64307="","-",3306313.64307)</f>
        <v>3306313.64307</v>
      </c>
      <c r="C7" s="41">
        <f>IF(3222930.24801="","-",3306313.64307/3222930.24801*100)</f>
        <v>102.58719204709705</v>
      </c>
      <c r="D7" s="41">
        <v>100</v>
      </c>
      <c r="E7" s="41">
        <v>100</v>
      </c>
      <c r="F7" s="41">
        <f>IF(2578273.3802="","-",(3222930.24801-2578273.3802)/2578273.3802*100)</f>
        <v>25.003433412479843</v>
      </c>
      <c r="G7" s="41">
        <f>IF(3222930.24801="","-",(3306313.64307-3222930.24801)/3222930.24801*100)</f>
        <v>2.5871920470970515</v>
      </c>
    </row>
    <row r="8" spans="1:7" ht="13.5" customHeight="1">
      <c r="A8" s="36" t="s">
        <v>161</v>
      </c>
      <c r="B8" s="44"/>
      <c r="C8" s="44"/>
      <c r="D8" s="44"/>
      <c r="E8" s="44"/>
      <c r="F8" s="44"/>
      <c r="G8" s="44"/>
    </row>
    <row r="9" spans="1:7" ht="13.5" customHeight="1">
      <c r="A9" s="30" t="s">
        <v>180</v>
      </c>
      <c r="B9" s="42">
        <f>IF(340679.3758="","-",340679.3758)</f>
        <v>340679.3758</v>
      </c>
      <c r="C9" s="42">
        <f>IF(321534.55665="","-",340679.3758/321534.55665*100)</f>
        <v>105.95420266781454</v>
      </c>
      <c r="D9" s="42">
        <f>IF(321534.55665="","-",321534.55665/3222930.24801*100)</f>
        <v>9.97646650431022</v>
      </c>
      <c r="E9" s="42">
        <f>IF(340679.3758="","-",340679.3758/3306313.64307*100)</f>
        <v>10.303903760433029</v>
      </c>
      <c r="F9" s="42">
        <f>IF(2578273.3802="","-",(321534.55665-274744.87455)/2578273.3802*100)</f>
        <v>1.814768071505685</v>
      </c>
      <c r="G9" s="42">
        <f>IF(3222930.24801="","-",(340679.3758-321534.55665)/3222930.24801*100)</f>
        <v>0.5940190347532645</v>
      </c>
    </row>
    <row r="10" spans="1:7" ht="12" customHeight="1">
      <c r="A10" s="33" t="s">
        <v>24</v>
      </c>
      <c r="B10" s="43">
        <f>IF(3230.92568="","-",3230.92568)</f>
        <v>3230.92568</v>
      </c>
      <c r="C10" s="43">
        <f>IF(OR(3105.60749="",3230.92568=""),"-",3230.92568/3105.60749*100)</f>
        <v>104.03522307321586</v>
      </c>
      <c r="D10" s="43">
        <f>IF(3105.60749="","-",3105.60749/3222930.24801*100)</f>
        <v>0.09635974876954159</v>
      </c>
      <c r="E10" s="43">
        <f>IF(3230.92568="","-",3230.92568/3306313.64307*100)</f>
        <v>0.09771987865615796</v>
      </c>
      <c r="F10" s="43">
        <f>IF(OR(2578273.3802="",3540.03319="",3105.60749=""),"-",(3105.60749-3540.03319)/2578273.3802*100)</f>
        <v>-0.01684948164675622</v>
      </c>
      <c r="G10" s="43">
        <f>IF(OR(3222930.24801="",3230.92568="",3105.60749=""),"-",(3230.92568-3105.60749)/3222930.24801*100)</f>
        <v>0.0038883308156413793</v>
      </c>
    </row>
    <row r="11" spans="1:7" ht="12.75" customHeight="1">
      <c r="A11" s="33" t="s">
        <v>181</v>
      </c>
      <c r="B11" s="43">
        <f>IF(27155.73984="","-",27155.73984)</f>
        <v>27155.73984</v>
      </c>
      <c r="C11" s="43">
        <f>IF(OR(23858.0293="",27155.73984=""),"-",27155.73984/23858.0293*100)</f>
        <v>113.82222520784649</v>
      </c>
      <c r="D11" s="43">
        <f>IF(23858.0293="","-",23858.0293/3222930.24801*100)</f>
        <v>0.7402589402836487</v>
      </c>
      <c r="E11" s="43">
        <f>IF(27155.73984="","-",27155.73984/3306313.64307*100)</f>
        <v>0.8213298183890737</v>
      </c>
      <c r="F11" s="43">
        <f>IF(OR(2578273.3802="",17626.45586="",23858.0293=""),"-",(23858.0293-17626.45586)/2578273.3802*100)</f>
        <v>0.2416956048127297</v>
      </c>
      <c r="G11" s="43">
        <f>IF(OR(3222930.24801="",27155.73984="",23858.0293=""),"-",(27155.73984-23858.0293)/3222930.24801*100)</f>
        <v>0.10232025784722375</v>
      </c>
    </row>
    <row r="12" spans="1:7" ht="14.25" customHeight="1">
      <c r="A12" s="33" t="s">
        <v>182</v>
      </c>
      <c r="B12" s="43">
        <f>IF(34964.35937="","-",34964.35937)</f>
        <v>34964.35937</v>
      </c>
      <c r="C12" s="43">
        <f>IF(OR(32344.14428="",34964.35937=""),"-",34964.35937/32344.14428*100)</f>
        <v>108.10104935012983</v>
      </c>
      <c r="D12" s="43">
        <f>IF(32344.14428="","-",32344.14428/3222930.24801*100)</f>
        <v>1.0035632728933834</v>
      </c>
      <c r="E12" s="43">
        <f>IF(34964.35937="","-",34964.35937/3306313.64307*100)</f>
        <v>1.0575028005369347</v>
      </c>
      <c r="F12" s="43">
        <f>IF(OR(2578273.3802="",29251.60174="",32344.14428=""),"-",(32344.14428-29251.60174)/2578273.3802*100)</f>
        <v>0.11994626185684426</v>
      </c>
      <c r="G12" s="43">
        <f>IF(OR(3222930.24801="",34964.35937="",32344.14428=""),"-",(34964.35937-32344.14428)/3222930.24801*100)</f>
        <v>0.08129915599687121</v>
      </c>
    </row>
    <row r="13" spans="1:7" s="9" customFormat="1" ht="13.5" customHeight="1">
      <c r="A13" s="33" t="s">
        <v>183</v>
      </c>
      <c r="B13" s="43">
        <f>IF(29773.77106="","-",29773.77106)</f>
        <v>29773.77106</v>
      </c>
      <c r="C13" s="43">
        <f>IF(OR(27285.9218="",29773.77106=""),"-",29773.77106/27285.9218*100)</f>
        <v>109.11770281479001</v>
      </c>
      <c r="D13" s="43">
        <f>IF(27285.9218="","-",27285.9218/3222930.24801*100)</f>
        <v>0.84661844037263</v>
      </c>
      <c r="E13" s="43">
        <f>IF(29773.77106="","-",29773.77106/3306313.64307*100)</f>
        <v>0.9005126032857022</v>
      </c>
      <c r="F13" s="43">
        <f>IF(OR(2578273.3802="",23148.47449="",27285.9218=""),"-",(27285.9218-23148.47449)/2578273.3802*100)</f>
        <v>0.16047356893081108</v>
      </c>
      <c r="G13" s="43">
        <f>IF(OR(3222930.24801="",29773.77106="",27285.9218=""),"-",(29773.77106-27285.9218)/3222930.24801*100)</f>
        <v>0.0771921533683865</v>
      </c>
    </row>
    <row r="14" spans="1:7" s="9" customFormat="1" ht="13.5" customHeight="1">
      <c r="A14" s="33" t="s">
        <v>184</v>
      </c>
      <c r="B14" s="43">
        <f>IF(49195.21692="","-",49195.21692)</f>
        <v>49195.21692</v>
      </c>
      <c r="C14" s="43">
        <f>IF(OR(46861.27392="",49195.21692=""),"-",49195.21692/46861.27392*100)</f>
        <v>104.98053681593127</v>
      </c>
      <c r="D14" s="43">
        <f>IF(46861.27392="","-",46861.27392/3222930.24801*100)</f>
        <v>1.4539959078833466</v>
      </c>
      <c r="E14" s="43">
        <f>IF(49195.21692="","-",49195.21692/3306313.64307*100)</f>
        <v>1.4879174280126954</v>
      </c>
      <c r="F14" s="43">
        <f>IF(OR(2578273.3802="",37747.4015="",46861.27392=""),"-",(46861.27392-37747.4015)/2578273.3802*100)</f>
        <v>0.3534874342647491</v>
      </c>
      <c r="G14" s="43">
        <f>IF(OR(3222930.24801="",49195.21692="",46861.27392=""),"-",(49195.21692-46861.27392)/3222930.24801*100)</f>
        <v>0.07241680149426422</v>
      </c>
    </row>
    <row r="15" spans="1:7" s="9" customFormat="1" ht="14.25" customHeight="1">
      <c r="A15" s="33" t="s">
        <v>185</v>
      </c>
      <c r="B15" s="43">
        <f>IF(100509.69861="","-",100509.69861)</f>
        <v>100509.69861</v>
      </c>
      <c r="C15" s="43">
        <f>IF(OR(91666.00224="",100509.69861=""),"-",100509.69861/91666.00224*100)</f>
        <v>109.64773869688942</v>
      </c>
      <c r="D15" s="43">
        <f>IF(91666.00224="","-",91666.00224/3222930.24801*100)</f>
        <v>2.844182007866885</v>
      </c>
      <c r="E15" s="43">
        <f>IF(100509.69861="","-",100509.69861/3306313.64307*100)</f>
        <v>3.0399323675981953</v>
      </c>
      <c r="F15" s="43">
        <f>IF(OR(2578273.3802="",62796.15581="",91666.00224=""),"-",(91666.00224-62796.15581)/2578273.3802*100)</f>
        <v>1.1197356592092857</v>
      </c>
      <c r="G15" s="43">
        <f>IF(OR(3222930.24801="",100509.69861="",91666.00224=""),"-",(100509.69861-91666.00224)/3222930.24801*100)</f>
        <v>0.27439924818294004</v>
      </c>
    </row>
    <row r="16" spans="1:7" s="9" customFormat="1" ht="15.75">
      <c r="A16" s="33" t="s">
        <v>25</v>
      </c>
      <c r="B16" s="43">
        <f>IF(8416.29264="","-",8416.29264)</f>
        <v>8416.29264</v>
      </c>
      <c r="C16" s="43">
        <f>IF(OR(8997.83844="",8416.29264=""),"-",8416.29264/8997.83844*100)</f>
        <v>93.53682771836921</v>
      </c>
      <c r="D16" s="43">
        <f>IF(8997.83844="","-",8997.83844/3222930.24801*100)</f>
        <v>0.2791819166907419</v>
      </c>
      <c r="E16" s="43">
        <f>IF(8416.29264="","-",8416.29264/3306313.64307*100)</f>
        <v>0.2545521553177649</v>
      </c>
      <c r="F16" s="43">
        <f>IF(OR(2578273.3802="",21961.65033="",8997.83844=""),"-",(8997.83844-21961.65033)/2578273.3802*100)</f>
        <v>-0.5028098257367254</v>
      </c>
      <c r="G16" s="43">
        <f>IF(OR(3222930.24801="",8416.29264="",8997.83844=""),"-",(8416.29264-8997.83844)/3222930.24801*100)</f>
        <v>-0.01804400825488158</v>
      </c>
    </row>
    <row r="17" spans="1:7" s="9" customFormat="1" ht="25.5">
      <c r="A17" s="33" t="s">
        <v>186</v>
      </c>
      <c r="B17" s="43">
        <f>IF(27700.95624="","-",27700.95624)</f>
        <v>27700.95624</v>
      </c>
      <c r="C17" s="43">
        <f>IF(OR(27618.13293="",27700.95624=""),"-",27700.95624/27618.13293*100)</f>
        <v>100.29988743341167</v>
      </c>
      <c r="D17" s="43">
        <f>IF(27618.13293="","-",27618.13293/3222930.24801*100)</f>
        <v>0.8569261760180142</v>
      </c>
      <c r="E17" s="43">
        <f>IF(27700.95624="","-",27700.95624/3306313.64307*100)</f>
        <v>0.8378199780913382</v>
      </c>
      <c r="F17" s="43">
        <f>IF(OR(2578273.3802="",24243.6927="",27618.13293=""),"-",(27618.13293-24243.6927)/2578273.3802*100)</f>
        <v>0.13087984602075986</v>
      </c>
      <c r="G17" s="43">
        <f>IF(OR(3222930.24801="",27700.95624="",27618.13293=""),"-",(27700.95624-27618.13293)/3222930.24801*100)</f>
        <v>0.0025698139154931776</v>
      </c>
    </row>
    <row r="18" spans="1:7" s="9" customFormat="1" ht="25.5">
      <c r="A18" s="33" t="s">
        <v>26</v>
      </c>
      <c r="B18" s="43">
        <f>IF(19205.18326="","-",19205.18326)</f>
        <v>19205.18326</v>
      </c>
      <c r="C18" s="43">
        <f>IF(OR(21497.2428="",19205.18326=""),"-",19205.18326/21497.2428*100)</f>
        <v>89.33789062474563</v>
      </c>
      <c r="D18" s="43">
        <f>IF(21497.2428="","-",21497.2428/3222930.24801*100)</f>
        <v>0.6670092476644036</v>
      </c>
      <c r="E18" s="43">
        <f>IF(19205.18326="","-",19205.18326/3306313.64307*100)</f>
        <v>0.580863926816316</v>
      </c>
      <c r="F18" s="43">
        <f>IF(OR(2578273.3802="",17420.47066="",21497.2428=""),"-",(21497.2428-17420.47066)/2578273.3802*100)</f>
        <v>0.15812024323362328</v>
      </c>
      <c r="G18" s="43">
        <f>IF(OR(3222930.24801="",19205.18326="",21497.2428=""),"-",(19205.18326-21497.2428)/3222930.24801*100)</f>
        <v>-0.07111725552904012</v>
      </c>
    </row>
    <row r="19" spans="1:7" s="9" customFormat="1" ht="15.75">
      <c r="A19" s="33" t="s">
        <v>187</v>
      </c>
      <c r="B19" s="43">
        <f>IF(40527.23218="","-",40527.23218)</f>
        <v>40527.23218</v>
      </c>
      <c r="C19" s="43">
        <f>IF(OR(38300.36345="",40527.23218=""),"-",40527.23218/38300.36345*100)</f>
        <v>105.81422349400708</v>
      </c>
      <c r="D19" s="43">
        <f>IF(38300.36345="","-",38300.36345/3222930.24801*100)</f>
        <v>1.1883708458676254</v>
      </c>
      <c r="E19" s="43">
        <f>IF(40527.23218="","-",40527.23218/3306313.64307*100)</f>
        <v>1.2257528037288496</v>
      </c>
      <c r="F19" s="43">
        <f>IF(OR(2578273.3802="",37008.93827="",38300.36345=""),"-",(38300.36345-37008.93827)/2578273.3802*100)</f>
        <v>0.050088760560364654</v>
      </c>
      <c r="G19" s="43">
        <f>IF(OR(3222930.24801="",40527.23218="",38300.36345=""),"-",(40527.23218-38300.36345)/3222930.24801*100)</f>
        <v>0.06909453691636619</v>
      </c>
    </row>
    <row r="20" spans="1:7" s="9" customFormat="1" ht="15.75">
      <c r="A20" s="30" t="s">
        <v>188</v>
      </c>
      <c r="B20" s="42">
        <f>IF(70010.44902="","-",70010.44902)</f>
        <v>70010.44902</v>
      </c>
      <c r="C20" s="42">
        <f>IF(61642.31397="","-",70010.44902/61642.31397*100)</f>
        <v>113.57530973621883</v>
      </c>
      <c r="D20" s="42">
        <f>IF(61642.31397="","-",61642.31397/3222930.24801*100)</f>
        <v>1.9126170666604116</v>
      </c>
      <c r="E20" s="42">
        <f>IF(70010.44902="","-",70010.44902/3306313.64307*100)</f>
        <v>2.1174775468365254</v>
      </c>
      <c r="F20" s="42">
        <f>IF(2578273.3802="","-",(61642.31397-60062.82995)/2578273.3802*100)</f>
        <v>0.061261308910441487</v>
      </c>
      <c r="G20" s="42">
        <f>IF(3222930.24801="","-",(70010.44902-61642.31397)/3222930.24801*100)</f>
        <v>0.25964369086693406</v>
      </c>
    </row>
    <row r="21" spans="1:7" s="9" customFormat="1" ht="13.5" customHeight="1">
      <c r="A21" s="33" t="s">
        <v>233</v>
      </c>
      <c r="B21" s="43">
        <f>IF(36344.43191="","-",36344.43191)</f>
        <v>36344.43191</v>
      </c>
      <c r="C21" s="43">
        <f>IF(OR(35015.7330599999="",36344.43191=""),"-",36344.43191/35015.7330599999*100)</f>
        <v>103.79457670562932</v>
      </c>
      <c r="D21" s="43">
        <f>IF(35015.7330599999="","-",35015.7330599999/3222930.24801*100)</f>
        <v>1.0864564345325307</v>
      </c>
      <c r="E21" s="43">
        <f>IF(36344.43191="","-",36344.43191/3306313.64307*100)</f>
        <v>1.0992433215214643</v>
      </c>
      <c r="F21" s="43">
        <f>IF(OR(2578273.3802="",29201.2809="",35015.7330599999=""),"-",(35015.7330599999-29201.2809)/2578273.3802*100)</f>
        <v>0.2255172862836159</v>
      </c>
      <c r="G21" s="43">
        <f>IF(OR(3222930.24801="",36344.43191="",35015.7330599999=""),"-",(36344.43191-35015.7330599999)/3222930.24801*100)</f>
        <v>0.041226422781582325</v>
      </c>
    </row>
    <row r="22" spans="1:7" s="9" customFormat="1" ht="13.5" customHeight="1">
      <c r="A22" s="33" t="s">
        <v>189</v>
      </c>
      <c r="B22" s="43">
        <f>IF(33666.01711="","-",33666.01711)</f>
        <v>33666.01711</v>
      </c>
      <c r="C22" s="43">
        <f>IF(OR(26626.58091="",33666.01711=""),"-",33666.01711/26626.58091*100)</f>
        <v>126.43762721092078</v>
      </c>
      <c r="D22" s="43">
        <f>IF(26626.58091="","-",26626.58091/3222930.24801*100)</f>
        <v>0.8261606321278779</v>
      </c>
      <c r="E22" s="43">
        <f>IF(33666.01711="","-",33666.01711/3306313.64307*100)</f>
        <v>1.0182342253150614</v>
      </c>
      <c r="F22" s="43">
        <f>IF(OR(2578273.3802="",30861.54905="",26626.58091=""),"-",(26626.58091-30861.54905)/2578273.3802*100)</f>
        <v>-0.16425597737317868</v>
      </c>
      <c r="G22" s="43">
        <f>IF(OR(3222930.24801="",33666.01711="",26626.58091=""),"-",(33666.01711-26626.58091)/3222930.24801*100)</f>
        <v>0.21841726808535505</v>
      </c>
    </row>
    <row r="23" spans="1:7" s="9" customFormat="1" ht="25.5">
      <c r="A23" s="30" t="s">
        <v>27</v>
      </c>
      <c r="B23" s="42">
        <f>IF(94222.68443="","-",94222.68443)</f>
        <v>94222.68443</v>
      </c>
      <c r="C23" s="42">
        <f>IF(86115.45101="","-",94222.68443/86115.45101*100)</f>
        <v>109.41437723998979</v>
      </c>
      <c r="D23" s="42">
        <f>IF(86115.45101="","-",86115.45101/3222930.24801*100)</f>
        <v>2.6719613638294537</v>
      </c>
      <c r="E23" s="42">
        <f>IF(94222.68443="","-",94222.68443/3306313.64307*100)</f>
        <v>2.849780589554466</v>
      </c>
      <c r="F23" s="42">
        <f>IF(2578273.3802="","-",(86115.45101-68058.70283)/2578273.3802*100)</f>
        <v>0.7003426525157439</v>
      </c>
      <c r="G23" s="42">
        <f>IF(3222930.24801="","-",(94222.68443-86115.45101)/3222930.24801*100)</f>
        <v>0.2515485224976806</v>
      </c>
    </row>
    <row r="24" spans="1:7" s="9" customFormat="1" ht="15.75">
      <c r="A24" s="33" t="s">
        <v>222</v>
      </c>
      <c r="B24" s="43">
        <f>IF(26687.89334="","-",26687.89334)</f>
        <v>26687.89334</v>
      </c>
      <c r="C24" s="43">
        <f>IF(OR(29932.9851699999="",26687.89334=""),"-",26687.89334/29932.9851699999*100)</f>
        <v>89.15880988291048</v>
      </c>
      <c r="D24" s="43">
        <f>IF(29932.9851699999="","-",29932.9851699999/3222930.24801*100)</f>
        <v>0.9287506358067178</v>
      </c>
      <c r="E24" s="43">
        <f>IF(26687.89334="","-",26687.89334/3306313.64307*100)</f>
        <v>0.8071797240391138</v>
      </c>
      <c r="F24" s="43">
        <f>IF(OR(2578273.3802="",22164.15358="",29932.9851699999=""),"-",(29932.9851699999-22164.15358)/2578273.3802*100)</f>
        <v>0.30131915605463316</v>
      </c>
      <c r="G24" s="43">
        <f>IF(OR(3222930.24801="",26687.89334="",29932.9851699999=""),"-",(26687.89334-29932.9851699999)/3222930.24801*100)</f>
        <v>-0.10068762214148404</v>
      </c>
    </row>
    <row r="25" spans="1:7" s="9" customFormat="1" ht="25.5">
      <c r="A25" s="33" t="s">
        <v>223</v>
      </c>
      <c r="B25" s="43">
        <f>IF(891.32307="","-",891.32307)</f>
        <v>891.32307</v>
      </c>
      <c r="C25" s="43" t="s">
        <v>253</v>
      </c>
      <c r="D25" s="43">
        <f>IF(466.28742="","-",466.28742/3222930.24801*100)</f>
        <v>0.014467809853716486</v>
      </c>
      <c r="E25" s="43">
        <f>IF(891.32307="","-",891.32307/3306313.64307*100)</f>
        <v>0.026958212868528193</v>
      </c>
      <c r="F25" s="43">
        <f>IF(OR(2578273.3802="",353.87724="",466.28742=""),"-",(466.28742-353.87724)/2578273.3802*100)</f>
        <v>0.004359901508632115</v>
      </c>
      <c r="G25" s="43">
        <f>IF(OR(3222930.24801="",891.32307="",466.28742=""),"-",(891.32307-466.28742)/3222930.24801*100)</f>
        <v>0.013187863754185758</v>
      </c>
    </row>
    <row r="26" spans="1:7" s="9" customFormat="1" ht="15.75">
      <c r="A26" s="33" t="s">
        <v>191</v>
      </c>
      <c r="B26" s="43">
        <f>IF(21043.77701="","-",21043.77701)</f>
        <v>21043.77701</v>
      </c>
      <c r="C26" s="43">
        <f>IF(OR(18406.18377="",21043.77701=""),"-",21043.77701/18406.18377*100)</f>
        <v>114.32992994614659</v>
      </c>
      <c r="D26" s="43">
        <f>IF(18406.18377="","-",18406.18377/3222930.24801*100)</f>
        <v>0.5711009036377658</v>
      </c>
      <c r="E26" s="43">
        <f>IF(21043.77701="","-",21043.77701/3306313.64307*100)</f>
        <v>0.636472497220811</v>
      </c>
      <c r="F26" s="43">
        <f>IF(OR(2578273.3802="",17193.94464="",18406.18377=""),"-",(18406.18377-17193.94464)/2578273.3802*100)</f>
        <v>0.04701747841440938</v>
      </c>
      <c r="G26" s="43">
        <f>IF(OR(3222930.24801="",21043.77701="",18406.18377=""),"-",(21043.77701-18406.18377)/3222930.24801*100)</f>
        <v>0.08183835941310194</v>
      </c>
    </row>
    <row r="27" spans="1:7" s="9" customFormat="1" ht="15.75">
      <c r="A27" s="33" t="s">
        <v>234</v>
      </c>
      <c r="B27" s="43">
        <f>IF(253.65824="","-",253.65824)</f>
        <v>253.65824</v>
      </c>
      <c r="C27" s="43">
        <f>IF(OR(280.83201="",253.65824=""),"-",253.65824/280.83201*100)</f>
        <v>90.32383452299472</v>
      </c>
      <c r="D27" s="43">
        <f>IF(280.83201="","-",280.83201/3222930.24801*100)</f>
        <v>0.008713561522884335</v>
      </c>
      <c r="E27" s="43">
        <f>IF(253.65824="","-",253.65824/3306313.64307*100)</f>
        <v>0.007671935193797028</v>
      </c>
      <c r="F27" s="43">
        <f>IF(OR(2578273.3802="",306.76891="",280.83201=""),"-",(280.83201-306.76891)/2578273.3802*100)</f>
        <v>-0.0010059794356635688</v>
      </c>
      <c r="G27" s="43">
        <f>IF(OR(3222930.24801="",253.65824="",280.83201=""),"-",(253.65824-280.83201)/3222930.24801*100)</f>
        <v>-0.0008431386318949495</v>
      </c>
    </row>
    <row r="28" spans="1:7" s="9" customFormat="1" ht="38.25">
      <c r="A28" s="33" t="s">
        <v>224</v>
      </c>
      <c r="B28" s="43">
        <f>IF(4460.87767="","-",4460.87767)</f>
        <v>4460.87767</v>
      </c>
      <c r="C28" s="43">
        <f>IF(OR(4842.72884="",4460.87767=""),"-",4460.87767/4842.72884*100)</f>
        <v>92.11495868102332</v>
      </c>
      <c r="D28" s="43">
        <f>IF(4842.72884="","-",4842.72884/3222930.24801*100)</f>
        <v>0.15025856805278814</v>
      </c>
      <c r="E28" s="43">
        <f>IF(4460.87767="","-",4460.87767/3306313.64307*100)</f>
        <v>0.13491997891216262</v>
      </c>
      <c r="F28" s="43">
        <f>IF(OR(2578273.3802="",4798.14429="",4842.72884=""),"-",(4842.72884-4798.14429)/2578273.3802*100)</f>
        <v>0.0017292405973078425</v>
      </c>
      <c r="G28" s="43">
        <f>IF(OR(3222930.24801="",4460.87767="",4842.72884=""),"-",(4460.87767-4842.72884)/3222930.24801*100)</f>
        <v>-0.011847950176265033</v>
      </c>
    </row>
    <row r="29" spans="1:7" s="9" customFormat="1" ht="38.25">
      <c r="A29" s="33" t="s">
        <v>192</v>
      </c>
      <c r="B29" s="43">
        <f>IF(16931.03092="","-",16931.03092)</f>
        <v>16931.03092</v>
      </c>
      <c r="C29" s="43" t="s">
        <v>104</v>
      </c>
      <c r="D29" s="43">
        <f>IF(8145.77823="","-",8145.77823/3222930.24801*100)</f>
        <v>0.2527444779492083</v>
      </c>
      <c r="E29" s="43">
        <f>IF(16931.03092="","-",16931.03092/3306313.64307*100)</f>
        <v>0.5120818152109455</v>
      </c>
      <c r="F29" s="43">
        <f>IF(OR(2578273.3802="",5436.80313="",8145.77823=""),"-",(8145.77823-5436.80313)/2578273.3802*100)</f>
        <v>0.105069350705931</v>
      </c>
      <c r="G29" s="43">
        <f>IF(OR(3222930.24801="",16931.03092="",8145.77823=""),"-",(16931.03092-8145.77823)/3222930.24801*100)</f>
        <v>0.27258587725950506</v>
      </c>
    </row>
    <row r="30" spans="1:7" s="9" customFormat="1" ht="15.75">
      <c r="A30" s="33" t="s">
        <v>193</v>
      </c>
      <c r="B30" s="43">
        <f>IF(825.50879="","-",825.50879)</f>
        <v>825.50879</v>
      </c>
      <c r="C30" s="43">
        <f>IF(OR(604.02996="",825.50879=""),"-",825.50879/604.02996*100)</f>
        <v>136.66686169010558</v>
      </c>
      <c r="D30" s="43">
        <f>IF(604.02996="","-",604.02996/3222930.24801*100)</f>
        <v>0.018741639238793906</v>
      </c>
      <c r="E30" s="43">
        <f>IF(825.50879="","-",825.50879/3306313.64307*100)</f>
        <v>0.024967649143941863</v>
      </c>
      <c r="F30" s="43">
        <f>IF(OR(2578273.3802="",632.80134="",604.02996=""),"-",(604.02996-632.80134)/2578273.3802*100)</f>
        <v>-0.0011159165750595536</v>
      </c>
      <c r="G30" s="43">
        <f>IF(OR(3222930.24801="",825.50879="",604.02996=""),"-",(825.50879-604.02996)/3222930.24801*100)</f>
        <v>0.006871970938147117</v>
      </c>
    </row>
    <row r="31" spans="1:7" s="9" customFormat="1" ht="25.5">
      <c r="A31" s="33" t="s">
        <v>28</v>
      </c>
      <c r="B31" s="43">
        <f>IF(23128.61539="","-",23128.61539)</f>
        <v>23128.61539</v>
      </c>
      <c r="C31" s="43">
        <f>IF(OR(23397.05263="",23128.61539=""),"-",23128.61539/23397.05263*100)</f>
        <v>98.85268779685606</v>
      </c>
      <c r="D31" s="43">
        <f>IF(23397.05263="","-",23397.05263/3222930.24801*100)</f>
        <v>0.7259559106017426</v>
      </c>
      <c r="E31" s="43">
        <f>IF(23128.61539="","-",23128.61539/3306313.64307*100)</f>
        <v>0.6995287769651661</v>
      </c>
      <c r="F31" s="43">
        <f>IF(OR(2578273.3802="",17145.30883="",23397.05263=""),"-",(23397.05263-17145.30883)/2578273.3802*100)</f>
        <v>0.2424779252662121</v>
      </c>
      <c r="G31" s="43">
        <f>IF(OR(3222930.24801="",23128.61539="",23397.05263=""),"-",(23128.61539-23397.05263)/3222930.24801*100)</f>
        <v>-0.008328980751778478</v>
      </c>
    </row>
    <row r="32" spans="1:7" s="9" customFormat="1" ht="25.5">
      <c r="A32" s="30" t="s">
        <v>194</v>
      </c>
      <c r="B32" s="42">
        <f>IF(519036.39287="","-",519036.39287)</f>
        <v>519036.39287</v>
      </c>
      <c r="C32" s="42">
        <f>IF(519776.52508="","-",519036.39287/519776.52508*100)</f>
        <v>99.8576056873892</v>
      </c>
      <c r="D32" s="42">
        <f>IF(519776.52508="","-",519776.52508/3222930.24801*100)</f>
        <v>16.127451886398607</v>
      </c>
      <c r="E32" s="42">
        <f>IF(519036.39287="","-",519036.39287/3306313.64307*100)</f>
        <v>15.69834108019047</v>
      </c>
      <c r="F32" s="42">
        <f>IF(2578273.3802="","-",(519776.52508-400716.6903)/2578273.3802*100)</f>
        <v>4.617812668521767</v>
      </c>
      <c r="G32" s="42">
        <f>IF(3222930.24801="","-",(519036.39287-519776.52508)/3222930.24801*100)</f>
        <v>-0.0229645742552761</v>
      </c>
    </row>
    <row r="33" spans="1:7" s="9" customFormat="1" ht="15.75">
      <c r="A33" s="33" t="s">
        <v>283</v>
      </c>
      <c r="B33" s="43">
        <f>IF(11720.06564="","-",11720.06564)</f>
        <v>11720.06564</v>
      </c>
      <c r="C33" s="43" t="s">
        <v>146</v>
      </c>
      <c r="D33" s="43">
        <f>IF(7759.79981="","-",7759.79981/3222930.24801*100)</f>
        <v>0.24076846884264072</v>
      </c>
      <c r="E33" s="43">
        <f>IF(11720.06564="","-",11720.06564/3306313.64307*100)</f>
        <v>0.35447531315019487</v>
      </c>
      <c r="F33" s="43">
        <f>IF(OR(2578273.3802="",10815.59361="",7759.79981=""),"-",(7759.79981-10815.59361)/2578273.3802*100)</f>
        <v>-0.11852093821652682</v>
      </c>
      <c r="G33" s="43">
        <f>IF(OR(3222930.24801="",11720.06564="",7759.79981=""),"-",(11720.06564-7759.79981)/3222930.24801*100)</f>
        <v>0.1228778014182984</v>
      </c>
    </row>
    <row r="34" spans="1:7" s="9" customFormat="1" ht="25.5">
      <c r="A34" s="33" t="s">
        <v>195</v>
      </c>
      <c r="B34" s="43">
        <f>IF(315502.65152="","-",315502.65152)</f>
        <v>315502.65152</v>
      </c>
      <c r="C34" s="43">
        <f>IF(OR(335959.68164="",315502.65152=""),"-",315502.65152/335959.68164*100)</f>
        <v>93.91086751239368</v>
      </c>
      <c r="D34" s="43">
        <f>IF(335959.68164="","-",335959.68164/3222930.24801*100)</f>
        <v>10.424044449843073</v>
      </c>
      <c r="E34" s="43">
        <f>IF(315502.65152="","-",315502.65152/3306313.64307*100)</f>
        <v>9.5424295931903</v>
      </c>
      <c r="F34" s="43">
        <f>IF(OR(2578273.3802="",239128.88456="",335959.68164=""),"-",(335959.68164-239128.88456)/2578273.3802*100)</f>
        <v>3.7556450694335886</v>
      </c>
      <c r="G34" s="43">
        <f>IF(OR(3222930.24801="",315502.65152="",335959.68164=""),"-",(315502.65152-335959.68164)/3222930.24801*100)</f>
        <v>-0.6347338771179182</v>
      </c>
    </row>
    <row r="35" spans="1:7" s="9" customFormat="1" ht="25.5">
      <c r="A35" s="33" t="s">
        <v>225</v>
      </c>
      <c r="B35" s="43">
        <f>IF(166984.4385="","-",166984.4385)</f>
        <v>166984.4385</v>
      </c>
      <c r="C35" s="43">
        <f>IF(OR(147469.11923="",166984.4385=""),"-",166984.4385/147469.11923*100)</f>
        <v>113.2334955086854</v>
      </c>
      <c r="D35" s="43">
        <f>IF(147469.11923="","-",147469.11923/3222930.24801*100)</f>
        <v>4.5756224268599945</v>
      </c>
      <c r="E35" s="43">
        <f>IF(166984.4385="","-",166984.4385/3306313.64307*100)</f>
        <v>5.0504718101985775</v>
      </c>
      <c r="F35" s="43">
        <f>IF(OR(2578273.3802="",111357.31508="",147469.11923=""),"-",(147469.11923-111357.31508)/2578273.3802*100)</f>
        <v>1.4006196715725612</v>
      </c>
      <c r="G35" s="43">
        <f>IF(OR(3222930.24801="",166984.4385="",147469.11923=""),"-",(166984.4385-147469.11923)/3222930.24801*100)</f>
        <v>0.6055147883529195</v>
      </c>
    </row>
    <row r="36" spans="1:7" s="9" customFormat="1" ht="15.75">
      <c r="A36" s="33" t="s">
        <v>29</v>
      </c>
      <c r="B36" s="43">
        <f>IF(24829.23721="","-",24829.23721)</f>
        <v>24829.23721</v>
      </c>
      <c r="C36" s="43">
        <f>IF(OR(28587.9244="",24829.23721=""),"-",24829.23721/28587.9244*100)</f>
        <v>86.85218577813225</v>
      </c>
      <c r="D36" s="43">
        <f>IF(28587.9244="","-",28587.9244/3222930.24801*100)</f>
        <v>0.887016540852897</v>
      </c>
      <c r="E36" s="43">
        <f>IF(24829.23721="","-",24829.23721/3306313.64307*100)</f>
        <v>0.7509643636513985</v>
      </c>
      <c r="F36" s="43">
        <f>IF(OR(2578273.3802="",39414.89705="",28587.9244=""),"-",(28587.9244-39414.89705)/2578273.3802*100)</f>
        <v>-0.419931134267854</v>
      </c>
      <c r="G36" s="43">
        <f>IF(OR(3222930.24801="",24829.23721="",28587.9244=""),"-",(24829.23721-28587.9244)/3222930.24801*100)</f>
        <v>-0.11662328690857655</v>
      </c>
    </row>
    <row r="37" spans="1:7" s="9" customFormat="1" ht="25.5">
      <c r="A37" s="30" t="s">
        <v>196</v>
      </c>
      <c r="B37" s="42">
        <f>IF(6348.58227="","-",6348.58227)</f>
        <v>6348.58227</v>
      </c>
      <c r="C37" s="42">
        <f>IF(6591.36035="","-",6348.58227/6591.36035*100)</f>
        <v>96.31672269291118</v>
      </c>
      <c r="D37" s="42">
        <f>IF(6591.36035="","-",6591.36035/3222930.24801*100)</f>
        <v>0.2045145207244196</v>
      </c>
      <c r="E37" s="42">
        <f>IF(6348.58227="","-",6348.58227/3306313.64307*100)</f>
        <v>0.192013915053297</v>
      </c>
      <c r="F37" s="42">
        <f>IF(2578273.3802="","-",(6591.36035-8540.73753)/2578273.3802*100)</f>
        <v>-0.0756078542706276</v>
      </c>
      <c r="G37" s="42">
        <f>IF(3222930.24801="","-",(6348.58227-6591.36035)/3222930.24801*100)</f>
        <v>-0.0075328369315440045</v>
      </c>
    </row>
    <row r="38" spans="1:7" s="9" customFormat="1" ht="15" customHeight="1">
      <c r="A38" s="33" t="s">
        <v>226</v>
      </c>
      <c r="B38" s="43">
        <f>IF(856.10738="","-",856.10738)</f>
        <v>856.10738</v>
      </c>
      <c r="C38" s="43">
        <f>IF(OR(838.24243="",856.10738=""),"-",856.10738/838.24243*100)</f>
        <v>102.13123904978181</v>
      </c>
      <c r="D38" s="43">
        <f>IF(838.24243="","-",838.24243/3222930.24801*100)</f>
        <v>0.02600870529287977</v>
      </c>
      <c r="E38" s="43">
        <f>IF(856.10738="","-",856.10738/3306313.64307*100)</f>
        <v>0.02589310853174478</v>
      </c>
      <c r="F38" s="43">
        <f>IF(OR(2578273.3802="",586.01706="",838.24243=""),"-",(838.24243-586.01706)/2578273.3802*100)</f>
        <v>0.009782724048465122</v>
      </c>
      <c r="G38" s="43">
        <f>IF(OR(3222930.24801="",856.10738="",838.24243=""),"-",(856.10738-838.24243)/3222930.24801*100)</f>
        <v>0.0005543076835445242</v>
      </c>
    </row>
    <row r="39" spans="1:7" s="9" customFormat="1" ht="25.5">
      <c r="A39" s="33" t="s">
        <v>197</v>
      </c>
      <c r="B39" s="43">
        <f>IF(3993.58049="","-",3993.58049)</f>
        <v>3993.58049</v>
      </c>
      <c r="C39" s="43">
        <f>IF(OR(4181.81333="",3993.58049=""),"-",3993.58049/4181.81333*100)</f>
        <v>95.49877469064359</v>
      </c>
      <c r="D39" s="43">
        <f>IF(4181.81333="","-",4181.81333/3222930.24801*100)</f>
        <v>0.1297519030261999</v>
      </c>
      <c r="E39" s="43">
        <f>IF(3993.58049="","-",3993.58049/3306313.64307*100)</f>
        <v>0.12078649883596204</v>
      </c>
      <c r="F39" s="43">
        <f>IF(OR(2578273.3802="",6567.8994="",4181.81333=""),"-",(4181.81333-6567.8994)/2578273.3802*100)</f>
        <v>-0.09254589091770045</v>
      </c>
      <c r="G39" s="43">
        <f>IF(OR(3222930.24801="",3993.58049="",4181.81333=""),"-",(3993.58049-4181.81333)/3222930.24801*100)</f>
        <v>-0.0058404254983868975</v>
      </c>
    </row>
    <row r="40" spans="1:7" s="9" customFormat="1" ht="63.75">
      <c r="A40" s="33" t="s">
        <v>227</v>
      </c>
      <c r="B40" s="43">
        <f>IF(1498.8944="","-",1498.8944)</f>
        <v>1498.8944</v>
      </c>
      <c r="C40" s="43">
        <f>IF(OR(1571.30459="",1498.8944=""),"-",1498.8944/1571.30459*100)</f>
        <v>95.39171523708207</v>
      </c>
      <c r="D40" s="43">
        <f>IF(1571.30459="","-",1571.30459/3222930.24801*100)</f>
        <v>0.04875391240533992</v>
      </c>
      <c r="E40" s="43">
        <f>IF(1498.8944="","-",1498.8944/3306313.64307*100)</f>
        <v>0.045334307685590186</v>
      </c>
      <c r="F40" s="43">
        <f>IF(OR(2578273.3802="",1386.82107="",1571.30459=""),"-",(1571.30459-1386.82107)/2578273.3802*100)</f>
        <v>0.007155312598607731</v>
      </c>
      <c r="G40" s="43">
        <f>IF(OR(3222930.24801="",1498.8944="",1571.30459=""),"-",(1498.8944-1571.30459)/3222930.24801*100)</f>
        <v>-0.002246719116701634</v>
      </c>
    </row>
    <row r="41" spans="1:7" s="9" customFormat="1" ht="25.5">
      <c r="A41" s="30" t="s">
        <v>198</v>
      </c>
      <c r="B41" s="42">
        <f>IF(494730.88258="","-",494730.88258)</f>
        <v>494730.88258</v>
      </c>
      <c r="C41" s="42">
        <f>IF(478468.78656="","-",494730.88258/478468.78656*100)</f>
        <v>103.39877887059635</v>
      </c>
      <c r="D41" s="42">
        <f>IF(478468.78656="","-",478468.78656/3222930.24801*100)</f>
        <v>14.8457692143797</v>
      </c>
      <c r="E41" s="42">
        <f>IF(494730.88258="","-",494730.88258/3306313.64307*100)</f>
        <v>14.963216923383868</v>
      </c>
      <c r="F41" s="42">
        <f>IF(2578273.3802="","-",(478468.78656-418456.17156)/2578273.3802*100)</f>
        <v>2.327628073146562</v>
      </c>
      <c r="G41" s="42">
        <f>IF(3222930.24801="","-",(494730.88258-478468.78656)/3222930.24801*100)</f>
        <v>0.5045748672358341</v>
      </c>
    </row>
    <row r="42" spans="1:7" s="9" customFormat="1" ht="14.25" customHeight="1">
      <c r="A42" s="33" t="s">
        <v>30</v>
      </c>
      <c r="B42" s="43">
        <f>IF(12467.08583="","-",12467.08583)</f>
        <v>12467.08583</v>
      </c>
      <c r="C42" s="43">
        <f>IF(OR(12821.15006="",12467.08583=""),"-",12467.08583/12821.15006*100)</f>
        <v>97.23843626864156</v>
      </c>
      <c r="D42" s="43">
        <f>IF(12821.15006="","-",12821.15006/3222930.24801*100)</f>
        <v>0.39781034876309923</v>
      </c>
      <c r="E42" s="43">
        <f>IF(12467.08583="","-",12467.08583/3306313.64307*100)</f>
        <v>0.3770690616763139</v>
      </c>
      <c r="F42" s="43">
        <f>IF(OR(2578273.3802="",10922.48607="",12821.15006=""),"-",(12821.15006-10922.48607)/2578273.3802*100)</f>
        <v>0.07364091040852763</v>
      </c>
      <c r="G42" s="43">
        <f>IF(OR(3222930.24801="",12467.08583="",12821.15006=""),"-",(12467.08583-12821.15006)/3222930.24801*100)</f>
        <v>-0.010985786311032237</v>
      </c>
    </row>
    <row r="43" spans="1:7" s="9" customFormat="1" ht="15" customHeight="1">
      <c r="A43" s="33" t="s">
        <v>31</v>
      </c>
      <c r="B43" s="43">
        <f>IF(9558.298="","-",9558.298)</f>
        <v>9558.298</v>
      </c>
      <c r="C43" s="43">
        <f>IF(OR(8373.90761="",9558.298=""),"-",9558.298/8373.90761*100)</f>
        <v>114.14381964980865</v>
      </c>
      <c r="D43" s="43">
        <f>IF(8373.90761="","-",8373.90761/3222930.24801*100)</f>
        <v>0.2598227999247105</v>
      </c>
      <c r="E43" s="43">
        <f>IF(9558.298="","-",9558.298/3306313.64307*100)</f>
        <v>0.2890922952828173</v>
      </c>
      <c r="F43" s="43">
        <f>IF(OR(2578273.3802="",6321.61891="",8373.90761=""),"-",(8373.90761-6321.61891)/2578273.3802*100)</f>
        <v>0.07959934410992528</v>
      </c>
      <c r="G43" s="43">
        <f>IF(OR(3222930.24801="",9558.298="",8373.90761=""),"-",(9558.298-8373.90761)/3222930.24801*100)</f>
        <v>0.036748868230434176</v>
      </c>
    </row>
    <row r="44" spans="1:7" s="9" customFormat="1" ht="15.75">
      <c r="A44" s="33" t="s">
        <v>199</v>
      </c>
      <c r="B44" s="43">
        <f>IF(21447.16796="","-",21447.16796)</f>
        <v>21447.16796</v>
      </c>
      <c r="C44" s="43">
        <f>IF(OR(20792.01276="",21447.16796=""),"-",21447.16796/20792.01276*100)</f>
        <v>103.1509946033719</v>
      </c>
      <c r="D44" s="43">
        <f>IF(20792.01276="","-",20792.01276/3222930.24801*100)</f>
        <v>0.6451276062470802</v>
      </c>
      <c r="E44" s="43">
        <f>IF(21447.16796="","-",21447.16796/3306313.64307*100)</f>
        <v>0.648673122858536</v>
      </c>
      <c r="F44" s="43">
        <f>IF(OR(2578273.3802="",17530.30211="",20792.01276=""),"-",(20792.01276-17530.30211)/2578273.3802*100)</f>
        <v>0.12650755637662386</v>
      </c>
      <c r="G44" s="43">
        <f>IF(OR(3222930.24801="",21447.16796="",20792.01276=""),"-",(21447.16796-20792.01276)/3222930.24801*100)</f>
        <v>0.020327936057707836</v>
      </c>
    </row>
    <row r="45" spans="1:7" s="9" customFormat="1" ht="15.75">
      <c r="A45" s="33" t="s">
        <v>200</v>
      </c>
      <c r="B45" s="43">
        <f>IF(147343.17701="","-",147343.17701)</f>
        <v>147343.17701</v>
      </c>
      <c r="C45" s="43">
        <f>IF(OR(133121.43797="",147343.17701=""),"-",147343.17701/133121.43797*100)</f>
        <v>110.68328231490783</v>
      </c>
      <c r="D45" s="43">
        <f>IF(133121.43797="","-",133121.43797/3222930.24801*100)</f>
        <v>4.130447379436644</v>
      </c>
      <c r="E45" s="43">
        <f>IF(147343.17701="","-",147343.17701/3306313.64307*100)</f>
        <v>4.45641862558411</v>
      </c>
      <c r="F45" s="43">
        <f>IF(OR(2578273.3802="",124577.06547="",133121.43797=""),"-",(133121.43797-124577.06547)/2578273.3802*100)</f>
        <v>0.33139901166482194</v>
      </c>
      <c r="G45" s="43">
        <f>IF(OR(3222930.24801="",147343.17701="",133121.43797=""),"-",(147343.17701-133121.43797)/3222930.24801*100)</f>
        <v>0.44126735441392917</v>
      </c>
    </row>
    <row r="46" spans="1:7" s="9" customFormat="1" ht="38.25">
      <c r="A46" s="33" t="s">
        <v>201</v>
      </c>
      <c r="B46" s="43">
        <f>IF(63023.62133="","-",63023.62133)</f>
        <v>63023.62133</v>
      </c>
      <c r="C46" s="43">
        <f>IF(OR(63827.04687="",63023.62133=""),"-",63023.62133/63827.04687*100)</f>
        <v>98.74124594603856</v>
      </c>
      <c r="D46" s="43">
        <f>IF(63827.04687="","-",63827.04687/3222930.24801*100)</f>
        <v>1.980404227159742</v>
      </c>
      <c r="E46" s="43">
        <f>IF(63023.62133="","-",63023.62133/3306313.64307*100)</f>
        <v>1.9061597940684447</v>
      </c>
      <c r="F46" s="43">
        <f>IF(OR(2578273.3802="",62210.35772="",63827.04687=""),"-",(63827.04687-62210.35772)/2578273.3802*100)</f>
        <v>0.06270433393198163</v>
      </c>
      <c r="G46" s="43">
        <f>IF(OR(3222930.24801="",63023.62133="",63827.04687=""),"-",(63023.62133-63827.04687)/3222930.24801*100)</f>
        <v>-0.024928418494197076</v>
      </c>
    </row>
    <row r="47" spans="1:7" s="9" customFormat="1" ht="14.25" customHeight="1">
      <c r="A47" s="33" t="s">
        <v>202</v>
      </c>
      <c r="B47" s="43">
        <f>IF(53513.85421="","-",53513.85421)</f>
        <v>53513.85421</v>
      </c>
      <c r="C47" s="43">
        <f>IF(OR(49239.86471="",53513.85421=""),"-",53513.85421/49239.86471*100)</f>
        <v>108.67993753673333</v>
      </c>
      <c r="D47" s="43">
        <f>IF(49239.86471="","-",49239.86471/3222930.24801*100)</f>
        <v>1.5277980260479784</v>
      </c>
      <c r="E47" s="43">
        <f>IF(53513.85421="","-",53513.85421/3306313.64307*100)</f>
        <v>1.6185353232342155</v>
      </c>
      <c r="F47" s="43">
        <f>IF(OR(2578273.3802="",37437.47928="",49239.86471=""),"-",(49239.86471-37437.47928)/2578273.3802*100)</f>
        <v>0.4577631495805335</v>
      </c>
      <c r="G47" s="43">
        <f>IF(OR(3222930.24801="",53513.85421="",49239.86471=""),"-",(53513.85421-49239.86471)/3222930.24801*100)</f>
        <v>0.13261191434840927</v>
      </c>
    </row>
    <row r="48" spans="1:7" s="9" customFormat="1" ht="13.5" customHeight="1">
      <c r="A48" s="33" t="s">
        <v>32</v>
      </c>
      <c r="B48" s="43">
        <f>IF(30730.80586="","-",30730.80586)</f>
        <v>30730.80586</v>
      </c>
      <c r="C48" s="43">
        <f>IF(OR(32489.31806="",30730.80586=""),"-",30730.80586/32489.31806*100)</f>
        <v>94.58741424873108</v>
      </c>
      <c r="D48" s="43">
        <f>IF(32489.31806="","-",32489.31806/3222930.24801*100)</f>
        <v>1.0080676763035918</v>
      </c>
      <c r="E48" s="43">
        <f>IF(30730.80586="","-",30730.80586/3306313.64307*100)</f>
        <v>0.9294582782371981</v>
      </c>
      <c r="F48" s="43">
        <f>IF(OR(2578273.3802="",28623.19875="",32489.31806=""),"-",(32489.31806-28623.19875)/2578273.3802*100)</f>
        <v>0.14994993702724038</v>
      </c>
      <c r="G48" s="43">
        <f>IF(OR(3222930.24801="",30730.80586="",32489.31806=""),"-",(30730.80586-32489.31806)/3222930.24801*100)</f>
        <v>-0.05456252741075594</v>
      </c>
    </row>
    <row r="49" spans="1:7" s="9" customFormat="1" ht="15.75">
      <c r="A49" s="33" t="s">
        <v>33</v>
      </c>
      <c r="B49" s="43">
        <f>IF(64440.05614="","-",64440.05614)</f>
        <v>64440.05614</v>
      </c>
      <c r="C49" s="43">
        <f>IF(OR(62193.00616="",64440.05614=""),"-",64440.05614/62193.00616*100)</f>
        <v>103.61302679953943</v>
      </c>
      <c r="D49" s="43">
        <f>IF(62193.00616="","-",62193.00616/3222930.24801*100)</f>
        <v>1.929703759440686</v>
      </c>
      <c r="E49" s="43">
        <f>IF(64440.05614="","-",64440.05614/3306313.64307*100)</f>
        <v>1.9490000978904618</v>
      </c>
      <c r="F49" s="43">
        <f>IF(OR(2578273.3802="",52554.34622="",62193.00616=""),"-",(62193.00616-52554.34622)/2578273.3802*100)</f>
        <v>0.37384165752245846</v>
      </c>
      <c r="G49" s="43">
        <f>IF(OR(3222930.24801="",64440.05614="",62193.00616=""),"-",(64440.05614-62193.00616)/3222930.24801*100)</f>
        <v>0.06972071398031172</v>
      </c>
    </row>
    <row r="50" spans="1:7" s="9" customFormat="1" ht="15.75">
      <c r="A50" s="33" t="s">
        <v>203</v>
      </c>
      <c r="B50" s="43">
        <f>IF(92206.81624="","-",92206.81624)</f>
        <v>92206.81624</v>
      </c>
      <c r="C50" s="43">
        <f>IF(OR(95611.04236="",92206.81624=""),"-",92206.81624/95611.04236*100)</f>
        <v>96.43950527473362</v>
      </c>
      <c r="D50" s="43">
        <f>IF(95611.04236="","-",95611.04236/3222930.24801*100)</f>
        <v>2.9665873910561698</v>
      </c>
      <c r="E50" s="43">
        <f>IF(92206.81624="","-",92206.81624/3306313.64307*100)</f>
        <v>2.7888103245517724</v>
      </c>
      <c r="F50" s="43">
        <f>IF(OR(2578273.3802="",78279.31703="",95611.04236=""),"-",(95611.04236-78279.31703)/2578273.3802*100)</f>
        <v>0.6722221725244495</v>
      </c>
      <c r="G50" s="43">
        <f>IF(OR(3222930.24801="",92206.81624="",95611.04236=""),"-",(92206.81624-95611.04236)/3222930.24801*100)</f>
        <v>-0.1056251875789725</v>
      </c>
    </row>
    <row r="51" spans="1:7" s="9" customFormat="1" ht="25.5">
      <c r="A51" s="30" t="s">
        <v>34</v>
      </c>
      <c r="B51" s="42">
        <f>IF(635714.98569="","-",635714.98569)</f>
        <v>635714.98569</v>
      </c>
      <c r="C51" s="42">
        <f>IF(650414.63442="","-",635714.98569/650414.63442*100)</f>
        <v>97.73995725924766</v>
      </c>
      <c r="D51" s="42">
        <f>IF(650414.63442="","-",650414.63442/3222930.24801*100)</f>
        <v>20.180847377060015</v>
      </c>
      <c r="E51" s="42">
        <f>IF(635714.98569="","-",635714.98569/3306313.64307*100)</f>
        <v>19.227304312839532</v>
      </c>
      <c r="F51" s="42">
        <f>IF(2578273.3802="","-",(650414.63442-519176.05906)/2578273.3802*100)</f>
        <v>5.090172995922553</v>
      </c>
      <c r="G51" s="42">
        <f>IF(3222930.24801="","-",(635714.98569-650414.63442)/3222930.24801*100)</f>
        <v>-0.45609577616755187</v>
      </c>
    </row>
    <row r="52" spans="1:7" s="9" customFormat="1" ht="15" customHeight="1">
      <c r="A52" s="33" t="s">
        <v>204</v>
      </c>
      <c r="B52" s="43">
        <f>IF(30787.07083="","-",30787.07083)</f>
        <v>30787.07083</v>
      </c>
      <c r="C52" s="43">
        <f>IF(OR(34913.29831="",30787.07083=""),"-",30787.07083/34913.29831*100)</f>
        <v>88.1815019498798</v>
      </c>
      <c r="D52" s="43">
        <f>IF(34913.29831="","-",34913.29831/3222930.24801*100)</f>
        <v>1.0832781234268793</v>
      </c>
      <c r="E52" s="43">
        <f>IF(30787.07083="","-",30787.07083/3306313.64307*100)</f>
        <v>0.93116002151004</v>
      </c>
      <c r="F52" s="43">
        <f>IF(OR(2578273.3802="",23129.13266="",34913.29831=""),"-",(34913.29831-23129.13266)/2578273.3802*100)</f>
        <v>0.4570564836334728</v>
      </c>
      <c r="G52" s="43">
        <f>IF(OR(3222930.24801="",30787.07083="",34913.29831=""),"-",(30787.07083-34913.29831)/3222930.24801*100)</f>
        <v>-0.1280272038945844</v>
      </c>
    </row>
    <row r="53" spans="1:7" s="9" customFormat="1" ht="15.75">
      <c r="A53" s="33" t="s">
        <v>35</v>
      </c>
      <c r="B53" s="43">
        <f>IF(34276.8862="","-",34276.8862)</f>
        <v>34276.8862</v>
      </c>
      <c r="C53" s="43">
        <f>IF(OR(35829.92545="",34276.8862=""),"-",34276.8862/35829.92545*100)</f>
        <v>95.66552475201982</v>
      </c>
      <c r="D53" s="43">
        <f>IF(35829.92545="","-",35829.92545/3222930.24801*100)</f>
        <v>1.1117189232414573</v>
      </c>
      <c r="E53" s="43">
        <f>IF(34276.8862="","-",34276.8862/3306313.64307*100)</f>
        <v>1.0367100614257818</v>
      </c>
      <c r="F53" s="43">
        <f>IF(OR(2578273.3802="",28072.33514="",35829.92545=""),"-",(35829.92545-28072.33514)/2578273.3802*100)</f>
        <v>0.3008831557419344</v>
      </c>
      <c r="G53" s="43">
        <f>IF(OR(3222930.24801="",34276.8862="",35829.92545=""),"-",(34276.8862-35829.92545)/3222930.24801*100)</f>
        <v>-0.048187181555012754</v>
      </c>
    </row>
    <row r="54" spans="1:7" s="9" customFormat="1" ht="15.75">
      <c r="A54" s="33" t="s">
        <v>36</v>
      </c>
      <c r="B54" s="43">
        <f>IF(49431.01215="","-",49431.01215)</f>
        <v>49431.01215</v>
      </c>
      <c r="C54" s="43">
        <f>IF(OR(45176.87657="",49431.01215=""),"-",49431.01215/45176.87657*100)</f>
        <v>109.41662173879676</v>
      </c>
      <c r="D54" s="43">
        <f>IF(45176.87657="","-",45176.87657/3222930.24801*100)</f>
        <v>1.4017329912086829</v>
      </c>
      <c r="E54" s="43">
        <f>IF(49431.01215="","-",49431.01215/3306313.64307*100)</f>
        <v>1.495049093530703</v>
      </c>
      <c r="F54" s="43">
        <f>IF(OR(2578273.3802="",33656.74964="",45176.87657=""),"-",(45176.87657-33656.74964)/2578273.3802*100)</f>
        <v>0.4468155711674907</v>
      </c>
      <c r="G54" s="43">
        <f>IF(OR(3222930.24801="",49431.01215="",45176.87657=""),"-",(49431.01215-45176.87657)/3222930.24801*100)</f>
        <v>0.13199589357004296</v>
      </c>
    </row>
    <row r="55" spans="1:7" s="9" customFormat="1" ht="25.5">
      <c r="A55" s="33" t="s">
        <v>205</v>
      </c>
      <c r="B55" s="43">
        <f>IF(59138.49372="","-",59138.49372)</f>
        <v>59138.49372</v>
      </c>
      <c r="C55" s="43">
        <f>IF(OR(56339.64007="",59138.49372=""),"-",59138.49372/56339.64007*100)</f>
        <v>104.96782309315877</v>
      </c>
      <c r="D55" s="43">
        <f>IF(56339.64007="","-",56339.64007/3222930.24801*100)</f>
        <v>1.748087477375191</v>
      </c>
      <c r="E55" s="43">
        <f>IF(59138.49372="","-",59138.49372/3306313.64307*100)</f>
        <v>1.7886534704278187</v>
      </c>
      <c r="F55" s="43">
        <f>IF(OR(2578273.3802="",46893.08558="",56339.64007=""),"-",(56339.64007-46893.08558)/2578273.3802*100)</f>
        <v>0.36639072344094176</v>
      </c>
      <c r="G55" s="43">
        <f>IF(OR(3222930.24801="",59138.49372="",56339.64007=""),"-",(59138.49372-56339.64007)/3222930.24801*100)</f>
        <v>0.0868418933896615</v>
      </c>
    </row>
    <row r="56" spans="1:7" s="9" customFormat="1" ht="25.5">
      <c r="A56" s="33" t="s">
        <v>206</v>
      </c>
      <c r="B56" s="43">
        <f>IF(160691.77523="","-",160691.77523)</f>
        <v>160691.77523</v>
      </c>
      <c r="C56" s="43">
        <f>IF(OR(177575.67687="",160691.77523=""),"-",160691.77523/177575.67687*100)</f>
        <v>90.49199646167735</v>
      </c>
      <c r="D56" s="43">
        <f>IF(177575.67687="","-",177575.67687/3222930.24801*100)</f>
        <v>5.50975861111621</v>
      </c>
      <c r="E56" s="43">
        <f>IF(160691.77523="","-",160691.77523/3306313.64307*100)</f>
        <v>4.860149174498563</v>
      </c>
      <c r="F56" s="43">
        <f>IF(OR(2578273.3802="",155133.387="",177575.67687=""),"-",(177575.67687-155133.387)/2578273.3802*100)</f>
        <v>0.8704387223770325</v>
      </c>
      <c r="G56" s="43">
        <f>IF(OR(3222930.24801="",160691.77523="",177575.67687=""),"-",(160691.77523-177575.67687)/3222930.24801*100)</f>
        <v>-0.5238680436979661</v>
      </c>
    </row>
    <row r="57" spans="1:7" s="9" customFormat="1" ht="14.25" customHeight="1">
      <c r="A57" s="33" t="s">
        <v>37</v>
      </c>
      <c r="B57" s="43">
        <f>IF(72786.57303="","-",72786.57303)</f>
        <v>72786.57303</v>
      </c>
      <c r="C57" s="43">
        <f>IF(OR(68384.29799="",72786.57303=""),"-",72786.57303/68384.29799*100)</f>
        <v>106.43755243439618</v>
      </c>
      <c r="D57" s="43">
        <f>IF(68384.29799="","-",68384.29799/3222930.24801*100)</f>
        <v>2.1218050881561563</v>
      </c>
      <c r="E57" s="43">
        <f>IF(72786.57303="","-",72786.57303/3306313.64307*100)</f>
        <v>2.2014418741718567</v>
      </c>
      <c r="F57" s="43">
        <f>IF(OR(2578273.3802="",63185.51597="",68384.29799=""),"-",(68384.29799-63185.51597)/2578273.3802*100)</f>
        <v>0.20163812185024108</v>
      </c>
      <c r="G57" s="43">
        <f>IF(OR(3222930.24801="",72786.57303="",68384.29799=""),"-",(72786.57303-68384.29799)/3222930.24801*100)</f>
        <v>0.13659231510573894</v>
      </c>
    </row>
    <row r="58" spans="1:7" s="9" customFormat="1" ht="14.25" customHeight="1">
      <c r="A58" s="33" t="s">
        <v>207</v>
      </c>
      <c r="B58" s="43">
        <f>IF(75274.15011="","-",75274.15011)</f>
        <v>75274.15011</v>
      </c>
      <c r="C58" s="43">
        <f>IF(OR(77226.7179="",75274.15011=""),"-",75274.15011/77226.7179*100)</f>
        <v>97.47164214264762</v>
      </c>
      <c r="D58" s="43">
        <f>IF(77226.7179="","-",77226.7179/3222930.24801*100)</f>
        <v>2.396164730765851</v>
      </c>
      <c r="E58" s="43">
        <f>IF(75274.15011="","-",75274.15011/3306313.64307*100)</f>
        <v>2.276679052145396</v>
      </c>
      <c r="F58" s="43">
        <f>IF(OR(2578273.3802="",54774.14088="",77226.7179=""),"-",(77226.7179-54774.14088)/2578273.3802*100)</f>
        <v>0.8708377161408046</v>
      </c>
      <c r="G58" s="43">
        <f>IF(OR(3222930.24801="",75274.15011="",77226.7179=""),"-",(75274.15011-77226.7179)/3222930.24801*100)</f>
        <v>-0.06058361924542471</v>
      </c>
    </row>
    <row r="59" spans="1:7" s="9" customFormat="1" ht="15" customHeight="1">
      <c r="A59" s="33" t="s">
        <v>38</v>
      </c>
      <c r="B59" s="43">
        <f>IF(55655.42057="","-",55655.42057)</f>
        <v>55655.42057</v>
      </c>
      <c r="C59" s="43">
        <f>IF(OR(61134.48539="",55655.42057=""),"-",55655.42057/61134.48539*100)</f>
        <v>91.03768554679577</v>
      </c>
      <c r="D59" s="43">
        <f>IF(61134.48539="","-",61134.48539/3222930.24801*100)</f>
        <v>1.896860331611195</v>
      </c>
      <c r="E59" s="43">
        <f>IF(55655.42057="","-",55655.42057/3306313.64307*100)</f>
        <v>1.6833073500650246</v>
      </c>
      <c r="F59" s="43">
        <f>IF(OR(2578273.3802="",42692.08321="",61134.48539=""),"-",(61134.48539-42692.08321)/2578273.3802*100)</f>
        <v>0.7153004922452949</v>
      </c>
      <c r="G59" s="43">
        <f>IF(OR(3222930.24801="",55655.42057="",61134.48539=""),"-",(55655.42057-61134.48539)/3222930.24801*100)</f>
        <v>-0.17000258765708787</v>
      </c>
    </row>
    <row r="60" spans="1:7" s="9" customFormat="1" ht="15.75">
      <c r="A60" s="33" t="s">
        <v>39</v>
      </c>
      <c r="B60" s="43">
        <f>IF(97673.60385="","-",97673.60385)</f>
        <v>97673.60385</v>
      </c>
      <c r="C60" s="43">
        <f>IF(OR(93833.71587="",97673.60385=""),"-",97673.60385/93833.71587*100)</f>
        <v>104.09222627964547</v>
      </c>
      <c r="D60" s="43">
        <f>IF(93833.71587="","-",93833.71587/3222930.24801*100)</f>
        <v>2.911441100158394</v>
      </c>
      <c r="E60" s="43">
        <f>IF(97673.60385="","-",97673.60385/3306313.64307*100)</f>
        <v>2.9541542150643476</v>
      </c>
      <c r="F60" s="43">
        <f>IF(OR(2578273.3802="",71639.62898="",93833.71587=""),"-",(93833.71587-71639.62898)/2578273.3802*100)</f>
        <v>0.8608120093253409</v>
      </c>
      <c r="G60" s="43">
        <f>IF(OR(3222930.24801="",97673.60385="",93833.71587=""),"-",(97673.60385-93833.71587)/3222930.24801*100)</f>
        <v>0.1191427578170809</v>
      </c>
    </row>
    <row r="61" spans="1:7" s="9" customFormat="1" ht="15" customHeight="1">
      <c r="A61" s="30" t="s">
        <v>208</v>
      </c>
      <c r="B61" s="42">
        <f>IF(795421.7073="","-",795421.7073)</f>
        <v>795421.7073</v>
      </c>
      <c r="C61" s="42">
        <f>IF(774581.62705="","-",795421.7073/774581.62705*100)</f>
        <v>102.69049503915677</v>
      </c>
      <c r="D61" s="42">
        <f>IF(774581.62705="","-",774581.62705/3222930.24801*100)</f>
        <v>24.03345922637531</v>
      </c>
      <c r="E61" s="42">
        <f>IF(795421.7073="","-",795421.7073/3306313.64307*100)</f>
        <v>24.0576603785668</v>
      </c>
      <c r="F61" s="42">
        <f>IF(2578273.3802="","-",(774581.62705-553336.25766)/2578273.3802*100)</f>
        <v>8.581144695091943</v>
      </c>
      <c r="G61" s="42">
        <f>IF(3222930.24801="","-",(795421.7073-774581.62705)/3222930.24801*100)</f>
        <v>0.6466190282233913</v>
      </c>
    </row>
    <row r="62" spans="1:7" s="9" customFormat="1" ht="25.5">
      <c r="A62" s="33" t="s">
        <v>209</v>
      </c>
      <c r="B62" s="43">
        <f>IF(11353.69794="","-",11353.69794)</f>
        <v>11353.69794</v>
      </c>
      <c r="C62" s="43">
        <f>IF(OR(15605.74005="",11353.69794=""),"-",11353.69794/15605.74005*100)</f>
        <v>72.75334526669883</v>
      </c>
      <c r="D62" s="43">
        <f>IF(15605.74005="","-",15605.74005/3222930.24801*100)</f>
        <v>0.48420967408884424</v>
      </c>
      <c r="E62" s="43">
        <f>IF(11353.69794="","-",11353.69794/3306313.64307*100)</f>
        <v>0.34339446179878413</v>
      </c>
      <c r="F62" s="43">
        <f>IF(OR(2578273.3802="",8807.49106="",15605.74005=""),"-",(15605.74005-8807.49106)/2578273.3802*100)</f>
        <v>0.26367448239614727</v>
      </c>
      <c r="G62" s="43">
        <f>IF(OR(3222930.24801="",11353.69794="",15605.74005=""),"-",(11353.69794-15605.74005)/3222930.24801*100)</f>
        <v>-0.1319309380842302</v>
      </c>
    </row>
    <row r="63" spans="1:7" s="9" customFormat="1" ht="25.5">
      <c r="A63" s="33" t="s">
        <v>228</v>
      </c>
      <c r="B63" s="43">
        <f>IF(119585.54521="","-",119585.54521)</f>
        <v>119585.54521</v>
      </c>
      <c r="C63" s="43">
        <f>IF(OR(130657.88828="",119585.54521=""),"-",119585.54521/130657.88828*100)</f>
        <v>91.52569874214409</v>
      </c>
      <c r="D63" s="43">
        <f>IF(130657.88828="","-",130657.88828/3222930.24801*100)</f>
        <v>4.054009184985458</v>
      </c>
      <c r="E63" s="43">
        <f>IF(119585.54521="","-",119585.54521/3306313.64307*100)</f>
        <v>3.61688448585784</v>
      </c>
      <c r="F63" s="43">
        <f>IF(OR(2578273.3802="",86353.03453="",130657.88828=""),"-",(130657.88828-86353.03453)/2578273.3802*100)</f>
        <v>1.7183923974176551</v>
      </c>
      <c r="G63" s="43">
        <f>IF(OR(3222930.24801="",119585.54521="",130657.88828=""),"-",(119585.54521-130657.88828)/3222930.24801*100)</f>
        <v>-0.3435489513568165</v>
      </c>
    </row>
    <row r="64" spans="1:7" s="9" customFormat="1" ht="25.5">
      <c r="A64" s="33" t="s">
        <v>210</v>
      </c>
      <c r="B64" s="43">
        <f>IF(6273.21266="","-",6273.21266)</f>
        <v>6273.21266</v>
      </c>
      <c r="C64" s="43">
        <f>IF(OR(7685.22424="",6273.21266=""),"-",6273.21266/7685.22424*100)</f>
        <v>81.62693064112857</v>
      </c>
      <c r="D64" s="43">
        <f>IF(7685.22424="","-",7685.22424/3222930.24801*100)</f>
        <v>0.2384545630407374</v>
      </c>
      <c r="E64" s="43">
        <f>IF(6273.21266="","-",6273.21266/3306313.64307*100)</f>
        <v>0.1897343488010761</v>
      </c>
      <c r="F64" s="43">
        <f>IF(OR(2578273.3802="",5513.85108="",7685.22424=""),"-",(7685.22424-5513.85108)/2578273.3802*100)</f>
        <v>0.08421811188352582</v>
      </c>
      <c r="G64" s="43">
        <f>IF(OR(3222930.24801="",6273.21266="",7685.22424=""),"-",(6273.21266-7685.22424)/3222930.24801*100)</f>
        <v>-0.043811422256868474</v>
      </c>
    </row>
    <row r="65" spans="1:7" s="9" customFormat="1" ht="38.25">
      <c r="A65" s="33" t="s">
        <v>211</v>
      </c>
      <c r="B65" s="43">
        <f>IF(111277.39935="","-",111277.39935)</f>
        <v>111277.39935</v>
      </c>
      <c r="C65" s="43">
        <f>IF(OR(100874.91985="",111277.39935=""),"-",111277.39935/100874.91985*100)</f>
        <v>110.31225552939064</v>
      </c>
      <c r="D65" s="43">
        <f>IF(100874.91985="","-",100874.91985/3222930.24801*100)</f>
        <v>3.1299132183293534</v>
      </c>
      <c r="E65" s="43">
        <f>IF(111277.39935="","-",111277.39935/3306313.64307*100)</f>
        <v>3.36560324769056</v>
      </c>
      <c r="F65" s="43">
        <f>IF(OR(2578273.3802="",81008.6451="",100874.91985=""),"-",(100874.91985-81008.6451)/2578273.3802*100)</f>
        <v>0.7705263104589382</v>
      </c>
      <c r="G65" s="43">
        <f>IF(OR(3222930.24801="",111277.39935="",100874.91985=""),"-",(111277.39935-100874.91985)/3222930.24801*100)</f>
        <v>0.3227646489222973</v>
      </c>
    </row>
    <row r="66" spans="1:7" s="9" customFormat="1" ht="25.5">
      <c r="A66" s="33" t="s">
        <v>212</v>
      </c>
      <c r="B66" s="43">
        <f>IF(25344.53267="","-",25344.53267)</f>
        <v>25344.53267</v>
      </c>
      <c r="C66" s="43">
        <f>IF(OR(29837.81718="",25344.53267=""),"-",25344.53267/29837.81718*100)</f>
        <v>84.94097445904386</v>
      </c>
      <c r="D66" s="43">
        <f>IF(29837.81718="","-",29837.81718/3222930.24801*100)</f>
        <v>0.9257977952958607</v>
      </c>
      <c r="E66" s="43">
        <f>IF(25344.53267="","-",25344.53267/3306313.64307*100)</f>
        <v>0.7665495596015788</v>
      </c>
      <c r="F66" s="43">
        <f>IF(OR(2578273.3802="",21495.98719="",29837.81718=""),"-",(29837.81718-21495.98719)/2578273.3802*100)</f>
        <v>0.3235432694632604</v>
      </c>
      <c r="G66" s="43">
        <f>IF(OR(3222930.24801="",25344.53267="",29837.81718=""),"-",(25344.53267-29837.81718)/3222930.24801*100)</f>
        <v>-0.13941612645121249</v>
      </c>
    </row>
    <row r="67" spans="1:7" s="9" customFormat="1" ht="38.25">
      <c r="A67" s="33" t="s">
        <v>213</v>
      </c>
      <c r="B67" s="43">
        <f>IF(84110.2172="","-",84110.2172)</f>
        <v>84110.2172</v>
      </c>
      <c r="C67" s="43">
        <f>IF(OR(76639.2028="",84110.2172=""),"-",84110.2172/76639.2028*100)</f>
        <v>109.74829346737411</v>
      </c>
      <c r="D67" s="43">
        <f>IF(76639.2028="","-",76639.2028/3222930.24801*100)</f>
        <v>2.3779355090703844</v>
      </c>
      <c r="E67" s="43">
        <f>IF(84110.2172="","-",84110.2172/3306313.64307*100)</f>
        <v>2.543927354753357</v>
      </c>
      <c r="F67" s="43">
        <f>IF(OR(2578273.3802="",51765.83807="",76639.2028=""),"-",(76639.2028-51765.83807)/2578273.3802*100)</f>
        <v>0.9647295326017966</v>
      </c>
      <c r="G67" s="43">
        <f>IF(OR(3222930.24801="",84110.2172="",76639.2028=""),"-",(84110.2172-76639.2028)/3222930.24801*100)</f>
        <v>0.2318081318890777</v>
      </c>
    </row>
    <row r="68" spans="1:7" s="9" customFormat="1" ht="39" customHeight="1">
      <c r="A68" s="33" t="s">
        <v>229</v>
      </c>
      <c r="B68" s="43">
        <f>IF(244835.96951="","-",244835.96951)</f>
        <v>244835.96951</v>
      </c>
      <c r="C68" s="43">
        <f>IF(OR(240305.13473="",244835.96951=""),"-",244835.96951/240305.13473*100)</f>
        <v>101.88545067299152</v>
      </c>
      <c r="D68" s="43">
        <f>IF(240305.13473="","-",240305.13473/3222930.24801*100)</f>
        <v>7.45610721418425</v>
      </c>
      <c r="E68" s="43">
        <f>IF(244835.96951="","-",244835.96951/3306313.64307*100)</f>
        <v>7.405104171625511</v>
      </c>
      <c r="F68" s="43">
        <f>IF(OR(2578273.3802="",163794.13687="",240305.13473=""),"-",(240305.13473-163794.13687)/2578273.3802*100)</f>
        <v>2.9675285191853837</v>
      </c>
      <c r="G68" s="43">
        <f>IF(OR(3222930.24801="",244835.96951="",240305.13473=""),"-",(244835.96951-240305.13473)/3222930.24801*100)</f>
        <v>0.14058122364880749</v>
      </c>
    </row>
    <row r="69" spans="1:7" s="9" customFormat="1" ht="25.5">
      <c r="A69" s="33" t="s">
        <v>40</v>
      </c>
      <c r="B69" s="43">
        <f>IF(188729.09055="","-",188729.09055)</f>
        <v>188729.09055</v>
      </c>
      <c r="C69" s="43">
        <f>IF(OR(171311.3306="",188729.09055=""),"-",188729.09055/171311.3306*100)</f>
        <v>110.16731344564083</v>
      </c>
      <c r="D69" s="43">
        <f>IF(171311.3306="","-",171311.3306/3222930.24801*100)</f>
        <v>5.315390573710872</v>
      </c>
      <c r="E69" s="43">
        <f>IF(188729.09055="","-",188729.09055/3306313.64307*100)</f>
        <v>5.708142388293205</v>
      </c>
      <c r="F69" s="43">
        <f>IF(OR(2578273.3802="",133385.09214="",171311.3306=""),"-",(171311.3306-133385.09214)/2578273.3802*100)</f>
        <v>1.4709936793846898</v>
      </c>
      <c r="G69" s="43">
        <f>IF(OR(3222930.24801="",188729.09055="",171311.3306=""),"-",(188729.09055-171311.3306)/3222930.24801*100)</f>
        <v>0.5404324204892306</v>
      </c>
    </row>
    <row r="70" spans="1:7" s="9" customFormat="1" ht="15.75">
      <c r="A70" s="33" t="s">
        <v>41</v>
      </c>
      <c r="B70" s="43">
        <f>IF(3912.04221="","-",3912.04221)</f>
        <v>3912.04221</v>
      </c>
      <c r="C70" s="43" t="s">
        <v>235</v>
      </c>
      <c r="D70" s="43">
        <f>IF(1664.36932="","-",1664.36932/3222930.24801*100)</f>
        <v>0.05164149366954701</v>
      </c>
      <c r="E70" s="43">
        <f>IF(3912.04221="","-",3912.04221/3306313.64307*100)</f>
        <v>0.11832036014488828</v>
      </c>
      <c r="F70" s="43">
        <f>IF(OR(2578273.3802="",1212.18162="",1664.36932=""),"-",(1664.36932-1212.18162)/2578273.3802*100)</f>
        <v>0.01753839230054507</v>
      </c>
      <c r="G70" s="43">
        <f>IF(OR(3222930.24801="",3912.04221="",1664.36932=""),"-",(3912.04221-1664.36932)/3222930.24801*100)</f>
        <v>0.0697400414231064</v>
      </c>
    </row>
    <row r="71" spans="1:7" s="9" customFormat="1" ht="15.75">
      <c r="A71" s="30" t="s">
        <v>42</v>
      </c>
      <c r="B71" s="42">
        <f>IF(350007.04095="","-",350007.04095)</f>
        <v>350007.04095</v>
      </c>
      <c r="C71" s="42">
        <f>IF(323508.51962="","-",350007.04095/323508.51962*100)</f>
        <v>108.19098098594921</v>
      </c>
      <c r="D71" s="42">
        <f>IF(323508.51962="","-",323508.51962/3222930.24801*100)</f>
        <v>10.037713966032943</v>
      </c>
      <c r="E71" s="42">
        <f>IF(350007.04095="","-",350007.04095/3306313.64307*100)</f>
        <v>10.586020527230113</v>
      </c>
      <c r="F71" s="42">
        <f>IF(2578273.3802="","-",(323508.51962-274580.91296)/2578273.3802*100)</f>
        <v>1.8976888578124562</v>
      </c>
      <c r="G71" s="42">
        <f>IF(3222930.24801="","-",(350007.04095-323508.51962)/3222930.24801*100)</f>
        <v>0.8221872423817284</v>
      </c>
    </row>
    <row r="72" spans="1:7" s="9" customFormat="1" ht="38.25">
      <c r="A72" s="33" t="s">
        <v>214</v>
      </c>
      <c r="B72" s="43">
        <f>IF(24389.40851="","-",24389.40851)</f>
        <v>24389.40851</v>
      </c>
      <c r="C72" s="43">
        <f>IF(OR(22161.17279="",24389.40851=""),"-",24389.40851/22161.17279*100)</f>
        <v>110.0546832115558</v>
      </c>
      <c r="D72" s="43">
        <f>IF(22161.17279="","-",22161.17279/3222930.24801*100)</f>
        <v>0.687609444966531</v>
      </c>
      <c r="E72" s="43">
        <f>IF(24389.40851="","-",24389.40851/3306313.64307*100)</f>
        <v>0.7376616722711699</v>
      </c>
      <c r="F72" s="43">
        <f>IF(OR(2578273.3802="",19201.20328="",22161.17279=""),"-",(22161.17279-19201.20328)/2578273.3802*100)</f>
        <v>0.11480433117493499</v>
      </c>
      <c r="G72" s="43">
        <f>IF(OR(3222930.24801="",24389.40851="",22161.17279=""),"-",(24389.40851-22161.17279)/3222930.24801*100)</f>
        <v>0.06913695142412175</v>
      </c>
    </row>
    <row r="73" spans="1:7" s="9" customFormat="1" ht="15.75">
      <c r="A73" s="33" t="s">
        <v>215</v>
      </c>
      <c r="B73" s="43">
        <f>IF(30665.86201="","-",30665.86201)</f>
        <v>30665.86201</v>
      </c>
      <c r="C73" s="43">
        <f>IF(OR(29486.60797="",30665.86201=""),"-",30665.86201/29486.60797*100)</f>
        <v>103.99928686676942</v>
      </c>
      <c r="D73" s="43">
        <f>IF(29486.60797="","-",29486.60797/3222930.24801*100)</f>
        <v>0.9149005935889094</v>
      </c>
      <c r="E73" s="43">
        <f>IF(30665.86201="","-",30665.86201/3306313.64307*100)</f>
        <v>0.9274940408111413</v>
      </c>
      <c r="F73" s="43">
        <f>IF(OR(2578273.3802="",25586.80415="",29486.60797=""),"-",(29486.60797-25586.80415)/2578273.3802*100)</f>
        <v>0.15125641252586985</v>
      </c>
      <c r="G73" s="43">
        <f>IF(OR(3222930.24801="",30665.86201="",29486.60797=""),"-",(30665.86201-29486.60797)/3222930.24801*100)</f>
        <v>0.036589499283396866</v>
      </c>
    </row>
    <row r="74" spans="1:7" s="9" customFormat="1" ht="14.25" customHeight="1">
      <c r="A74" s="33" t="s">
        <v>216</v>
      </c>
      <c r="B74" s="43">
        <f>IF(5649.53817="","-",5649.53817)</f>
        <v>5649.53817</v>
      </c>
      <c r="C74" s="43">
        <f>IF(OR(4798.465="",5649.53817=""),"-",5649.53817/4798.465*100)</f>
        <v>117.73636298274552</v>
      </c>
      <c r="D74" s="43">
        <f>IF(4798.465="","-",4798.465/3222930.24801*100)</f>
        <v>0.14888516445439098</v>
      </c>
      <c r="E74" s="43">
        <f>IF(5649.53817="","-",5649.53817/3306313.64307*100)</f>
        <v>0.1708712112609575</v>
      </c>
      <c r="F74" s="43">
        <f>IF(OR(2578273.3802="",9744.04968="",4798.465=""),"-",(4798.465-9744.04968)/2578273.3802*100)</f>
        <v>-0.19181769931691126</v>
      </c>
      <c r="G74" s="43">
        <f>IF(OR(3222930.24801="",5649.53817="",4798.465=""),"-",(5649.53817-4798.465)/3222930.24801*100)</f>
        <v>0.026406813195088388</v>
      </c>
    </row>
    <row r="75" spans="1:7" s="9" customFormat="1" ht="15.75">
      <c r="A75" s="33" t="s">
        <v>217</v>
      </c>
      <c r="B75" s="43">
        <f>IF(80495.3306="","-",80495.3306)</f>
        <v>80495.3306</v>
      </c>
      <c r="C75" s="43">
        <f>IF(OR(81493.84943="",80495.3306=""),"-",80495.3306/81493.84943*100)</f>
        <v>98.77473105395802</v>
      </c>
      <c r="D75" s="43">
        <f>IF(81493.84943="","-",81493.84943/3222930.24801*100)</f>
        <v>2.5285638583186345</v>
      </c>
      <c r="E75" s="43">
        <f>IF(80495.3306="","-",80495.3306/3306313.64307*100)</f>
        <v>2.434594514912927</v>
      </c>
      <c r="F75" s="43">
        <f>IF(OR(2578273.3802="",69504.13145="",81493.84943=""),"-",(81493.84943-69504.13145)/2578273.3802*100)</f>
        <v>0.4650289636496942</v>
      </c>
      <c r="G75" s="43">
        <f>IF(OR(3222930.24801="",80495.3306="",81493.84943=""),"-",(80495.3306-81493.84943)/3222930.24801*100)</f>
        <v>-0.030981707736819214</v>
      </c>
    </row>
    <row r="76" spans="1:7" s="9" customFormat="1" ht="15.75">
      <c r="A76" s="33" t="s">
        <v>218</v>
      </c>
      <c r="B76" s="43">
        <f>IF(26856.5244="","-",26856.5244)</f>
        <v>26856.5244</v>
      </c>
      <c r="C76" s="43">
        <f>IF(OR(23707.10257="",26856.5244=""),"-",26856.5244/23707.10257*100)</f>
        <v>113.28471845389245</v>
      </c>
      <c r="D76" s="43">
        <f>IF(23707.10257="","-",23707.10257/3222930.24801*100)</f>
        <v>0.7355760362681744</v>
      </c>
      <c r="E76" s="43">
        <f>IF(26856.5244="","-",26856.5244/3306313.64307*100)</f>
        <v>0.8122799981874376</v>
      </c>
      <c r="F76" s="43">
        <f>IF(OR(2578273.3802="",22486.3236299999="",23707.10257=""),"-",(23707.10257-22486.3236299999)/2578273.3802*100)</f>
        <v>0.047348700466565766</v>
      </c>
      <c r="G76" s="43">
        <f>IF(OR(3222930.24801="",26856.5244="",23707.10257=""),"-",(26856.5244-23707.10257)/3222930.24801*100)</f>
        <v>0.09771920543252871</v>
      </c>
    </row>
    <row r="77" spans="1:7" ht="25.5">
      <c r="A77" s="33" t="s">
        <v>248</v>
      </c>
      <c r="B77" s="43">
        <f>IF(35851.56653="","-",35851.56653)</f>
        <v>35851.56653</v>
      </c>
      <c r="C77" s="43">
        <f>IF(OR(32126.54699="",35851.56653=""),"-",35851.56653/32126.54699*100)</f>
        <v>111.59483321117418</v>
      </c>
      <c r="D77" s="43">
        <f>IF(32126.54699="","-",32126.54699/3222930.24801*100)</f>
        <v>0.9968117370779758</v>
      </c>
      <c r="E77" s="43">
        <f>IF(35851.56653="","-",35851.56653/3306313.64307*100)</f>
        <v>1.0843365270304743</v>
      </c>
      <c r="F77" s="43">
        <f>IF(OR(2578273.3802="",25357.09568="",32126.54699=""),"-",(32126.54699-25357.09568)/2578273.3802*100)</f>
        <v>0.2625575457585838</v>
      </c>
      <c r="G77" s="43">
        <f>IF(OR(3222930.24801="",35851.56653="",32126.54699=""),"-",(35851.56653-32126.54699)/3222930.24801*100)</f>
        <v>0.11557865834359936</v>
      </c>
    </row>
    <row r="78" spans="1:7" ht="25.5">
      <c r="A78" s="33" t="s">
        <v>220</v>
      </c>
      <c r="B78" s="43">
        <f>IF(6888.80274="","-",6888.80274)</f>
        <v>6888.80274</v>
      </c>
      <c r="C78" s="43">
        <f>IF(OR(7348.83291="",6888.80274=""),"-",6888.80274/7348.83291*100)</f>
        <v>93.74009212573048</v>
      </c>
      <c r="D78" s="43">
        <f>IF(7348.83291="","-",7348.83291/3222930.24801*100)</f>
        <v>0.22801712555018963</v>
      </c>
      <c r="E78" s="43">
        <f>IF(6888.80274="","-",6888.80274/3306313.64307*100)</f>
        <v>0.20835297203091607</v>
      </c>
      <c r="F78" s="43">
        <f>IF(OR(2578273.3802="",5619.74374="",7348.83291=""),"-",(7348.83291-5619.74374)/2578273.3802*100)</f>
        <v>0.06706384137844501</v>
      </c>
      <c r="G78" s="43">
        <f>IF(OR(3222930.24801="",6888.80274="",7348.83291=""),"-",(6888.80274-7348.83291)/3222930.24801*100)</f>
        <v>-0.014273661996999342</v>
      </c>
    </row>
    <row r="79" spans="1:7" ht="15.75">
      <c r="A79" s="33" t="s">
        <v>43</v>
      </c>
      <c r="B79" s="43">
        <f>IF(139210.00799="","-",139210.00799)</f>
        <v>139210.00799</v>
      </c>
      <c r="C79" s="43">
        <f>IF(OR(122385.94196="",139210.00799=""),"-",139210.00799/122385.94196*100)</f>
        <v>113.74673084225533</v>
      </c>
      <c r="D79" s="43">
        <f>IF(122385.94196="","-",122385.94196/3222930.24801*100)</f>
        <v>3.7973500058081386</v>
      </c>
      <c r="E79" s="43">
        <f>IF(139210.00799="","-",139210.00799/3306313.64307*100)</f>
        <v>4.21042959072509</v>
      </c>
      <c r="F79" s="43">
        <f>IF(OR(2578273.3802="",97081.56135="",122385.94196=""),"-",(122385.94196-97081.56135)/2578273.3802*100)</f>
        <v>0.9814467621752779</v>
      </c>
      <c r="G79" s="43">
        <f>IF(OR(3222930.24801="",139210.00799="",122385.94196=""),"-",(139210.00799-122385.94196)/3222930.24801*100)</f>
        <v>0.5220114844368116</v>
      </c>
    </row>
    <row r="80" spans="1:7" ht="25.5">
      <c r="A80" s="37" t="s">
        <v>221</v>
      </c>
      <c r="B80" s="50">
        <f>IF(141.54216="","-",141.54216)</f>
        <v>141.54216</v>
      </c>
      <c r="C80" s="50">
        <f>IF(296.4733="","-",141.54216/296.4733*100)</f>
        <v>47.74195855073627</v>
      </c>
      <c r="D80" s="50">
        <f>IF(296.4733="","-",296.4733/3222930.24801*100)</f>
        <v>0.009198874228911953</v>
      </c>
      <c r="E80" s="50">
        <f>IF(141.54216="","-",141.54216/3306313.64307*100)</f>
        <v>0.004280965911890148</v>
      </c>
      <c r="F80" s="50">
        <f>IF(2578273.3802="","-",(296.4733-600.1438)/2578273.3802*100)</f>
        <v>-0.011778056676691281</v>
      </c>
      <c r="G80" s="50">
        <f>IF(3222930.24801="","-",(141.54216-296.4733)/3222930.24801*100)</f>
        <v>-0.004807151507410448</v>
      </c>
    </row>
    <row r="81" ht="15.75">
      <c r="A81" s="52" t="s">
        <v>21</v>
      </c>
    </row>
  </sheetData>
  <sheetProtection/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81"/>
  <sheetViews>
    <sheetView zoomScalePageLayoutView="0" workbookViewId="0" topLeftCell="A1">
      <selection activeCell="A1" sqref="A1:D1"/>
    </sheetView>
  </sheetViews>
  <sheetFormatPr defaultColWidth="9.00390625" defaultRowHeight="15.75"/>
  <cols>
    <col min="1" max="1" width="43.00390625" style="0" customWidth="1"/>
    <col min="2" max="2" width="13.625" style="0" customWidth="1"/>
    <col min="3" max="3" width="13.50390625" style="0" customWidth="1"/>
    <col min="4" max="4" width="16.25390625" style="0" customWidth="1"/>
    <col min="6" max="6" width="12.125" style="0" bestFit="1" customWidth="1"/>
  </cols>
  <sheetData>
    <row r="1" spans="1:4" ht="15.75">
      <c r="A1" s="85" t="s">
        <v>140</v>
      </c>
      <c r="B1" s="85"/>
      <c r="C1" s="85"/>
      <c r="D1" s="85"/>
    </row>
    <row r="2" spans="1:4" ht="15.75">
      <c r="A2" s="85" t="s">
        <v>23</v>
      </c>
      <c r="B2" s="85"/>
      <c r="C2" s="85"/>
      <c r="D2" s="85"/>
    </row>
    <row r="3" ht="15.75">
      <c r="A3" s="5"/>
    </row>
    <row r="4" spans="1:5" ht="21.75" customHeight="1">
      <c r="A4" s="86"/>
      <c r="B4" s="84" t="s">
        <v>258</v>
      </c>
      <c r="C4" s="84"/>
      <c r="D4" s="88" t="s">
        <v>260</v>
      </c>
      <c r="E4" s="1"/>
    </row>
    <row r="5" spans="1:5" ht="20.25" customHeight="1">
      <c r="A5" s="87"/>
      <c r="B5" s="20">
        <v>2018</v>
      </c>
      <c r="C5" s="19">
        <v>2019</v>
      </c>
      <c r="D5" s="89"/>
      <c r="E5" s="1"/>
    </row>
    <row r="6" spans="1:6" ht="14.25" customHeight="1">
      <c r="A6" s="35" t="s">
        <v>164</v>
      </c>
      <c r="B6" s="41">
        <f>IF(-1689299.94104="","-",-1689299.94104)</f>
        <v>-1689299.94104</v>
      </c>
      <c r="C6" s="41">
        <f>IF(-1724732.89192="","-",-1724732.89192)</f>
        <v>-1724732.89192</v>
      </c>
      <c r="D6" s="58">
        <f>IF(-1689299.94104="","-",-1724732.89192/-1689299.94104*100)</f>
        <v>102.09749316975565</v>
      </c>
      <c r="F6" s="17"/>
    </row>
    <row r="7" spans="1:6" ht="14.25" customHeight="1">
      <c r="A7" s="36" t="s">
        <v>161</v>
      </c>
      <c r="B7" s="44"/>
      <c r="C7" s="44"/>
      <c r="D7" s="59"/>
      <c r="F7" s="17"/>
    </row>
    <row r="8" spans="1:6" ht="14.25" customHeight="1">
      <c r="A8" s="30" t="s">
        <v>180</v>
      </c>
      <c r="B8" s="42">
        <f>IF(8075.73115="","-",8075.73115)</f>
        <v>8075.73115</v>
      </c>
      <c r="C8" s="42">
        <f>IF(2357.10696="","-",2357.10696)</f>
        <v>2357.10696</v>
      </c>
      <c r="D8" s="60">
        <f>IF(8075.73115="","-",2357.10696/8075.73115*100)</f>
        <v>29.187536288896894</v>
      </c>
      <c r="F8" s="17"/>
    </row>
    <row r="9" spans="1:4" ht="15.75">
      <c r="A9" s="33" t="s">
        <v>24</v>
      </c>
      <c r="B9" s="43">
        <f>IF(OR(5556.80164="",5556.80164=0),"-",5556.80164)</f>
        <v>5556.80164</v>
      </c>
      <c r="C9" s="43">
        <f>IF(OR(3509.37885="",3509.37885=0),"-",3509.37885)</f>
        <v>3509.37885</v>
      </c>
      <c r="D9" s="61">
        <f>IF(OR(5556.80164="",3509.37885="",5556.80164=0,3509.37885=0),"-",3509.37885/5556.80164*100)</f>
        <v>63.154654014246944</v>
      </c>
    </row>
    <row r="10" spans="1:4" ht="15.75">
      <c r="A10" s="33" t="s">
        <v>181</v>
      </c>
      <c r="B10" s="43">
        <f>IF(OR(-20004.80514="",-20004.80514=0),"-",-20004.80514)</f>
        <v>-20004.80514</v>
      </c>
      <c r="C10" s="43">
        <f>IF(OR(-23643.65692="",-23643.65692=0),"-",-23643.65692)</f>
        <v>-23643.65692</v>
      </c>
      <c r="D10" s="61">
        <f>IF(OR(-20004.80514="",-23643.65692="",-20004.80514=0,-23643.65692=0),"-",-23643.65692/-20004.80514*100)</f>
        <v>118.18988865192215</v>
      </c>
    </row>
    <row r="11" spans="1:4" ht="15.75">
      <c r="A11" s="33" t="s">
        <v>182</v>
      </c>
      <c r="B11" s="43">
        <f>IF(OR(-19568.33099="",-19568.33099=0),"-",-19568.33099)</f>
        <v>-19568.33099</v>
      </c>
      <c r="C11" s="43">
        <f>IF(OR(-24997.40595="",-24997.40595=0),"-",-24997.40595)</f>
        <v>-24997.40595</v>
      </c>
      <c r="D11" s="61">
        <f>IF(OR(-19568.33099="",-24997.40595="",-19568.33099=0,-24997.40595=0),"-",-24997.40595/-19568.33099*100)</f>
        <v>127.74419015487024</v>
      </c>
    </row>
    <row r="12" spans="1:4" ht="15.75">
      <c r="A12" s="33" t="s">
        <v>183</v>
      </c>
      <c r="B12" s="43">
        <f>IF(OR(-27275.39163="",-27275.39163=0),"-",-27275.39163)</f>
        <v>-27275.39163</v>
      </c>
      <c r="C12" s="43">
        <f>IF(OR(-29754.28631="",-29754.28631=0),"-",-29754.28631)</f>
        <v>-29754.28631</v>
      </c>
      <c r="D12" s="61">
        <f>IF(OR(-27275.39163="",-29754.28631="",-27275.39163=0,-29754.28631=0),"-",-29754.28631/-27275.39163*100)</f>
        <v>109.08839262008428</v>
      </c>
    </row>
    <row r="13" spans="1:4" ht="15.75">
      <c r="A13" s="33" t="s">
        <v>184</v>
      </c>
      <c r="B13" s="43">
        <f>IF(OR(71310.66071="",71310.66071=0),"-",71310.66071)</f>
        <v>71310.66071</v>
      </c>
      <c r="C13" s="43">
        <f>IF(OR(94434.59059="",94434.59059=0),"-",94434.59059)</f>
        <v>94434.59059</v>
      </c>
      <c r="D13" s="61">
        <f>IF(OR(71310.66071="",94434.59059="",71310.66071=0,94434.59059=0),"-",94434.59059/71310.66071*100)</f>
        <v>132.4270307549644</v>
      </c>
    </row>
    <row r="14" spans="1:4" ht="15.75">
      <c r="A14" s="33" t="s">
        <v>185</v>
      </c>
      <c r="B14" s="43">
        <f>IF(OR(60281.68436="",60281.68436=0),"-",60281.68436)</f>
        <v>60281.68436</v>
      </c>
      <c r="C14" s="43">
        <f>IF(OR(51726.66173="",51726.66173=0),"-",51726.66173)</f>
        <v>51726.66173</v>
      </c>
      <c r="D14" s="61">
        <f>IF(OR(60281.68436="",51726.66173="",60281.68436=0,51726.66173=0),"-",51726.66173/60281.68436*100)</f>
        <v>85.8082554911543</v>
      </c>
    </row>
    <row r="15" spans="1:4" ht="15.75">
      <c r="A15" s="33" t="s">
        <v>25</v>
      </c>
      <c r="B15" s="43">
        <f>IF(OR(5999.66241="",5999.66241=0),"-",5999.66241)</f>
        <v>5999.66241</v>
      </c>
      <c r="C15" s="43">
        <f>IF(OR(-476.04644="",-476.04644=0),"-",-476.04644)</f>
        <v>-476.04644</v>
      </c>
      <c r="D15" s="61" t="s">
        <v>22</v>
      </c>
    </row>
    <row r="16" spans="1:4" ht="15.75">
      <c r="A16" s="33" t="s">
        <v>186</v>
      </c>
      <c r="B16" s="43">
        <f>IF(OR(-21682.84734="",-21682.84734=0),"-",-21682.84734)</f>
        <v>-21682.84734</v>
      </c>
      <c r="C16" s="43">
        <f>IF(OR(-22302.70667="",-22302.70667=0),"-",-22302.70667)</f>
        <v>-22302.70667</v>
      </c>
      <c r="D16" s="61">
        <f>IF(OR(-21682.84734="",-22302.70667="",-21682.84734=0,-22302.70667=0),"-",-22302.70667/-21682.84734*100)</f>
        <v>102.85875429679614</v>
      </c>
    </row>
    <row r="17" spans="1:4" ht="15.75">
      <c r="A17" s="33" t="s">
        <v>26</v>
      </c>
      <c r="B17" s="43">
        <f>IF(OR(-9692.72006="",-9692.72006=0),"-",-9692.72006)</f>
        <v>-9692.72006</v>
      </c>
      <c r="C17" s="43">
        <f>IF(OR(-7341.39295="",-7341.39295=0),"-",-7341.39295)</f>
        <v>-7341.39295</v>
      </c>
      <c r="D17" s="61">
        <f>IF(OR(-9692.72006="",-7341.39295="",-9692.72006=0,-7341.39295=0),"-",-7341.39295/-9692.72006*100)</f>
        <v>75.74130795643758</v>
      </c>
    </row>
    <row r="18" spans="1:4" ht="15.75">
      <c r="A18" s="33" t="s">
        <v>187</v>
      </c>
      <c r="B18" s="43">
        <f>IF(OR(-36848.98281="",-36848.98281=0),"-",-36848.98281)</f>
        <v>-36848.98281</v>
      </c>
      <c r="C18" s="43">
        <f>IF(OR(-38798.02897="",-38798.02897=0),"-",-38798.02897)</f>
        <v>-38798.02897</v>
      </c>
      <c r="D18" s="61">
        <f>IF(OR(-36848.98281="",-38798.02897="",-36848.98281=0,-38798.02897=0),"-",-38798.02897/-36848.98281*100)</f>
        <v>105.28928076535962</v>
      </c>
    </row>
    <row r="19" spans="1:4" ht="15.75">
      <c r="A19" s="30" t="s">
        <v>188</v>
      </c>
      <c r="B19" s="42">
        <f>IF(63398.96603="","-",63398.96603)</f>
        <v>63398.96603</v>
      </c>
      <c r="C19" s="42">
        <f>IF(52619.69365="","-",52619.69365)</f>
        <v>52619.69365</v>
      </c>
      <c r="D19" s="60">
        <f>IF(63398.96603="","-",52619.69365/63398.96603*100)</f>
        <v>82.99771580675414</v>
      </c>
    </row>
    <row r="20" spans="1:4" ht="15.75">
      <c r="A20" s="33" t="s">
        <v>233</v>
      </c>
      <c r="B20" s="43">
        <f>IF(OR(76886.20148="",76886.20148=0),"-",76886.20148)</f>
        <v>76886.20148</v>
      </c>
      <c r="C20" s="43">
        <f>IF(OR(70587.75375="",70587.75375=0),"-",70587.75375)</f>
        <v>70587.75375</v>
      </c>
      <c r="D20" s="61">
        <f>IF(OR(76886.20148="",70587.75375="",76886.20148=0,70587.75375=0),"-",70587.75375/76886.20148*100)</f>
        <v>91.80809090739334</v>
      </c>
    </row>
    <row r="21" spans="1:4" ht="15.75">
      <c r="A21" s="33" t="s">
        <v>189</v>
      </c>
      <c r="B21" s="43">
        <f>IF(OR(-13487.23545="",-13487.23545=0),"-",-13487.23545)</f>
        <v>-13487.23545</v>
      </c>
      <c r="C21" s="43">
        <f>IF(OR(-17968.0601="",-17968.0601=0),"-",-17968.0601)</f>
        <v>-17968.0601</v>
      </c>
      <c r="D21" s="61">
        <f>IF(OR(-13487.23545="",-17968.0601="",-13487.23545=0,-17968.0601=0),"-",-17968.0601/-13487.23545*100)</f>
        <v>133.2227065109922</v>
      </c>
    </row>
    <row r="22" spans="1:4" ht="15.75">
      <c r="A22" s="30" t="s">
        <v>27</v>
      </c>
      <c r="B22" s="42">
        <f>IF(69716.08592="","-",69716.08592)</f>
        <v>69716.08592</v>
      </c>
      <c r="C22" s="42">
        <f>IF(70856.83771="","-",70856.83771)</f>
        <v>70856.83771</v>
      </c>
      <c r="D22" s="60">
        <f>IF(69716.08592="","-",70856.83771/69716.08592*100)</f>
        <v>101.63628203584038</v>
      </c>
    </row>
    <row r="23" spans="1:4" ht="15.75">
      <c r="A23" s="33" t="s">
        <v>190</v>
      </c>
      <c r="B23" s="43">
        <f>IF(OR(1979.33246="",1979.33246=0),"-",1979.33246)</f>
        <v>1979.33246</v>
      </c>
      <c r="C23" s="43">
        <f>IF(OR(1010.06232="",1010.06232=0),"-",1010.06232)</f>
        <v>1010.06232</v>
      </c>
      <c r="D23" s="61">
        <f>IF(OR(1979.33246="",1010.06232="",1979.33246=0,1010.06232=0),"-",1010.06232/1979.33246*100)</f>
        <v>51.03045296392502</v>
      </c>
    </row>
    <row r="24" spans="1:4" ht="15.75">
      <c r="A24" s="33" t="s">
        <v>222</v>
      </c>
      <c r="B24" s="43">
        <f>IF(OR(101882.33971="",101882.33971=0),"-",101882.33971)</f>
        <v>101882.33971</v>
      </c>
      <c r="C24" s="43">
        <f>IF(OR(117246.49155="",117246.49155=0),"-",117246.49155)</f>
        <v>117246.49155</v>
      </c>
      <c r="D24" s="61">
        <f>IF(OR(101882.33971="",117246.49155="",101882.33971=0,117246.49155=0),"-",117246.49155/101882.33971*100)</f>
        <v>115.08028956120644</v>
      </c>
    </row>
    <row r="25" spans="1:4" ht="15.75">
      <c r="A25" s="33" t="s">
        <v>223</v>
      </c>
      <c r="B25" s="43">
        <f>IF(OR(-465.35054="",-465.35054=0),"-",-465.35054)</f>
        <v>-465.35054</v>
      </c>
      <c r="C25" s="43">
        <f>IF(OR(-890.79766="",-890.79766=0),"-",-890.79766)</f>
        <v>-890.79766</v>
      </c>
      <c r="D25" s="61" t="s">
        <v>253</v>
      </c>
    </row>
    <row r="26" spans="1:4" ht="15.75">
      <c r="A26" s="33" t="s">
        <v>286</v>
      </c>
      <c r="B26" s="43">
        <f>IF(OR(-17937.31118="",-17937.31118=0),"-",-17937.31118)</f>
        <v>-17937.31118</v>
      </c>
      <c r="C26" s="43">
        <f>IF(OR(-20553.6358="",-20553.6358=0),"-",-20553.6358)</f>
        <v>-20553.6358</v>
      </c>
      <c r="D26" s="61">
        <f>IF(OR(-17937.31118="",-20553.6358="",-17937.31118=0,-20553.6358=0),"-",-20553.6358/-17937.31118*100)</f>
        <v>114.58593539324437</v>
      </c>
    </row>
    <row r="27" spans="1:4" ht="15.75">
      <c r="A27" s="33" t="s">
        <v>282</v>
      </c>
      <c r="B27" s="43">
        <f>IF(OR(1607.99094="",1607.99094=0),"-",1607.99094)</f>
        <v>1607.99094</v>
      </c>
      <c r="C27" s="43">
        <f>IF(OR(1284.46573="",1284.46573=0),"-",1284.46573)</f>
        <v>1284.46573</v>
      </c>
      <c r="D27" s="61">
        <f>IF(OR(1607.99094="",1284.46573="",1607.99094=0,1284.46573=0),"-",1284.46573/1607.99094*100)</f>
        <v>79.88015964816319</v>
      </c>
    </row>
    <row r="28" spans="1:4" ht="25.5">
      <c r="A28" s="33" t="s">
        <v>224</v>
      </c>
      <c r="B28" s="43">
        <f>IF(OR(-4597.73302="",-4597.73302=0),"-",-4597.73302)</f>
        <v>-4597.73302</v>
      </c>
      <c r="C28" s="43">
        <f>IF(OR(-4241.63689="",-4241.63689=0),"-",-4241.63689)</f>
        <v>-4241.63689</v>
      </c>
      <c r="D28" s="61">
        <f>IF(OR(-4597.73302="",-4241.63689="",-4597.73302=0,-4241.63689=0),"-",-4241.63689/-4597.73302*100)</f>
        <v>92.2549628599357</v>
      </c>
    </row>
    <row r="29" spans="1:4" ht="25.5">
      <c r="A29" s="33" t="s">
        <v>192</v>
      </c>
      <c r="B29" s="43">
        <f>IF(OR(-1298.0885="",-1298.0885=0),"-",-1298.0885)</f>
        <v>-1298.0885</v>
      </c>
      <c r="C29" s="43">
        <f>IF(OR(-11219.7528="",-11219.7528=0),"-",-11219.7528)</f>
        <v>-11219.7528</v>
      </c>
      <c r="D29" s="61" t="s">
        <v>284</v>
      </c>
    </row>
    <row r="30" spans="1:4" ht="15.75">
      <c r="A30" s="33" t="s">
        <v>193</v>
      </c>
      <c r="B30" s="43">
        <f>IF(OR(9791.82111="",9791.82111=0),"-",9791.82111)</f>
        <v>9791.82111</v>
      </c>
      <c r="C30" s="43">
        <f>IF(OR(9008.9831="",9008.9831=0),"-",9008.9831)</f>
        <v>9008.9831</v>
      </c>
      <c r="D30" s="61">
        <f>IF(OR(9791.82111="",9008.9831="",9791.82111=0,9008.9831=0),"-",9008.9831/9791.82111*100)</f>
        <v>92.00518472298765</v>
      </c>
    </row>
    <row r="31" spans="1:4" ht="15.75">
      <c r="A31" s="33" t="s">
        <v>28</v>
      </c>
      <c r="B31" s="43">
        <f>IF(OR(-21246.91506="",-21246.91506=0),"-",-21246.91506)</f>
        <v>-21246.91506</v>
      </c>
      <c r="C31" s="43">
        <f>IF(OR(-20787.34184="",-20787.34184=0),"-",-20787.34184)</f>
        <v>-20787.34184</v>
      </c>
      <c r="D31" s="61">
        <f>IF(OR(-21246.91506="",-20787.34184="",-21246.91506=0,-20787.34184=0),"-",-20787.34184/-21246.91506*100)</f>
        <v>97.83698848184693</v>
      </c>
    </row>
    <row r="32" spans="1:4" ht="15.75">
      <c r="A32" s="30" t="s">
        <v>194</v>
      </c>
      <c r="B32" s="42">
        <f>IF(-506332.48978="","-",-506332.48978)</f>
        <v>-506332.48978</v>
      </c>
      <c r="C32" s="42">
        <f>IF(-511125.97679="","-",-511125.97679)</f>
        <v>-511125.97679</v>
      </c>
      <c r="D32" s="60">
        <f>IF(-506332.48978="","-",-511125.97679/-506332.48978*100)</f>
        <v>100.94670737247826</v>
      </c>
    </row>
    <row r="33" spans="1:4" ht="15.75">
      <c r="A33" s="33" t="s">
        <v>249</v>
      </c>
      <c r="B33" s="43">
        <f>IF(OR(-7741.54255="",-7741.54255=0),"-",-7741.54255)</f>
        <v>-7741.54255</v>
      </c>
      <c r="C33" s="43">
        <f>IF(OR(-11719.96833="",-11719.96833=0),"-",-11719.96833)</f>
        <v>-11719.96833</v>
      </c>
      <c r="D33" s="61" t="s">
        <v>146</v>
      </c>
    </row>
    <row r="34" spans="1:4" ht="15.75">
      <c r="A34" s="33" t="s">
        <v>195</v>
      </c>
      <c r="B34" s="43">
        <f>IF(OR(-322548.1781="",-322548.1781=0),"-",-322548.1781)</f>
        <v>-322548.1781</v>
      </c>
      <c r="C34" s="43">
        <f>IF(OR(-307596.57942="",-307596.57942=0),"-",-307596.57942)</f>
        <v>-307596.57942</v>
      </c>
      <c r="D34" s="61">
        <f>IF(OR(-322548.1781="",-307596.57942="",-322548.1781=0,-307596.57942=0),"-",-307596.57942/-322548.1781*100)</f>
        <v>95.3645378597164</v>
      </c>
    </row>
    <row r="35" spans="1:4" ht="15.75">
      <c r="A35" s="33" t="s">
        <v>225</v>
      </c>
      <c r="B35" s="43">
        <f>IF(OR(-147459.73786="",-147459.73786=0),"-",-147459.73786)</f>
        <v>-147459.73786</v>
      </c>
      <c r="C35" s="43">
        <f>IF(OR(-166984.4385="",-166984.4385=0),"-",-166984.4385)</f>
        <v>-166984.4385</v>
      </c>
      <c r="D35" s="61">
        <f>IF(OR(-147459.73786="",-166984.4385="",-147459.73786=0,-166984.4385=0),"-",-166984.4385/-147459.73786*100)</f>
        <v>113.24069940944624</v>
      </c>
    </row>
    <row r="36" spans="1:4" ht="15.75">
      <c r="A36" s="33" t="s">
        <v>29</v>
      </c>
      <c r="B36" s="43">
        <f>IF(OR(-28583.03127="",-28583.03127=0),"-",-28583.03127)</f>
        <v>-28583.03127</v>
      </c>
      <c r="C36" s="43">
        <f>IF(OR(-24824.99054="",-24824.99054=0),"-",-24824.99054)</f>
        <v>-24824.99054</v>
      </c>
      <c r="D36" s="61">
        <f>IF(OR(-28583.03127="",-24824.99054="",-28583.03127=0,-24824.99054=0),"-",-24824.99054/-28583.03127*100)</f>
        <v>86.85219669495187</v>
      </c>
    </row>
    <row r="37" spans="1:4" ht="15.75">
      <c r="A37" s="30" t="s">
        <v>196</v>
      </c>
      <c r="B37" s="42">
        <f>IF(42384.01967="","-",42384.01967)</f>
        <v>42384.01967</v>
      </c>
      <c r="C37" s="42">
        <f>IF(28471.23882="","-",28471.23882)</f>
        <v>28471.23882</v>
      </c>
      <c r="D37" s="60">
        <f>IF(42384.01967="","-",28471.23882/42384.01967*100)</f>
        <v>67.17446585216724</v>
      </c>
    </row>
    <row r="38" spans="1:4" ht="15.75">
      <c r="A38" s="33" t="s">
        <v>226</v>
      </c>
      <c r="B38" s="43">
        <f>IF(OR(-838.23935="",-838.23935=0),"-",-838.23935)</f>
        <v>-838.23935</v>
      </c>
      <c r="C38" s="43">
        <f>IF(OR(-856.10738="",-856.10738=0),"-",-856.10738)</f>
        <v>-856.10738</v>
      </c>
      <c r="D38" s="61">
        <f>IF(OR(-838.23935="",-856.10738="",-838.23935=0,-856.10738=0),"-",-856.10738/-838.23935*100)</f>
        <v>102.13161431755739</v>
      </c>
    </row>
    <row r="39" spans="1:4" ht="15.75">
      <c r="A39" s="33" t="s">
        <v>197</v>
      </c>
      <c r="B39" s="43">
        <f>IF(OR(44636.10801="",44636.10801=0),"-",44636.10801)</f>
        <v>44636.10801</v>
      </c>
      <c r="C39" s="43">
        <f>IF(OR(30823.20547="",30823.20547=0),"-",30823.20547)</f>
        <v>30823.20547</v>
      </c>
      <c r="D39" s="61">
        <f>IF(OR(44636.10801="",30823.20547="",44636.10801=0,30823.20547=0),"-",30823.20547/44636.10801*100)</f>
        <v>69.05441993978184</v>
      </c>
    </row>
    <row r="40" spans="1:4" ht="38.25">
      <c r="A40" s="33" t="s">
        <v>227</v>
      </c>
      <c r="B40" s="43">
        <f>IF(OR(-1413.84899="",-1413.84899=0),"-",-1413.84899)</f>
        <v>-1413.84899</v>
      </c>
      <c r="C40" s="43">
        <f>IF(OR(-1495.85927="",-1495.85927=0),"-",-1495.85927)</f>
        <v>-1495.85927</v>
      </c>
      <c r="D40" s="61">
        <f>IF(OR(-1413.84899="",-1495.85927="",-1413.84899=0,-1495.85927=0),"-",-1495.85927/-1413.84899*100)</f>
        <v>105.80049783110145</v>
      </c>
    </row>
    <row r="41" spans="1:4" ht="15.75" customHeight="1">
      <c r="A41" s="30" t="s">
        <v>198</v>
      </c>
      <c r="B41" s="42">
        <f>IF(-402369.22578="","-",-402369.22578)</f>
        <v>-402369.22578</v>
      </c>
      <c r="C41" s="42">
        <f>IF(-422762.7268="","-",-422762.7268)</f>
        <v>-422762.7268</v>
      </c>
      <c r="D41" s="60">
        <f>IF(-402369.22578="","-",-422762.7268/-402369.22578*100)</f>
        <v>105.06835506131635</v>
      </c>
    </row>
    <row r="42" spans="1:4" ht="14.25" customHeight="1">
      <c r="A42" s="33" t="s">
        <v>30</v>
      </c>
      <c r="B42" s="43">
        <f>IF(OR(2874.3477="",2874.3477=0),"-",2874.3477)</f>
        <v>2874.3477</v>
      </c>
      <c r="C42" s="43">
        <f>IF(OR(-1768.91874="",-1768.91874=0),"-",-1768.91874)</f>
        <v>-1768.91874</v>
      </c>
      <c r="D42" s="61" t="s">
        <v>22</v>
      </c>
    </row>
    <row r="43" spans="1:4" ht="15" customHeight="1">
      <c r="A43" s="33" t="s">
        <v>31</v>
      </c>
      <c r="B43" s="43">
        <f>IF(OR(-7881.74977="",-7881.74977=0),"-",-7881.74977)</f>
        <v>-7881.74977</v>
      </c>
      <c r="C43" s="43">
        <f>IF(OR(-8886.575="",-8886.575=0),"-",-8886.575)</f>
        <v>-8886.575</v>
      </c>
      <c r="D43" s="61">
        <f>IF(OR(-7881.74977="",-8886.575="",-7881.74977=0,-8886.575=0),"-",-8886.575/-7881.74977*100)</f>
        <v>112.74875832552598</v>
      </c>
    </row>
    <row r="44" spans="1:4" ht="15.75">
      <c r="A44" s="33" t="s">
        <v>199</v>
      </c>
      <c r="B44" s="43">
        <f>IF(OR(-18643.44079="",-18643.44079=0),"-",-18643.44079)</f>
        <v>-18643.44079</v>
      </c>
      <c r="C44" s="43">
        <f>IF(OR(-20890.428="",-20890.428=0),"-",-20890.428)</f>
        <v>-20890.428</v>
      </c>
      <c r="D44" s="61">
        <f>IF(OR(-18643.44079="",-20890.428="",-18643.44079=0,-20890.428=0),"-",-20890.428/-18643.44079*100)</f>
        <v>112.05242763559633</v>
      </c>
    </row>
    <row r="45" spans="1:4" ht="15.75">
      <c r="A45" s="33" t="s">
        <v>200</v>
      </c>
      <c r="B45" s="43">
        <f>IF(OR(-92594.50824="",-92594.50824=0),"-",-92594.50824)</f>
        <v>-92594.50824</v>
      </c>
      <c r="C45" s="43">
        <f>IF(OR(-98940.02527="",-98940.02527=0),"-",-98940.02527)</f>
        <v>-98940.02527</v>
      </c>
      <c r="D45" s="61">
        <f>IF(OR(-92594.50824="",-98940.02527="",-92594.50824=0,-98940.02527=0),"-",-98940.02527/-92594.50824*100)</f>
        <v>106.85301661039416</v>
      </c>
    </row>
    <row r="46" spans="1:4" ht="25.5">
      <c r="A46" s="33" t="s">
        <v>201</v>
      </c>
      <c r="B46" s="43">
        <f>IF(OR(-50837.87192="",-50837.87192=0),"-",-50837.87192)</f>
        <v>-50837.87192</v>
      </c>
      <c r="C46" s="43">
        <f>IF(OR(-55410.41135="",-55410.41135=0),"-",-55410.41135)</f>
        <v>-55410.41135</v>
      </c>
      <c r="D46" s="61">
        <f>IF(OR(-50837.87192="",-55410.41135="",-50837.87192=0,-55410.41135=0),"-",-55410.41135/-50837.87192*100)</f>
        <v>108.99435648525078</v>
      </c>
    </row>
    <row r="47" spans="1:4" ht="15.75">
      <c r="A47" s="33" t="s">
        <v>202</v>
      </c>
      <c r="B47" s="43">
        <f>IF(OR(-49239.86471="",-49239.86471=0),"-",-49239.86471)</f>
        <v>-49239.86471</v>
      </c>
      <c r="C47" s="43">
        <f>IF(OR(-53489.60714="",-53489.60714=0),"-",-53489.60714)</f>
        <v>-53489.60714</v>
      </c>
      <c r="D47" s="61">
        <f>IF(OR(-49239.86471="",-53489.60714="",-49239.86471=0,-53489.60714=0),"-",-53489.60714/-49239.86471*100)</f>
        <v>108.63069477349099</v>
      </c>
    </row>
    <row r="48" spans="1:4" ht="15.75">
      <c r="A48" s="33" t="s">
        <v>32</v>
      </c>
      <c r="B48" s="43">
        <f>IF(OR(-31049.03854="",-31049.03854=0),"-",-31049.03854)</f>
        <v>-31049.03854</v>
      </c>
      <c r="C48" s="43">
        <f>IF(OR(-29507.41441="",-29507.41441=0),"-",-29507.41441)</f>
        <v>-29507.41441</v>
      </c>
      <c r="D48" s="61">
        <f>IF(OR(-31049.03854="",-29507.41441="",-31049.03854=0,-29507.41441=0),"-",-29507.41441/-31049.03854*100)</f>
        <v>95.03487321189044</v>
      </c>
    </row>
    <row r="49" spans="1:4" ht="15.75">
      <c r="A49" s="33" t="s">
        <v>33</v>
      </c>
      <c r="B49" s="43">
        <f>IF(OR(-61042.43843="",-61042.43843=0),"-",-61042.43843)</f>
        <v>-61042.43843</v>
      </c>
      <c r="C49" s="43">
        <f>IF(OR(-62926.98225="",-62926.98225=0),"-",-62926.98225)</f>
        <v>-62926.98225</v>
      </c>
      <c r="D49" s="61">
        <f>IF(OR(-61042.43843="",-62926.98225="",-61042.43843=0,-62926.98225=0),"-",-62926.98225/-61042.43843*100)</f>
        <v>103.08726824889389</v>
      </c>
    </row>
    <row r="50" spans="1:4" ht="15.75">
      <c r="A50" s="33" t="s">
        <v>203</v>
      </c>
      <c r="B50" s="43">
        <f>IF(OR(-93954.66108="",-93954.66108=0),"-",-93954.66108)</f>
        <v>-93954.66108</v>
      </c>
      <c r="C50" s="43">
        <f>IF(OR(-90942.36464="",-90942.36464=0),"-",-90942.36464)</f>
        <v>-90942.36464</v>
      </c>
      <c r="D50" s="61">
        <f>IF(OR(-93954.66108="",-90942.36464="",-93954.66108=0,-90942.36464=0),"-",-90942.36464/-93954.66108*100)</f>
        <v>96.79388291610663</v>
      </c>
    </row>
    <row r="51" spans="1:4" ht="25.5">
      <c r="A51" s="30" t="s">
        <v>34</v>
      </c>
      <c r="B51" s="42">
        <f>IF(-544749.31991="","-",-544749.31991)</f>
        <v>-544749.31991</v>
      </c>
      <c r="C51" s="42">
        <f>IF(-534309.58718="","-",-534309.58718)</f>
        <v>-534309.58718</v>
      </c>
      <c r="D51" s="60">
        <f>IF(-544749.31991="","-",-534309.58718/-544749.31991*100)</f>
        <v>98.08357122286546</v>
      </c>
    </row>
    <row r="52" spans="1:4" ht="15" customHeight="1">
      <c r="A52" s="33" t="s">
        <v>204</v>
      </c>
      <c r="B52" s="43">
        <f>IF(OR(-33923.15391="",-33923.15391=0),"-",-33923.15391)</f>
        <v>-33923.15391</v>
      </c>
      <c r="C52" s="43">
        <f>IF(OR(-30488.23927="",-30488.23927=0),"-",-30488.23927)</f>
        <v>-30488.23927</v>
      </c>
      <c r="D52" s="61">
        <f>IF(OR(-33923.15391="",-30488.23927="",-33923.15391=0,-30488.23927=0),"-",-30488.23927/-33923.15391*100)</f>
        <v>89.87442426752825</v>
      </c>
    </row>
    <row r="53" spans="1:4" ht="15" customHeight="1">
      <c r="A53" s="33" t="s">
        <v>35</v>
      </c>
      <c r="B53" s="43">
        <f>IF(OR(-34895.10242="",-34895.10242=0),"-",-34895.10242)</f>
        <v>-34895.10242</v>
      </c>
      <c r="C53" s="43">
        <f>IF(OR(-33378.91691="",-33378.91691=0),"-",-33378.91691)</f>
        <v>-33378.91691</v>
      </c>
      <c r="D53" s="61">
        <f>IF(OR(-34895.10242="",-33378.91691="",-34895.10242=0,-33378.91691=0),"-",-33378.91691/-34895.10242*100)</f>
        <v>95.65501917217183</v>
      </c>
    </row>
    <row r="54" spans="1:4" ht="15.75">
      <c r="A54" s="33" t="s">
        <v>36</v>
      </c>
      <c r="B54" s="43">
        <f>IF(OR(-35915.20655="",-35915.20655=0),"-",-35915.20655)</f>
        <v>-35915.20655</v>
      </c>
      <c r="C54" s="43">
        <f>IF(OR(-37498.07726="",-37498.07726=0),"-",-37498.07726)</f>
        <v>-37498.07726</v>
      </c>
      <c r="D54" s="61">
        <f>IF(OR(-35915.20655="",-37498.07726="",-35915.20655=0,-37498.07726=0),"-",-37498.07726/-35915.20655*100)</f>
        <v>104.40724378905179</v>
      </c>
    </row>
    <row r="55" spans="1:4" ht="25.5">
      <c r="A55" s="33" t="s">
        <v>205</v>
      </c>
      <c r="B55" s="43">
        <f>IF(OR(-50590.86488="",-50590.86488=0),"-",-50590.86488)</f>
        <v>-50590.86488</v>
      </c>
      <c r="C55" s="43">
        <f>IF(OR(-52976.5146="",-52976.5146=0),"-",-52976.5146)</f>
        <v>-52976.5146</v>
      </c>
      <c r="D55" s="61">
        <f>IF(OR(-50590.86488="",-52976.5146="",-50590.86488=0,-52976.5146=0),"-",-52976.5146/-50590.86488*100)</f>
        <v>104.71557409753459</v>
      </c>
    </row>
    <row r="56" spans="1:4" ht="25.5">
      <c r="A56" s="33" t="s">
        <v>206</v>
      </c>
      <c r="B56" s="43">
        <f>IF(OR(-134050.3691="",-134050.3691=0),"-",-134050.3691)</f>
        <v>-134050.3691</v>
      </c>
      <c r="C56" s="43">
        <f>IF(OR(-123237.05262="",-123237.05262=0),"-",-123237.05262)</f>
        <v>-123237.05262</v>
      </c>
      <c r="D56" s="61">
        <f>IF(OR(-134050.3691="",-123237.05262="",-134050.3691=0,-123237.05262=0),"-",-123237.05262/-134050.3691*100)</f>
        <v>91.9333929831007</v>
      </c>
    </row>
    <row r="57" spans="1:4" ht="15.75">
      <c r="A57" s="33" t="s">
        <v>37</v>
      </c>
      <c r="B57" s="43">
        <f>IF(OR(-39769.31413="",-39769.31413=0),"-",-39769.31413)</f>
        <v>-39769.31413</v>
      </c>
      <c r="C57" s="43">
        <f>IF(OR(-44361.67714="",-44361.67714=0),"-",-44361.67714)</f>
        <v>-44361.67714</v>
      </c>
      <c r="D57" s="61">
        <f>IF(OR(-39769.31413="",-44361.67714="",-39769.31413=0,-44361.67714=0),"-",-44361.67714/-39769.31413*100)</f>
        <v>111.54750367327996</v>
      </c>
    </row>
    <row r="58" spans="1:4" ht="15.75">
      <c r="A58" s="33" t="s">
        <v>207</v>
      </c>
      <c r="B58" s="43">
        <f>IF(OR(-75717.53212="",-75717.53212=0),"-",-75717.53212)</f>
        <v>-75717.53212</v>
      </c>
      <c r="C58" s="43">
        <f>IF(OR(-73315.10412="",-73315.10412=0),"-",-73315.10412)</f>
        <v>-73315.10412</v>
      </c>
      <c r="D58" s="61">
        <f>IF(OR(-75717.53212="",-73315.10412="",-75717.53212=0,-73315.10412=0),"-",-73315.10412/-75717.53212*100)</f>
        <v>96.82711793063655</v>
      </c>
    </row>
    <row r="59" spans="1:4" ht="15.75">
      <c r="A59" s="33" t="s">
        <v>38</v>
      </c>
      <c r="B59" s="43">
        <f>IF(OR(-59885.51055="",-59885.51055=0),"-",-59885.51055)</f>
        <v>-59885.51055</v>
      </c>
      <c r="C59" s="43">
        <f>IF(OR(-55091.62839="",-55091.62839=0),"-",-55091.62839)</f>
        <v>-55091.62839</v>
      </c>
      <c r="D59" s="61">
        <f>IF(OR(-59885.51055="",-55091.62839="",-59885.51055=0,-55091.62839=0),"-",-55091.62839/-59885.51055*100)</f>
        <v>91.99492144932545</v>
      </c>
    </row>
    <row r="60" spans="1:4" ht="15.75">
      <c r="A60" s="33" t="s">
        <v>39</v>
      </c>
      <c r="B60" s="43">
        <f>IF(OR(-80002.26625="",-80002.26625=0),"-",-80002.26625)</f>
        <v>-80002.26625</v>
      </c>
      <c r="C60" s="43">
        <f>IF(OR(-83962.37687="",-83962.37687=0),"-",-83962.37687)</f>
        <v>-83962.37687</v>
      </c>
      <c r="D60" s="61">
        <f>IF(OR(-80002.26625="",-83962.37687="",-80002.26625=0,-83962.37687=0),"-",-83962.37687/-80002.26625*100)</f>
        <v>104.94999805083644</v>
      </c>
    </row>
    <row r="61" spans="1:4" ht="15.75">
      <c r="A61" s="30" t="s">
        <v>208</v>
      </c>
      <c r="B61" s="42">
        <f>IF(-460122.17949="","-",-460122.17949)</f>
        <v>-460122.17949</v>
      </c>
      <c r="C61" s="42">
        <f>IF(-399929.15395="","-",-399929.15395)</f>
        <v>-399929.15395</v>
      </c>
      <c r="D61" s="60">
        <f>IF(-460122.17949="","-",-399929.15395/-460122.17949*100)</f>
        <v>86.91803433455044</v>
      </c>
    </row>
    <row r="62" spans="1:4" ht="15.75">
      <c r="A62" s="33" t="s">
        <v>209</v>
      </c>
      <c r="B62" s="43">
        <f>IF(OR(-13718.28401="",-13718.28401=0),"-",-13718.28401)</f>
        <v>-13718.28401</v>
      </c>
      <c r="C62" s="43">
        <f>IF(OR(-9419.72491="",-9419.72491=0),"-",-9419.72491)</f>
        <v>-9419.72491</v>
      </c>
      <c r="D62" s="61">
        <f>IF(OR(-13718.28401="",-9419.72491="",-13718.28401=0,-9419.72491=0),"-",-9419.72491/-13718.28401*100)</f>
        <v>68.66547523825469</v>
      </c>
    </row>
    <row r="63" spans="1:4" ht="15.75">
      <c r="A63" s="33" t="s">
        <v>228</v>
      </c>
      <c r="B63" s="43">
        <f>IF(OR(-121829.84246="",-121829.84246=0),"-",-121829.84246)</f>
        <v>-121829.84246</v>
      </c>
      <c r="C63" s="43">
        <f>IF(OR(-111164.10523="",-111164.10523=0),"-",-111164.10523)</f>
        <v>-111164.10523</v>
      </c>
      <c r="D63" s="61">
        <f>IF(OR(-121829.84246="",-111164.10523="",-121829.84246=0,-111164.10523=0),"-",-111164.10523/-121829.84246*100)</f>
        <v>91.24538207171872</v>
      </c>
    </row>
    <row r="64" spans="1:4" ht="15.75">
      <c r="A64" s="33" t="s">
        <v>210</v>
      </c>
      <c r="B64" s="43">
        <f>IF(OR(-6310.50761="",-6310.50761=0),"-",-6310.50761)</f>
        <v>-6310.50761</v>
      </c>
      <c r="C64" s="43">
        <f>IF(OR(-4900.88202="",-4900.88202=0),"-",-4900.88202)</f>
        <v>-4900.88202</v>
      </c>
      <c r="D64" s="61">
        <f>IF(OR(-6310.50761="",-4900.88202="",-6310.50761=0,-4900.88202=0),"-",-4900.88202/-6310.50761*100)</f>
        <v>77.66224720549857</v>
      </c>
    </row>
    <row r="65" spans="1:4" ht="25.5">
      <c r="A65" s="33" t="s">
        <v>211</v>
      </c>
      <c r="B65" s="43">
        <f>IF(OR(-89056.25051="",-89056.25051=0),"-",-89056.25051)</f>
        <v>-89056.25051</v>
      </c>
      <c r="C65" s="43">
        <f>IF(OR(-97757.64549="",-97757.64549=0),"-",-97757.64549)</f>
        <v>-97757.64549</v>
      </c>
      <c r="D65" s="61">
        <f>IF(OR(-89056.25051="",-97757.64549="",-89056.25051=0,-97757.64549=0),"-",-97757.64549/-89056.25051*100)</f>
        <v>109.77067295127469</v>
      </c>
    </row>
    <row r="66" spans="1:4" ht="25.5">
      <c r="A66" s="33" t="s">
        <v>212</v>
      </c>
      <c r="B66" s="43">
        <f>IF(OR(-29033.43635="",-29033.43635=0),"-",-29033.43635)</f>
        <v>-29033.43635</v>
      </c>
      <c r="C66" s="43">
        <f>IF(OR(-24655.40128="",-24655.40128=0),"-",-24655.40128)</f>
        <v>-24655.40128</v>
      </c>
      <c r="D66" s="61">
        <f>IF(OR(-29033.43635="",-24655.40128="",-29033.43635=0,-24655.40128=0),"-",-24655.40128/-29033.43635*100)</f>
        <v>84.92071342426539</v>
      </c>
    </row>
    <row r="67" spans="1:4" ht="25.5">
      <c r="A67" s="33" t="s">
        <v>213</v>
      </c>
      <c r="B67" s="43">
        <f>IF(OR(-73849.18025="",-73849.18025=0),"-",-73849.18025)</f>
        <v>-73849.18025</v>
      </c>
      <c r="C67" s="43">
        <f>IF(OR(-81973.20141="",-81973.20141=0),"-",-81973.20141)</f>
        <v>-81973.20141</v>
      </c>
      <c r="D67" s="61">
        <f>IF(OR(-73849.18025="",-81973.20141="",-73849.18025=0,-81973.20141=0),"-",-81973.20141/-73849.18025*100)</f>
        <v>111.00082781216788</v>
      </c>
    </row>
    <row r="68" spans="1:4" ht="28.5" customHeight="1">
      <c r="A68" s="33" t="s">
        <v>229</v>
      </c>
      <c r="B68" s="43">
        <f>IF(OR(35550.68871="",35550.68871=0),"-",35550.68871)</f>
        <v>35550.68871</v>
      </c>
      <c r="C68" s="43">
        <f>IF(OR(104766.33519="",104766.33519=0),"-",104766.33519)</f>
        <v>104766.33519</v>
      </c>
      <c r="D68" s="61" t="s">
        <v>276</v>
      </c>
    </row>
    <row r="69" spans="1:4" ht="15.75">
      <c r="A69" s="33" t="s">
        <v>40</v>
      </c>
      <c r="B69" s="43">
        <f>IF(OR(-160444.28702="",-160444.28702=0),"-",-160444.28702)</f>
        <v>-160444.28702</v>
      </c>
      <c r="C69" s="43">
        <f>IF(OR(-173715.08116="",-173715.08116=0),"-",-173715.08116)</f>
        <v>-173715.08116</v>
      </c>
      <c r="D69" s="61">
        <f>IF(OR(-160444.28702="",-173715.08116="",-160444.28702=0,-173715.08116=0),"-",-173715.08116/-160444.28702*100)</f>
        <v>108.27127870146336</v>
      </c>
    </row>
    <row r="70" spans="1:4" ht="15.75">
      <c r="A70" s="33" t="s">
        <v>41</v>
      </c>
      <c r="B70" s="43">
        <f>IF(OR(-1431.07999="",-1431.07999=0),"-",-1431.07999)</f>
        <v>-1431.07999</v>
      </c>
      <c r="C70" s="43">
        <f>IF(OR(-1109.44764="",-1109.44764=0),"-",-1109.44764)</f>
        <v>-1109.44764</v>
      </c>
      <c r="D70" s="61">
        <f>IF(OR(-1431.07999="",-1109.44764="",-1431.07999=0,-1109.44764=0),"-",-1109.44764/-1431.07999*100)</f>
        <v>77.52520108956314</v>
      </c>
    </row>
    <row r="71" spans="1:4" ht="15.75">
      <c r="A71" s="30" t="s">
        <v>42</v>
      </c>
      <c r="B71" s="42">
        <f>IF(40269.22385="","-",40269.22385)</f>
        <v>40269.22385</v>
      </c>
      <c r="C71" s="42">
        <f>IF(-11231.76959="","-",-11231.76959)</f>
        <v>-11231.76959</v>
      </c>
      <c r="D71" s="60" t="s">
        <v>22</v>
      </c>
    </row>
    <row r="72" spans="1:4" ht="25.5">
      <c r="A72" s="33" t="s">
        <v>214</v>
      </c>
      <c r="B72" s="43">
        <f>IF(OR(-17650.88872="",-17650.88872=0),"-",-17650.88872)</f>
        <v>-17650.88872</v>
      </c>
      <c r="C72" s="43">
        <f>IF(OR(-19528.67995="",-19528.67995=0),"-",-19528.67995)</f>
        <v>-19528.67995</v>
      </c>
      <c r="D72" s="61">
        <f>IF(OR(-17650.88872="",-19528.67995="",-17650.88872=0,-19528.67995=0),"-",-19528.67995/-17650.88872*100)</f>
        <v>110.63850812153329</v>
      </c>
    </row>
    <row r="73" spans="1:4" ht="15.75">
      <c r="A73" s="33" t="s">
        <v>215</v>
      </c>
      <c r="B73" s="43">
        <f>IF(OR(62657.92146="",62657.92146=0),"-",62657.92146)</f>
        <v>62657.92146</v>
      </c>
      <c r="C73" s="43">
        <f>IF(OR(53990.57259="",53990.57259=0),"-",53990.57259)</f>
        <v>53990.57259</v>
      </c>
      <c r="D73" s="61">
        <f>IF(OR(62657.92146="",53990.57259="",62657.92146=0,53990.57259=0),"-",53990.57259/62657.92146*100)</f>
        <v>86.16719375931882</v>
      </c>
    </row>
    <row r="74" spans="1:4" ht="15.75">
      <c r="A74" s="33" t="s">
        <v>216</v>
      </c>
      <c r="B74" s="43">
        <f>IF(OR(5677.73542="",5677.73542=0),"-",5677.73542)</f>
        <v>5677.73542</v>
      </c>
      <c r="C74" s="43">
        <f>IF(OR(2096.1038="",2096.1038=0),"-",2096.1038)</f>
        <v>2096.1038</v>
      </c>
      <c r="D74" s="61">
        <f>IF(OR(5677.73542="",2096.1038="",5677.73542=0,2096.1038=0),"-",2096.1038/5677.73542*100)</f>
        <v>36.91795487011263</v>
      </c>
    </row>
    <row r="75" spans="1:4" ht="15.75">
      <c r="A75" s="33" t="s">
        <v>217</v>
      </c>
      <c r="B75" s="43">
        <f>IF(OR(104207.83283="",104207.83283=0),"-",104207.83283)</f>
        <v>104207.83283</v>
      </c>
      <c r="C75" s="43">
        <f>IF(OR(87287.33213="",87287.33213=0),"-",87287.33213)</f>
        <v>87287.33213</v>
      </c>
      <c r="D75" s="61">
        <f>IF(OR(104207.83283="",87287.33213="",104207.83283=0,87287.33213=0),"-",87287.33213/104207.83283*100)</f>
        <v>83.7627362161889</v>
      </c>
    </row>
    <row r="76" spans="1:4" ht="15.75">
      <c r="A76" s="33" t="s">
        <v>218</v>
      </c>
      <c r="B76" s="43">
        <f>IF(OR(-1235.87835="",-1235.87835=0),"-",-1235.87835)</f>
        <v>-1235.87835</v>
      </c>
      <c r="C76" s="43">
        <f>IF(OR(-5980.28571="",-5980.28571=0),"-",-5980.28571)</f>
        <v>-5980.28571</v>
      </c>
      <c r="D76" s="61" t="s">
        <v>285</v>
      </c>
    </row>
    <row r="77" spans="1:4" ht="15.75">
      <c r="A77" s="33" t="s">
        <v>219</v>
      </c>
      <c r="B77" s="43">
        <f>IF(OR(-17245.77711="",-17245.77711=0),"-",-17245.77711)</f>
        <v>-17245.77711</v>
      </c>
      <c r="C77" s="43">
        <f>IF(OR(-22576.26225="",-22576.26225=0),"-",-22576.26225)</f>
        <v>-22576.26225</v>
      </c>
      <c r="D77" s="61">
        <f>IF(OR(-17245.77711="",-22576.26225="",-17245.77711=0,-22576.26225=0),"-",-22576.26225/-17245.77711*100)</f>
        <v>130.90892979771326</v>
      </c>
    </row>
    <row r="78" spans="1:4" ht="25.5">
      <c r="A78" s="33" t="s">
        <v>220</v>
      </c>
      <c r="B78" s="43">
        <f>IF(OR(-5325.55449="",-5325.55449=0),"-",-5325.55449)</f>
        <v>-5325.55449</v>
      </c>
      <c r="C78" s="43">
        <f>IF(OR(-4571.58602="",-4571.58602=0),"-",-4571.58602)</f>
        <v>-4571.58602</v>
      </c>
      <c r="D78" s="61">
        <f>IF(OR(-5325.55449="",-4571.58602="",-5325.55449=0,-4571.58602=0),"-",-4571.58602/-5325.55449*100)</f>
        <v>85.8424419200713</v>
      </c>
    </row>
    <row r="79" spans="1:4" ht="15.75">
      <c r="A79" s="38" t="s">
        <v>43</v>
      </c>
      <c r="B79" s="49">
        <f>IF(OR(-90816.16719="",-90816.16719=0),"-",-90816.16719)</f>
        <v>-90816.16719</v>
      </c>
      <c r="C79" s="49">
        <f>IF(OR(-101948.96418="",-101948.96418=0),"-",-101948.96418)</f>
        <v>-101948.96418</v>
      </c>
      <c r="D79" s="62">
        <f>IF(OR(-90816.16719="",-101948.96418="",-90816.16719=0,-101948.96418=0),"-",-101948.96418/-90816.16719*100)</f>
        <v>112.25860695784336</v>
      </c>
    </row>
    <row r="80" spans="1:4" ht="16.5" customHeight="1">
      <c r="A80" s="37" t="s">
        <v>221</v>
      </c>
      <c r="B80" s="50">
        <f>IF(429.2473="","-",429.2473)</f>
        <v>429.2473</v>
      </c>
      <c r="C80" s="50">
        <f>IF(321.44525="","-",321.44525)</f>
        <v>321.44525</v>
      </c>
      <c r="D80" s="63">
        <f>IF(429.2473="","-",321.44525/429.2473*100)</f>
        <v>74.88579427290514</v>
      </c>
    </row>
    <row r="81" ht="15.75">
      <c r="A81" s="51" t="s">
        <v>21</v>
      </c>
    </row>
  </sheetData>
  <sheetProtection/>
  <mergeCells count="5">
    <mergeCell ref="A1:D1"/>
    <mergeCell ref="A2:D2"/>
    <mergeCell ref="A4:A5"/>
    <mergeCell ref="D4:D5"/>
    <mergeCell ref="B4:C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Eni</dc:creator>
  <cp:keywords/>
  <dc:description/>
  <cp:lastModifiedBy>Doina Vudvud</cp:lastModifiedBy>
  <cp:lastPrinted>2019-09-12T14:06:16Z</cp:lastPrinted>
  <dcterms:created xsi:type="dcterms:W3CDTF">2016-09-01T07:59:47Z</dcterms:created>
  <dcterms:modified xsi:type="dcterms:W3CDTF">2019-09-13T13:50:08Z</dcterms:modified>
  <cp:category/>
  <cp:version/>
  <cp:contentType/>
  <cp:contentStatus/>
</cp:coreProperties>
</file>