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  <sheet name="Лист1" sheetId="9" r:id="rId9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<sst xmlns="http://schemas.openxmlformats.org/spreadsheetml/2006/main" count="813" uniqueCount="305">
  <si>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</si>
  <si>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</si>
  <si>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</si>
  <si>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</si>
  <si>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</si>
  <si>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</si>
  <si>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</si>
  <si>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</si>
  <si>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</si>
  <si>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</si>
  <si>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</si>
  <si>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</si>
  <si>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</si>
  <si>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</si>
  <si>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</si>
  <si>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</si>
  <si>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</si>
  <si>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</si>
  <si>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</si>
  <si>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</si>
  <si>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</si>
  <si>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</si>
  <si>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</si>
  <si>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</si>
  <si>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</si>
  <si>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</si>
  <si>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</si>
  <si>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</si>
  <si>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</si>
  <si>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</si>
  <si>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</si>
  <si>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</si>
  <si>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</si>
  <si>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</si>
  <si>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</si>
  <si>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</si>
  <si>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</si>
  <si>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</si>
  <si>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</si>
  <si>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</si>
  <si>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</si>
  <si>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</si>
  <si>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</si>
  <si>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</si>
  <si>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</si>
  <si>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</si>
  <si>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</si>
  <si>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</si>
  <si>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</si>
  <si>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</si>
  <si>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</si>
  <si>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</si>
  <si>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</si>
  <si>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</si>
  <si>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</si>
  <si>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</si>
  <si>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</si>
  <si>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</si>
  <si>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</si>
  <si>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</si>
  <si>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</si>
  <si>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</si>
  <si>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</si>
  <si>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</si>
  <si>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</si>
  <si>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</si>
  <si>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</si>
  <si>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</si>
  <si>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</si>
  <si>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</si>
  <si>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</si>
  <si>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</si>
  <si>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</si>
  <si>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</si>
  <si>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</si>
  <si>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</si>
  <si>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</si>
  <si>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</si>
  <si>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</si>
  <si>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</si>
  <si>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</si>
  <si>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</si>
  <si>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</si>
  <si>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</si>
  <si>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</si>
  <si>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</si>
  <si>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</si>
  <si>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</si>
  <si>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</si>
  <si>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</si>
  <si>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</si>
  <si>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</si>
  <si>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</si>
  <si>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</si>
  <si>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</si>
  <si>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</si>
  <si>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</si>
  <si>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Mongolia</t>
  </si>
  <si>
    <t>Peru</t>
  </si>
  <si>
    <t>Kenya</t>
  </si>
  <si>
    <t>mii dolari        SUA</t>
  </si>
  <si>
    <t>EXPORT - total</t>
  </si>
  <si>
    <t>Oman</t>
  </si>
  <si>
    <t>Ghana</t>
  </si>
  <si>
    <t>Albania</t>
  </si>
  <si>
    <t>de 1,8 ori</t>
  </si>
  <si>
    <t>de 1,7 ori</t>
  </si>
  <si>
    <t>de 1,6 ori</t>
  </si>
  <si>
    <t>Gradul de influenţă a grupelor de mărfuri  la creşterea (+),  scăderea (-) exporturilor, %</t>
  </si>
  <si>
    <t>Qatar</t>
  </si>
  <si>
    <t>Ponderea, %</t>
  </si>
  <si>
    <t>Swaziland</t>
  </si>
  <si>
    <t>2018¹</t>
  </si>
  <si>
    <t>mii dolari         SUA</t>
  </si>
  <si>
    <t>Belize</t>
  </si>
  <si>
    <t>-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</si>
  <si>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</si>
  <si>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</si>
  <si>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</si>
  <si>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</si>
  <si>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</si>
  <si>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</si>
  <si>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</si>
  <si>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r>
      <rPr>
        <b/>
        <sz val="12"/>
        <rFont val="Times New Roman"/>
        <family val="1"/>
      </rPr>
      <t xml:space="preserve">Anexa 1.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</si>
  <si>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</si>
  <si>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</si>
  <si>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rFont val="Times New Roman"/>
        <family val="1"/>
      </rPr>
      <t xml:space="preserve">Anexa 4. </t>
    </r>
    <r>
      <rPr>
        <b/>
        <i/>
        <sz val="12"/>
        <rFont val="Times New Roman"/>
        <family val="1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</si>
  <si>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Importurile structurate pe grupe de ţări și moduri de transport a mărfurilor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</si>
  <si>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</si>
  <si>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Importurile structurate pe grupe de mărfuri, </t>
    </r>
  </si>
  <si>
    <r>
      <rPr>
        <b/>
        <sz val="12"/>
        <color indexed="8"/>
        <rFont val="Times New Roman"/>
        <family val="1"/>
      </rPr>
      <t xml:space="preserve">Anexa 8.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</si>
  <si>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</si>
  <si>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</si>
  <si>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</si>
  <si>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</si>
  <si>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de 1,5 ori</t>
  </si>
  <si>
    <t>Kârgâzstan</t>
  </si>
  <si>
    <t>Siria</t>
  </si>
  <si>
    <t>Afganistan</t>
  </si>
  <si>
    <t>Kuwait</t>
  </si>
  <si>
    <t>Statul Palestina</t>
  </si>
  <si>
    <t>Montenegro</t>
  </si>
  <si>
    <t>Libia</t>
  </si>
  <si>
    <t>IMPORT - total</t>
  </si>
  <si>
    <t>Insulele Faroe</t>
  </si>
  <si>
    <t>San Marino</t>
  </si>
  <si>
    <t>Tanzania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</si>
  <si>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</si>
  <si>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</si>
  <si>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</si>
  <si>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</si>
  <si>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</si>
  <si>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</si>
  <si>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Cote D'Ivoire</t>
  </si>
  <si>
    <t>Madagascar</t>
  </si>
  <si>
    <t xml:space="preserve">     din care:</t>
  </si>
  <si>
    <t>Franţa</t>
  </si>
  <si>
    <t>Regatul Unit al Marii Britanii şi Irlandei de Nord</t>
  </si>
  <si>
    <t>Croaţia</t>
  </si>
  <si>
    <t>Federaţia Rusă</t>
  </si>
  <si>
    <t>Şri Lanka</t>
  </si>
  <si>
    <t>Elveţia</t>
  </si>
  <si>
    <t>Gibraltar</t>
  </si>
  <si>
    <t>Mali</t>
  </si>
  <si>
    <t>Somalia</t>
  </si>
  <si>
    <t>Macedonia de Nord</t>
  </si>
  <si>
    <t>de 2,3 ori</t>
  </si>
  <si>
    <t>Niger</t>
  </si>
  <si>
    <t>de 2,2 ori</t>
  </si>
  <si>
    <t>de 2,4 ori</t>
  </si>
  <si>
    <t>Celelalte ţări ale lumii - total</t>
  </si>
  <si>
    <t>Insulele Folkland</t>
  </si>
  <si>
    <t>de 6,1 ori</t>
  </si>
  <si>
    <t>Liberia</t>
  </si>
  <si>
    <t>Ţările CSI - total</t>
  </si>
  <si>
    <t>de 1,9 ori</t>
  </si>
  <si>
    <t>de 3,5 ori</t>
  </si>
  <si>
    <t>Guinea</t>
  </si>
  <si>
    <t>Burkina Faso</t>
  </si>
  <si>
    <t>de 2,6 ori</t>
  </si>
  <si>
    <t>Zimbabwe</t>
  </si>
  <si>
    <t>Guatemala</t>
  </si>
  <si>
    <t>Mauritius</t>
  </si>
  <si>
    <t>Liechtenştein</t>
  </si>
  <si>
    <t>Jamaica</t>
  </si>
  <si>
    <t>Cuba</t>
  </si>
  <si>
    <t>de 2,1 ori</t>
  </si>
  <si>
    <t>Andorra</t>
  </si>
  <si>
    <t>Laos</t>
  </si>
  <si>
    <t>Kosovo</t>
  </si>
  <si>
    <t>de 8,6 ori</t>
  </si>
  <si>
    <t>de 2,7 ori</t>
  </si>
  <si>
    <t>Bosnia şi Hertegovina</t>
  </si>
  <si>
    <t>de 3,2 ori</t>
  </si>
  <si>
    <t>de 3,0 ori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</si>
  <si>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</si>
  <si>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</si>
  <si>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</si>
  <si>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</si>
  <si>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</si>
  <si>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</si>
  <si>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</si>
  <si>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</si>
  <si>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</si>
  <si>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</si>
  <si>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</si>
  <si>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</si>
  <si>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</si>
  <si>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Piei crude, piei tăbăcite şi blănuri brute</t>
  </si>
  <si>
    <t>Seminţe şi fructe oleaginoase</t>
  </si>
  <si>
    <t>Lemn şi plută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</si>
  <si>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</si>
  <si>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</si>
  <si>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</si>
  <si>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</si>
  <si>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</si>
  <si>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</si>
  <si>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</si>
  <si>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Energie electrică</t>
  </si>
  <si>
    <t>Uleiuri, grăsimi şi ceruri de origine animală sau vegetală</t>
  </si>
  <si>
    <t>Grăsimi şi uleiuri vegetale fixate, brute, rafinate sau fracţionate</t>
  </si>
  <si>
    <t>Alte uleiuri şi grăsimi animale sau vegetale prelucrate; ceară de origine animală sau vegetală, amestecuri sau preparate necomestibile din uleiuri animale sau vegetale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</si>
  <si>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</si>
  <si>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</si>
  <si>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</si>
  <si>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</si>
  <si>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Alte materiale şi produse chimice</t>
  </si>
  <si>
    <t>Îngrăşăminte minerale sau chimice</t>
  </si>
  <si>
    <t>Mărfuri manufacturate, clasificate mai ales după materia primă</t>
  </si>
  <si>
    <t>Piele, altă piele şi blană prelucrate</t>
  </si>
  <si>
    <t>Articole din lemn (exclusiv mobilă)</t>
  </si>
  <si>
    <t>Hârtie, carton şi articole din pastă de celuloză, din hârtie sau din carton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</si>
  <si>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</si>
  <si>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</si>
  <si>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</si>
  <si>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</si>
  <si>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</si>
  <si>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</si>
  <si>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</si>
  <si>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</si>
  <si>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</si>
  <si>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</si>
  <si>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</si>
  <si>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</si>
  <si>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</si>
  <si>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Instrumente şi aparate, profesionale, ştiinţifice şi de control</t>
  </si>
  <si>
    <t>Aparate fotografice, echipamente şi furnituri de optică; ceasuri şi orologii</t>
  </si>
  <si>
    <t>Bunuri neclasificate în altă secţiune din CSCI</t>
  </si>
  <si>
    <t>Cauciuc brut (inclusiv cauciuc sintetic şi regenerat)</t>
  </si>
  <si>
    <t>Cărbune, cocs şi brichete</t>
  </si>
  <si>
    <t>Gaz şi produse industriale obţinute din gaz</t>
  </si>
  <si>
    <t>Uleiuri şi grăsimi de origine animală</t>
  </si>
  <si>
    <t>Încălţăminte</t>
  </si>
  <si>
    <t>de 4,4 ori</t>
  </si>
  <si>
    <t>de 4,8 ori</t>
  </si>
  <si>
    <t>de 6,0 ori</t>
  </si>
  <si>
    <t>Fire, tesături, articole textile necuprinse în altă parte şi produse conexe</t>
  </si>
  <si>
    <t>Construcţii prefabricate; alte instalaţii şi accesorii pentru instalaţii sanitare, de încalzit şi de iluminat</t>
  </si>
  <si>
    <t>Bosnia şi Herţegovina</t>
  </si>
  <si>
    <t>Uganda</t>
  </si>
  <si>
    <t>El Salvador</t>
  </si>
  <si>
    <t>Trinidad Tobago</t>
  </si>
  <si>
    <t>Republica Dominicană</t>
  </si>
  <si>
    <t>Republica Yemen</t>
  </si>
  <si>
    <t>Sierra Leone</t>
  </si>
  <si>
    <t>Ţările Uniunii Europene (UE-28) - total</t>
  </si>
  <si>
    <t>Țările Uniunii Europene (UE-28) - total</t>
  </si>
  <si>
    <t xml:space="preserve">Țările CSI - total </t>
  </si>
  <si>
    <t>Celelalte țări ale lumii - total</t>
  </si>
  <si>
    <t xml:space="preserve">EXPORT - total      </t>
  </si>
  <si>
    <t xml:space="preserve">Celelalte țări ale lumii - total </t>
  </si>
  <si>
    <t>Ianuarie - noiembrie 2019</t>
  </si>
  <si>
    <t>în % faţă de ianuarie - noiembrie 2018¹</t>
  </si>
  <si>
    <t>ianuarie - noiembrie</t>
  </si>
  <si>
    <t>Ianuarie - noiembrie</t>
  </si>
  <si>
    <t>Ianuarie - noiembrie 2019  în % faţă de                          ianuarie - noiembrie 2018¹</t>
  </si>
  <si>
    <t>Ianuarie - noiembrie 2019 în % faţă de ianuarie - noiembrie 2018¹</t>
  </si>
  <si>
    <t>Camerun</t>
  </si>
  <si>
    <t>de 44,9 ori</t>
  </si>
  <si>
    <t>de 14,6 ori</t>
  </si>
  <si>
    <t>de 36,1 ori</t>
  </si>
  <si>
    <t>de 10,4 ori</t>
  </si>
  <si>
    <t>de 6,4 ori</t>
  </si>
  <si>
    <t>de 4,1 ori</t>
  </si>
  <si>
    <t>de 3050,8 ori</t>
  </si>
  <si>
    <t>de 280,9 ori</t>
  </si>
  <si>
    <t>de 2,9 ori</t>
  </si>
  <si>
    <t>Liechtenstein</t>
  </si>
  <si>
    <t>de 3,1 ori</t>
  </si>
  <si>
    <t>Construcţii prefabricate; alte instalaţii şi accesorii pentru instalaţii sanitare, de încălzit şi de iluminat</t>
  </si>
  <si>
    <t>Instrumente şi aparate, profesionale, ştiintifice şi de control</t>
  </si>
  <si>
    <t>de 4,7 ori</t>
  </si>
  <si>
    <t>de 3,6 ori</t>
  </si>
  <si>
    <t>de 45,0 ori</t>
  </si>
  <si>
    <t>Antigua si Barbuda</t>
  </si>
  <si>
    <t xml:space="preserve"> -</t>
  </si>
  <si>
    <t>de 37,7 ori</t>
  </si>
  <si>
    <t>de 11,2 ori</t>
  </si>
  <si>
    <t>de 9,2 ori</t>
  </si>
  <si>
    <t>de 4,2 ori</t>
  </si>
  <si>
    <t>de 4,6 ori</t>
  </si>
  <si>
    <t>de 6,3 ori</t>
  </si>
  <si>
    <t>de 12,5 ori</t>
  </si>
  <si>
    <t>de 14,7 ori</t>
  </si>
  <si>
    <t>de 4,0 ori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</si>
</sst>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5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64" fontId="12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2" fontId="13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58" fillId="0" borderId="0" xfId="0" applyNumberFormat="1" applyFont="1" applyAlignment="1">
      <alignment horizontal="right" vertical="top" wrapText="1"/>
    </xf>
    <xf numFmtId="4" fontId="62" fillId="0" borderId="0" xfId="0" applyNumberFormat="1" applyFont="1" applyFill="1" applyAlignment="1" applyProtection="1">
      <alignment horizontal="right" vertical="top" wrapText="1"/>
      <protection/>
    </xf>
    <xf numFmtId="4" fontId="0" fillId="0" borderId="0" xfId="0" applyNumberFormat="1" applyAlignment="1">
      <alignment horizontal="right" vertical="top"/>
    </xf>
    <xf numFmtId="4" fontId="63" fillId="0" borderId="0" xfId="0" applyNumberFormat="1" applyFont="1" applyFill="1" applyBorder="1" applyAlignment="1" applyProtection="1">
      <alignment horizontal="right" vertical="top" wrapText="1"/>
      <protection/>
    </xf>
    <xf numFmtId="4" fontId="64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4" fontId="62" fillId="0" borderId="0" xfId="0" applyNumberFormat="1" applyFont="1" applyFill="1" applyBorder="1" applyAlignment="1" applyProtection="1">
      <alignment horizontal="right" vertical="top" wrapText="1"/>
      <protection/>
    </xf>
    <xf numFmtId="38" fontId="10" fillId="0" borderId="0" xfId="0" applyNumberFormat="1" applyFont="1" applyFill="1" applyAlignment="1" applyProtection="1">
      <alignment horizontal="left" vertical="top" wrapText="1"/>
      <protection/>
    </xf>
    <xf numFmtId="4" fontId="10" fillId="0" borderId="0" xfId="0" applyNumberFormat="1" applyFont="1" applyFill="1" applyAlignment="1" applyProtection="1">
      <alignment horizontal="right" vertical="top" wrapText="1"/>
      <protection/>
    </xf>
    <xf numFmtId="0" fontId="26" fillId="0" borderId="13" xfId="0" applyNumberFormat="1" applyFont="1" applyFill="1" applyBorder="1" applyAlignment="1" applyProtection="1">
      <alignment horizontal="left" vertical="top" wrapText="1"/>
      <protection/>
    </xf>
    <xf numFmtId="4" fontId="26" fillId="0" borderId="13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4" fontId="12" fillId="0" borderId="0" xfId="0" applyNumberFormat="1" applyFont="1" applyFill="1" applyAlignment="1" applyProtection="1">
      <alignment horizontal="right" vertical="top"/>
      <protection/>
    </xf>
    <xf numFmtId="4" fontId="10" fillId="0" borderId="0" xfId="0" applyNumberFormat="1" applyFont="1" applyFill="1" applyAlignment="1" applyProtection="1">
      <alignment horizontal="right" vertical="top"/>
      <protection/>
    </xf>
    <xf numFmtId="38" fontId="10" fillId="0" borderId="0" xfId="0" applyNumberFormat="1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38" fontId="10" fillId="0" borderId="14" xfId="0" applyNumberFormat="1" applyFont="1" applyFill="1" applyBorder="1" applyAlignment="1" applyProtection="1">
      <alignment horizontal="left" vertical="top" wrapText="1"/>
      <protection/>
    </xf>
    <xf numFmtId="4" fontId="10" fillId="0" borderId="14" xfId="0" applyNumberFormat="1" applyFont="1" applyFill="1" applyBorder="1" applyAlignment="1" applyProtection="1">
      <alignment horizontal="right" vertical="top"/>
      <protection/>
    </xf>
    <xf numFmtId="4" fontId="26" fillId="0" borderId="13" xfId="0" applyNumberFormat="1" applyFont="1" applyFill="1" applyBorder="1" applyAlignment="1" applyProtection="1">
      <alignment horizontal="right" vertical="top" wrapText="1"/>
      <protection/>
    </xf>
    <xf numFmtId="38" fontId="12" fillId="0" borderId="0" xfId="0" applyNumberFormat="1" applyFont="1" applyFill="1" applyAlignment="1" applyProtection="1">
      <alignment horizontal="left" vertical="top" wrapText="1"/>
      <protection/>
    </xf>
    <xf numFmtId="38" fontId="12" fillId="0" borderId="14" xfId="0" applyNumberFormat="1" applyFont="1" applyFill="1" applyBorder="1" applyAlignment="1" applyProtection="1">
      <alignment horizontal="left" vertical="top" wrapText="1"/>
      <protection/>
    </xf>
    <xf numFmtId="4" fontId="12" fillId="0" borderId="14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 horizontal="left" vertical="top" wrapText="1"/>
    </xf>
    <xf numFmtId="4" fontId="26" fillId="0" borderId="0" xfId="0" applyNumberFormat="1" applyFont="1" applyFill="1" applyAlignment="1" applyProtection="1">
      <alignment horizontal="right" vertical="top"/>
      <protection/>
    </xf>
    <xf numFmtId="0" fontId="10" fillId="0" borderId="0" xfId="0" applyFont="1" applyAlignment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4" fontId="10" fillId="0" borderId="0" xfId="0" applyNumberFormat="1" applyFont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4" fontId="10" fillId="0" borderId="14" xfId="0" applyNumberFormat="1" applyFont="1" applyBorder="1" applyAlignment="1">
      <alignment horizontal="right" vertical="top" wrapText="1"/>
    </xf>
    <xf numFmtId="4" fontId="10" fillId="0" borderId="14" xfId="0" applyNumberFormat="1" applyFont="1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8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32.50390625" style="9" customWidth="1"/>
    <col min="2" max="2" width="11.125" style="9" customWidth="1"/>
    <col min="3" max="3" width="10.00390625" style="9" customWidth="1"/>
    <col min="4" max="4" width="8.625" style="9" customWidth="1"/>
    <col min="5" max="5" width="8.25390625" style="9" customWidth="1"/>
    <col min="6" max="7" width="9.75390625" style="9" customWidth="1"/>
  </cols>
  <sheetData>
    <row r="1" spans="1:7" ht="15.75">
      <c r="A1" s="59" t="s">
        <v>123</v>
      </c>
      <c r="B1" s="59"/>
      <c r="C1" s="59"/>
      <c r="D1" s="59"/>
      <c r="E1" s="59"/>
      <c r="F1" s="59"/>
      <c r="G1" s="59"/>
    </row>
    <row r="2" ht="9" customHeight="1"/>
    <row r="3" spans="1:7" ht="54" customHeight="1">
      <c r="A3" s="60"/>
      <c r="B3" s="63" t="s">
        <v>271</v>
      </c>
      <c r="C3" s="64"/>
      <c r="D3" s="63" t="s">
        <v>110</v>
      </c>
      <c r="E3" s="64"/>
      <c r="F3" s="65" t="s">
        <v>1</v>
      </c>
      <c r="G3" s="66"/>
    </row>
    <row r="4" spans="1:7" ht="24" customHeight="1">
      <c r="A4" s="61"/>
      <c r="B4" s="67" t="s">
        <v>100</v>
      </c>
      <c r="C4" s="69" t="s">
        <v>272</v>
      </c>
      <c r="D4" s="71" t="s">
        <v>273</v>
      </c>
      <c r="E4" s="71"/>
      <c r="F4" s="71" t="s">
        <v>273</v>
      </c>
      <c r="G4" s="63"/>
    </row>
    <row r="5" spans="1:7" ht="30" customHeight="1">
      <c r="A5" s="62"/>
      <c r="B5" s="68"/>
      <c r="C5" s="70"/>
      <c r="D5" s="21">
        <v>2018</v>
      </c>
      <c r="E5" s="21">
        <v>2019</v>
      </c>
      <c r="F5" s="21" t="s">
        <v>112</v>
      </c>
      <c r="G5" s="17" t="s">
        <v>133</v>
      </c>
    </row>
    <row r="6" spans="1:7" ht="15.75" customHeight="1">
      <c r="A6" s="36" t="s">
        <v>101</v>
      </c>
      <c r="B6" s="37">
        <f>IF(2560982.65919="","-",2560982.65919)</f>
        <v>2560982.65919</v>
      </c>
      <c r="C6" s="37">
        <f>IF(2487345.59713="","-",2560982.65919/2487345.59713*100)</f>
        <v>102.96046766259444</v>
      </c>
      <c r="D6" s="37">
        <v>100</v>
      </c>
      <c r="E6" s="37">
        <v>100</v>
      </c>
      <c r="F6" s="37">
        <f>IF(2191887.38519="","-",(2487345.59713-2191887.38519)/2191887.38519*100)</f>
        <v>13.479625547203423</v>
      </c>
      <c r="G6" s="37">
        <f>IF(2487345.59713="","-",(2560982.65919-2487345.59713)/2487345.59713*100)</f>
        <v>2.9604676625944273</v>
      </c>
    </row>
    <row r="7" spans="1:7" ht="15.75" customHeight="1">
      <c r="A7" s="38" t="s">
        <v>150</v>
      </c>
      <c r="B7" s="27"/>
      <c r="C7" s="27"/>
      <c r="D7" s="27"/>
      <c r="E7" s="27"/>
      <c r="F7" s="27"/>
      <c r="G7" s="27"/>
    </row>
    <row r="8" spans="1:7" ht="15.75" customHeight="1">
      <c r="A8" s="39" t="s">
        <v>265</v>
      </c>
      <c r="B8" s="40">
        <f>IF(1683012.90451="","-",1683012.90451)</f>
        <v>1683012.90451</v>
      </c>
      <c r="C8" s="40">
        <f>IF(1725820.63225="","-",1683012.90451/1725820.63225*100)</f>
        <v>97.51957260563108</v>
      </c>
      <c r="D8" s="40">
        <f>IF(1725820.63225="","-",1725820.63225/2487345.59713*100)</f>
        <v>69.38403068079167</v>
      </c>
      <c r="E8" s="40">
        <f>IF(1683012.90451="","-",1683012.90451/2560982.65919*100)</f>
        <v>65.71746585126475</v>
      </c>
      <c r="F8" s="40">
        <f>IF(2191887.38519="","-",(1725820.63225-1439561.18568)/2191887.38519*100)</f>
        <v>13.059952281498532</v>
      </c>
      <c r="G8" s="40">
        <f>IF(2487345.59713="","-",(1683012.90451-1725820.63225)/2487345.59713*100)</f>
        <v>-1.7210205043236968</v>
      </c>
    </row>
    <row r="9" spans="1:7" ht="15.75" customHeight="1">
      <c r="A9" s="34" t="s">
        <v>2</v>
      </c>
      <c r="B9" s="41">
        <f>IF(711144.79659="","-",711144.79659)</f>
        <v>711144.79659</v>
      </c>
      <c r="C9" s="41">
        <f>IF(OR(729714.30551="",711144.79659=""),"-",711144.79659/729714.30551*100)</f>
        <v>97.4552357299585</v>
      </c>
      <c r="D9" s="41">
        <f>IF(729714.30551="","-",729714.30551/2487345.59713*100)</f>
        <v>29.33706945878264</v>
      </c>
      <c r="E9" s="41">
        <f>IF(711144.79659="","-",711144.79659/2560982.65919*100)</f>
        <v>27.768434668547282</v>
      </c>
      <c r="F9" s="41">
        <f>IF(OR(2191887.38519="",545827.68577="",729714.30551=""),"-",(729714.30551-545827.68577)/2191887.38519*100)</f>
        <v>8.389419136333052</v>
      </c>
      <c r="G9" s="41">
        <f>IF(OR(2487345.59713="",711144.79659="",729714.30551=""),"-",(711144.79659-729714.30551)/2487345.59713*100)</f>
        <v>-0.7465592614643572</v>
      </c>
    </row>
    <row r="10" spans="1:7" ht="15.75" customHeight="1">
      <c r="A10" s="34" t="s">
        <v>3</v>
      </c>
      <c r="B10" s="41">
        <f>IF(244076.29646="","-",244076.29646)</f>
        <v>244076.29646</v>
      </c>
      <c r="C10" s="41">
        <f>IF(OR(289694.73402="",244076.29646=""),"-",244076.29646/289694.73402*100)</f>
        <v>84.25292827143673</v>
      </c>
      <c r="D10" s="41">
        <f>IF(289694.73402="","-",289694.73402/2487345.59713*100)</f>
        <v>11.646742388925023</v>
      </c>
      <c r="E10" s="41">
        <f>IF(244076.29646="","-",244076.29646/2560982.65919*100)</f>
        <v>9.53057200852729</v>
      </c>
      <c r="F10" s="41">
        <f>IF(OR(2191887.38519="",215220.30516="",289694.73402=""),"-",(289694.73402-215220.30516)/2191887.38519*100)</f>
        <v>3.397730620797578</v>
      </c>
      <c r="G10" s="41">
        <f>IF(OR(2487345.59713="",244076.29646="",289694.73402=""),"-",(244076.29646-289694.73402)/2487345.59713*100)</f>
        <v>-1.8340208780250062</v>
      </c>
    </row>
    <row r="11" spans="1:7" ht="15.75" customHeight="1">
      <c r="A11" s="34" t="s">
        <v>4</v>
      </c>
      <c r="B11" s="41">
        <f>IF(227815.05399="","-",227815.05399)</f>
        <v>227815.05399</v>
      </c>
      <c r="C11" s="41">
        <f>IF(OR(204951.28243="",227815.05399=""),"-",227815.05399/204951.28243*100)</f>
        <v>111.15571041513684</v>
      </c>
      <c r="D11" s="41">
        <f>IF(204951.28243="","-",204951.28243/2487345.59713*100)</f>
        <v>8.239758989120011</v>
      </c>
      <c r="E11" s="41">
        <f>IF(227815.05399="","-",227815.05399/2560982.65919*100)</f>
        <v>8.895610955134481</v>
      </c>
      <c r="F11" s="41">
        <f>IF(OR(2191887.38519="",148684.13819="",204951.28243=""),"-",(204951.28243-148684.13819)/2191887.38519*100)</f>
        <v>2.5670636466171635</v>
      </c>
      <c r="G11" s="41">
        <f>IF(OR(2487345.59713="",227815.05399="",204951.28243=""),"-",(227815.05399-204951.28243)/2487345.59713*100)</f>
        <v>0.9192036517314336</v>
      </c>
    </row>
    <row r="12" spans="1:7" ht="15.75" customHeight="1">
      <c r="A12" s="34" t="s">
        <v>5</v>
      </c>
      <c r="B12" s="41">
        <f>IF(104069.25469="","-",104069.25469)</f>
        <v>104069.25469</v>
      </c>
      <c r="C12" s="41">
        <f>IF(OR(90462.38661="",104069.25469=""),"-",104069.25469/90462.38661*100)</f>
        <v>115.04146484512034</v>
      </c>
      <c r="D12" s="41">
        <f>IF(90462.38661="","-",90462.38661/2487345.59713*100)</f>
        <v>3.636904606837874</v>
      </c>
      <c r="E12" s="41">
        <f>IF(104069.25469="","-",104069.25469/2560982.65919*100)</f>
        <v>4.0636454259676835</v>
      </c>
      <c r="F12" s="41">
        <f>IF(OR(2191887.38519="",93606.26972="",90462.38661=""),"-",(90462.38661-93606.26972)/2191887.38519*100)</f>
        <v>-0.14343269326893238</v>
      </c>
      <c r="G12" s="41">
        <f>IF(OR(2487345.59713="",104069.25469="",90462.38661=""),"-",(104069.25469-90462.38661)/2487345.59713*100)</f>
        <v>0.547043727888081</v>
      </c>
    </row>
    <row r="13" spans="1:7" ht="13.5" customHeight="1">
      <c r="A13" s="34" t="s">
        <v>7</v>
      </c>
      <c r="B13" s="41">
        <f>IF(58356.22207="","-",58356.22207)</f>
        <v>58356.22207</v>
      </c>
      <c r="C13" s="41">
        <f>IF(OR(39436.68697="",58356.22207=""),"-",58356.22207/39436.68697*100)</f>
        <v>147.9744536207931</v>
      </c>
      <c r="D13" s="41">
        <f>IF(39436.68697="","-",39436.68697/2487345.59713*100)</f>
        <v>1.5854928649844093</v>
      </c>
      <c r="E13" s="41">
        <f>IF(58356.22207="","-",58356.22207/2560982.65919*100)</f>
        <v>2.278665256111386</v>
      </c>
      <c r="F13" s="41">
        <f>IF(OR(2191887.38519="",26974.6822099999="",39436.68697=""),"-",(39436.68697-26974.6822099999)/2191887.38519*100)</f>
        <v>0.5685513244978987</v>
      </c>
      <c r="G13" s="41">
        <f>IF(OR(2487345.59713="",58356.22207="",39436.68697=""),"-",(58356.22207-39436.68697)/2487345.59713*100)</f>
        <v>0.7606315391729289</v>
      </c>
    </row>
    <row r="14" spans="1:7" ht="15.75" customHeight="1">
      <c r="A14" s="34" t="s">
        <v>6</v>
      </c>
      <c r="B14" s="41">
        <f>IF(54215.36714="","-",54215.36714)</f>
        <v>54215.36714</v>
      </c>
      <c r="C14" s="41">
        <f>IF(OR(45509.19357="",54215.36714=""),"-",54215.36714/45509.19357*100)</f>
        <v>119.13058194847727</v>
      </c>
      <c r="D14" s="41">
        <f>IF(45509.19357="","-",45509.19357/2487345.59713*100)</f>
        <v>1.8296288872165711</v>
      </c>
      <c r="E14" s="41">
        <f>IF(54215.36714="","-",54215.36714/2560982.65919*100)</f>
        <v>2.1169751753472434</v>
      </c>
      <c r="F14" s="41">
        <f>IF(OR(2191887.38519="",72018.45897="",45509.19357=""),"-",(45509.19357-72018.45897)/2191887.38519*100)</f>
        <v>-1.2094264321751227</v>
      </c>
      <c r="G14" s="41">
        <f>IF(OR(2487345.59713="",54215.36714="",45509.19357=""),"-",(54215.36714-45509.19357)/2487345.59713*100)</f>
        <v>0.3500186536219789</v>
      </c>
    </row>
    <row r="15" spans="1:7" s="12" customFormat="1" ht="15" customHeight="1">
      <c r="A15" s="34" t="s">
        <v>157</v>
      </c>
      <c r="B15" s="41">
        <f>IF(46066.96985="","-",46066.96985)</f>
        <v>46066.96985</v>
      </c>
      <c r="C15" s="41">
        <f>IF(OR(74505.91507="",46066.96985=""),"-",46066.96985/74505.91507*100)</f>
        <v>61.82994975193451</v>
      </c>
      <c r="D15" s="41">
        <f>IF(74505.91507="","-",74505.91507/2487345.59713*100)</f>
        <v>2.9953985950311024</v>
      </c>
      <c r="E15" s="41">
        <f>IF(46066.96985="","-",46066.96985/2560982.65919*100)</f>
        <v>1.7988005379376635</v>
      </c>
      <c r="F15" s="41">
        <f>IF(OR(2191887.38519="",124278.69079="",74505.91507=""),"-",(74505.91507-124278.69079)/2191887.38519*100)</f>
        <v>-2.2707724884180363</v>
      </c>
      <c r="G15" s="41">
        <f>IF(OR(2487345.59713="",46066.96985="",74505.91507=""),"-",(46066.96985-74505.91507)/2487345.59713*100)</f>
        <v>-1.1433451488532194</v>
      </c>
    </row>
    <row r="16" spans="1:7" s="12" customFormat="1" ht="15.75">
      <c r="A16" s="34" t="s">
        <v>9</v>
      </c>
      <c r="B16" s="41">
        <f>IF(35625.62534="","-",35625.62534)</f>
        <v>35625.62534</v>
      </c>
      <c r="C16" s="41">
        <f>IF(OR(32203.40701="",35625.62534=""),"-",35625.62534/32203.40701*100)</f>
        <v>110.62688282931465</v>
      </c>
      <c r="D16" s="41">
        <f>IF(32203.40701="","-",32203.40701/2487345.59713*100)</f>
        <v>1.2946896903734484</v>
      </c>
      <c r="E16" s="41">
        <f>IF(35625.62534="","-",35625.62534/2560982.65919*100)</f>
        <v>1.3910920174394248</v>
      </c>
      <c r="F16" s="41">
        <f>IF(OR(2191887.38519="",27862.99243="",32203.40701=""),"-",(32203.40701-27862.99243)/2191887.38519*100)</f>
        <v>0.19802178749360155</v>
      </c>
      <c r="G16" s="41">
        <f>IF(OR(2487345.59713="",35625.62534="",32203.40701=""),"-",(35625.62534-32203.40701)/2487345.59713*100)</f>
        <v>0.13758515639920296</v>
      </c>
    </row>
    <row r="17" spans="1:7" s="12" customFormat="1" ht="15.75">
      <c r="A17" s="34" t="s">
        <v>10</v>
      </c>
      <c r="B17" s="41">
        <f>IF(34510.18839="","-",34510.18839)</f>
        <v>34510.18839</v>
      </c>
      <c r="C17" s="41">
        <f>IF(OR(34298.569="",34510.18839=""),"-",34510.18839/34298.569*100)</f>
        <v>100.6169918925772</v>
      </c>
      <c r="D17" s="41">
        <f>IF(34298.569="","-",34298.569/2487345.59713*100)</f>
        <v>1.3789225365214661</v>
      </c>
      <c r="E17" s="41">
        <f>IF(34510.18839="","-",34510.18839/2560982.65919*100)</f>
        <v>1.3475369802353543</v>
      </c>
      <c r="F17" s="41">
        <f>IF(OR(2191887.38519="",23067.6885699999="",34298.569=""),"-",(34298.569-23067.6885699999)/2191887.38519*100)</f>
        <v>0.5123840077681078</v>
      </c>
      <c r="G17" s="41">
        <f>IF(OR(2487345.59713="",34510.18839="",34298.569=""),"-",(34510.18839-34298.569)/2487345.59713*100)</f>
        <v>0.008507840255257446</v>
      </c>
    </row>
    <row r="18" spans="1:7" s="12" customFormat="1" ht="15.75">
      <c r="A18" s="34" t="s">
        <v>41</v>
      </c>
      <c r="B18" s="41">
        <f>IF(32773.85563="","-",32773.85563)</f>
        <v>32773.85563</v>
      </c>
      <c r="C18" s="41">
        <f>IF(OR(24966.74583="",32773.85563=""),"-",32773.85563/24966.74583*100)</f>
        <v>131.27003356047703</v>
      </c>
      <c r="D18" s="41">
        <f>IF(24966.74583="","-",24966.74583/2487345.59713*100)</f>
        <v>1.0037505788824697</v>
      </c>
      <c r="E18" s="41">
        <f>IF(32773.85563="","-",32773.85563/2560982.65919*100)</f>
        <v>1.2797375067102512</v>
      </c>
      <c r="F18" s="41">
        <f>IF(OR(2191887.38519="",21943.36166="",24966.74583=""),"-",(24966.74583-21943.36166)/2191887.38519*100)</f>
        <v>0.13793519641694202</v>
      </c>
      <c r="G18" s="41">
        <f>IF(OR(2487345.59713="",32773.85563="",24966.74583=""),"-",(32773.85563-24966.74583)/2487345.59713*100)</f>
        <v>0.3138731428800307</v>
      </c>
    </row>
    <row r="19" spans="1:7" s="12" customFormat="1" ht="15.75">
      <c r="A19" s="34" t="s">
        <v>156</v>
      </c>
      <c r="B19" s="41">
        <f>IF(31193.73293="","-",31193.73293)</f>
        <v>31193.73293</v>
      </c>
      <c r="C19" s="41">
        <f>IF(OR(45249.61835="",31193.73293=""),"-",31193.73293/45249.61835*100)</f>
        <v>68.93700779688454</v>
      </c>
      <c r="D19" s="41">
        <f>IF(45249.61835="","-",45249.61835/2487345.59713*100)</f>
        <v>1.8191930547251187</v>
      </c>
      <c r="E19" s="41">
        <f>IF(31193.73293="","-",31193.73293/2560982.65919*100)</f>
        <v>1.218037647309416</v>
      </c>
      <c r="F19" s="41">
        <f>IF(OR(2191887.38519="",42382.16085="",45249.61835=""),"-",(45249.61835-42382.16085)/2191887.38519*100)</f>
        <v>0.13082138796795148</v>
      </c>
      <c r="G19" s="41">
        <f>IF(OR(2487345.59713="",31193.73293="",45249.61835=""),"-",(31193.73293-45249.61835)/2487345.59713*100)</f>
        <v>-0.5650957967488816</v>
      </c>
    </row>
    <row r="20" spans="1:7" s="12" customFormat="1" ht="15.75">
      <c r="A20" s="34" t="s">
        <v>8</v>
      </c>
      <c r="B20" s="41">
        <f>IF(28426.73639="","-",28426.73639)</f>
        <v>28426.73639</v>
      </c>
      <c r="C20" s="41">
        <f>IF(OR(37491.77735="",28426.73639=""),"-",28426.73639/37491.77735*100)</f>
        <v>75.82125575062928</v>
      </c>
      <c r="D20" s="41">
        <f>IF(37491.77735="","-",37491.77735/2487345.59713*100)</f>
        <v>1.5073006900713566</v>
      </c>
      <c r="E20" s="41">
        <f>IF(28426.73639="","-",28426.73639/2560982.65919*100)</f>
        <v>1.109993317916137</v>
      </c>
      <c r="F20" s="41">
        <f>IF(OR(2191887.38519="",38267.03721="",37491.77735=""),"-",(37491.77735-38267.03721)/2191887.38519*100)</f>
        <v>-0.035369511464787395</v>
      </c>
      <c r="G20" s="41">
        <f>IF(OR(2487345.59713="",28426.73639="",37491.77735=""),"-",(28426.73639-37491.77735)/2487345.59713*100)</f>
        <v>-0.36444637892135334</v>
      </c>
    </row>
    <row r="21" spans="1:7" s="14" customFormat="1" ht="15.75">
      <c r="A21" s="34" t="s">
        <v>42</v>
      </c>
      <c r="B21" s="41">
        <f>IF(12601.77547="","-",12601.77547)</f>
        <v>12601.77547</v>
      </c>
      <c r="C21" s="41">
        <f>IF(OR(13645.45087="",12601.77547=""),"-",12601.77547/13645.45087*100)</f>
        <v>92.35147735356581</v>
      </c>
      <c r="D21" s="41">
        <f>IF(13645.45087="","-",13645.45087/2487345.59713*100)</f>
        <v>0.5485948911057905</v>
      </c>
      <c r="E21" s="41">
        <f>IF(12601.77547="","-",12601.77547/2560982.65919*100)</f>
        <v>0.4920679733921256</v>
      </c>
      <c r="F21" s="41">
        <f>IF(OR(2191887.38519="",11642.01511="",13645.45087=""),"-",(13645.45087-11642.01511)/2191887.38519*100)</f>
        <v>0.09140231261590732</v>
      </c>
      <c r="G21" s="41">
        <f>IF(OR(2487345.59713="",12601.77547="",13645.45087=""),"-",(12601.77547-13645.45087)/2487345.59713*100)</f>
        <v>-0.04195940448340733</v>
      </c>
    </row>
    <row r="22" spans="1:7" s="12" customFormat="1" ht="15.75">
      <c r="A22" s="34" t="s">
        <v>45</v>
      </c>
      <c r="B22" s="41">
        <f>IF(11941.48368="","-",11941.48368)</f>
        <v>11941.48368</v>
      </c>
      <c r="C22" s="41">
        <f>IF(OR(16856.34919="",11941.48368=""),"-",11941.48368/16856.34919*100)</f>
        <v>70.84264537592911</v>
      </c>
      <c r="D22" s="41">
        <f>IF(16856.34919="","-",16856.34919/2487345.59713*100)</f>
        <v>0.6776842433737208</v>
      </c>
      <c r="E22" s="41">
        <f>IF(11941.48368="","-",11941.48368/2560982.65919*100)</f>
        <v>0.466285222086467</v>
      </c>
      <c r="F22" s="41">
        <f>IF(OR(2191887.38519="",9351.27048="",16856.34919=""),"-",(16856.34919-9351.27048)/2191887.38519*100)</f>
        <v>0.3424025687044792</v>
      </c>
      <c r="G22" s="41">
        <f>IF(OR(2487345.59713="",11941.48368="",16856.34919=""),"-",(11941.48368-16856.34919)/2487345.59713*100)</f>
        <v>-0.19759479807192745</v>
      </c>
    </row>
    <row r="23" spans="1:7" s="12" customFormat="1" ht="15.75">
      <c r="A23" s="34" t="s">
        <v>43</v>
      </c>
      <c r="B23" s="41">
        <f>IF(10064.4466="","-",10064.4466)</f>
        <v>10064.4466</v>
      </c>
      <c r="C23" s="41">
        <f>IF(OR(7792.71575="",10064.4466=""),"-",10064.4466/7792.71575*100)</f>
        <v>129.15197888489644</v>
      </c>
      <c r="D23" s="41">
        <f>IF(7792.71575="","-",7792.71575/2487345.59713*100)</f>
        <v>0.3132944516834151</v>
      </c>
      <c r="E23" s="41">
        <f>IF(10064.4466="","-",10064.4466/2560982.65919*100)</f>
        <v>0.3929915949990552</v>
      </c>
      <c r="F23" s="41">
        <f>IF(OR(2191887.38519="",9248.79506="",7792.71575=""),"-",(7792.71575-9248.79506)/2191887.38519*100)</f>
        <v>-0.06643038870693543</v>
      </c>
      <c r="G23" s="41">
        <f>IF(OR(2487345.59713="",10064.4466="",7792.71575=""),"-",(10064.4466-7792.71575)/2487345.59713*100)</f>
        <v>0.09133153240230123</v>
      </c>
    </row>
    <row r="24" spans="1:7" s="12" customFormat="1" ht="15.75">
      <c r="A24" s="34" t="s">
        <v>48</v>
      </c>
      <c r="B24" s="41">
        <f>IF(9459.48893="","-",9459.48893)</f>
        <v>9459.48893</v>
      </c>
      <c r="C24" s="41">
        <f>IF(OR(8575.90671="",9459.48893=""),"-",9459.48893/8575.90671*100)</f>
        <v>110.30307639622168</v>
      </c>
      <c r="D24" s="41">
        <f>IF(8575.90671="","-",8575.90671/2487345.59713*100)</f>
        <v>0.3447814698486301</v>
      </c>
      <c r="E24" s="41">
        <f>IF(9459.48893="","-",9459.48893/2560982.65919*100)</f>
        <v>0.369369503383982</v>
      </c>
      <c r="F24" s="41">
        <f>IF(OR(2191887.38519="",7802.82751="",8575.90671=""),"-",(8575.90671-7802.82751)/2191887.38519*100)</f>
        <v>0.0352700236893323</v>
      </c>
      <c r="G24" s="41">
        <f>IF(OR(2487345.59713="",9459.48893="",8575.90671=""),"-",(9459.48893-8575.90671)/2487345.59713*100)</f>
        <v>0.03552309823852033</v>
      </c>
    </row>
    <row r="25" spans="1:7" s="12" customFormat="1" ht="15.75">
      <c r="A25" s="34" t="s">
        <v>52</v>
      </c>
      <c r="B25" s="41">
        <f>IF(8147.49899="","-",8147.49899)</f>
        <v>8147.49899</v>
      </c>
      <c r="C25" s="41">
        <f>IF(OR(9350.49588="",8147.49899=""),"-",8147.49899/9350.49588*100)</f>
        <v>87.13440543219617</v>
      </c>
      <c r="D25" s="41">
        <f>IF(9350.49588="","-",9350.49588/2487345.59713*100)</f>
        <v>0.3759226659451336</v>
      </c>
      <c r="E25" s="41">
        <f>IF(8147.49899="","-",8147.49899/2560982.65919*100)</f>
        <v>0.31813956102994195</v>
      </c>
      <c r="F25" s="41">
        <f>IF(OR(2191887.38519="",653.25696="",9350.49588=""),"-",(9350.49588-653.25696)/2191887.38519*100)</f>
        <v>0.3967922338877869</v>
      </c>
      <c r="G25" s="41">
        <f>IF(OR(2487345.59713="",8147.49899="",9350.49588=""),"-",(8147.49899-9350.49588)/2487345.59713*100)</f>
        <v>-0.04836468608898043</v>
      </c>
    </row>
    <row r="26" spans="1:7" s="12" customFormat="1" ht="15.75">
      <c r="A26" s="34" t="s">
        <v>44</v>
      </c>
      <c r="B26" s="41">
        <f>IF(8013.90792="","-",8013.90792)</f>
        <v>8013.90792</v>
      </c>
      <c r="C26" s="41">
        <f>IF(OR(8144.02548="",8013.90792=""),"-",8013.90792/8144.02548*100)</f>
        <v>98.40229429144664</v>
      </c>
      <c r="D26" s="41">
        <f>IF(8144.02548="","-",8144.02548/2487345.59713*100)</f>
        <v>0.3274183325950727</v>
      </c>
      <c r="E26" s="41">
        <f>IF(8013.90792="","-",8013.90792/2560982.65919*100)</f>
        <v>0.31292316217926586</v>
      </c>
      <c r="F26" s="41">
        <f>IF(OR(2191887.38519="",7947.24793="",8144.02548=""),"-",(8144.02548-7947.24793)/2191887.38519*100)</f>
        <v>0.008977539235344542</v>
      </c>
      <c r="G26" s="41">
        <f>IF(OR(2487345.59713="",8013.90792="",8144.02548=""),"-",(8013.90792-8144.02548)/2487345.59713*100)</f>
        <v>-0.005231181390721719</v>
      </c>
    </row>
    <row r="27" spans="1:7" s="12" customFormat="1" ht="15.75">
      <c r="A27" s="34" t="s">
        <v>46</v>
      </c>
      <c r="B27" s="41">
        <f>IF(7027.04904="","-",7027.04904)</f>
        <v>7027.04904</v>
      </c>
      <c r="C27" s="41">
        <f>IF(OR(5523.02639="",7027.04904=""),"-",7027.04904/5523.02639*100)</f>
        <v>127.23185702540161</v>
      </c>
      <c r="D27" s="41">
        <f>IF(5523.02639="","-",5523.02639/2487345.59713*100)</f>
        <v>0.2220449943253841</v>
      </c>
      <c r="E27" s="41">
        <f>IF(7027.04904="","-",7027.04904/2560982.65919*100)</f>
        <v>0.2743887786504009</v>
      </c>
      <c r="F27" s="41">
        <f>IF(OR(2191887.38519="",5401.22322="",5523.02639=""),"-",(5523.02639-5401.22322)/2191887.38519*100)</f>
        <v>0.00555699945275436</v>
      </c>
      <c r="G27" s="41">
        <f>IF(OR(2487345.59713="",7027.04904="",5523.02639=""),"-",(7027.04904-5523.02639)/2487345.59713*100)</f>
        <v>0.060466975386749715</v>
      </c>
    </row>
    <row r="28" spans="1:7" s="9" customFormat="1" ht="15.75">
      <c r="A28" s="34" t="s">
        <v>47</v>
      </c>
      <c r="B28" s="41">
        <f>IF(3190.13203="","-",3190.13203)</f>
        <v>3190.13203</v>
      </c>
      <c r="C28" s="41">
        <f>IF(OR(2862.43765="",3190.13203=""),"-",3190.13203/2862.43765*100)</f>
        <v>111.44808796097271</v>
      </c>
      <c r="D28" s="41">
        <f>IF(2862.43765="","-",2862.43765/2487345.59713*100)</f>
        <v>0.11508001354145543</v>
      </c>
      <c r="E28" s="41">
        <f>IF(3190.13203="","-",3190.13203/2560982.65919*100)</f>
        <v>0.12456671733220523</v>
      </c>
      <c r="F28" s="41">
        <f>IF(OR(2191887.38519="",3246.0644="",2862.43765=""),"-",(2862.43765-3246.0644)/2191887.38519*100)</f>
        <v>-0.017502119524573402</v>
      </c>
      <c r="G28" s="41">
        <f>IF(OR(2487345.59713="",3190.13203="",2862.43765=""),"-",(3190.13203-2862.43765)/2487345.59713*100)</f>
        <v>0.013174461175725134</v>
      </c>
    </row>
    <row r="29" spans="1:7" s="9" customFormat="1" ht="15.75">
      <c r="A29" s="34" t="s">
        <v>158</v>
      </c>
      <c r="B29" s="41">
        <f>IF(1036.17238="","-",1036.17238)</f>
        <v>1036.17238</v>
      </c>
      <c r="C29" s="41">
        <f>IF(OR(986.10014="",1036.17238=""),"-",1036.17238/986.10014*100)</f>
        <v>105.07780477548658</v>
      </c>
      <c r="D29" s="41">
        <f>IF(986.10014="","-",986.10014/2487345.59713*100)</f>
        <v>0.039644677488234935</v>
      </c>
      <c r="E29" s="41">
        <f>IF(1036.17238="","-",1036.17238/2560982.65919*100)</f>
        <v>0.04045995299037775</v>
      </c>
      <c r="F29" s="41">
        <f>IF(OR(2191887.38519="",788.18331="",986.10014=""),"-",(986.10014-788.18331)/2191887.38519*100)</f>
        <v>0.009029516358243192</v>
      </c>
      <c r="G29" s="41">
        <f>IF(OR(2487345.59713="",1036.17238="",986.10014=""),"-",(1036.17238-986.10014)/2487345.59713*100)</f>
        <v>0.002013079326723851</v>
      </c>
    </row>
    <row r="30" spans="1:7" s="12" customFormat="1" ht="15.75">
      <c r="A30" s="34" t="s">
        <v>50</v>
      </c>
      <c r="B30" s="41">
        <f>IF(985.38078="","-",985.38078)</f>
        <v>985.38078</v>
      </c>
      <c r="C30" s="41" t="s">
        <v>286</v>
      </c>
      <c r="D30" s="41">
        <f>IF(345.09568="","-",345.09568/2487345.59713*100)</f>
        <v>0.013874054349270377</v>
      </c>
      <c r="E30" s="41">
        <f>IF(985.38078="","-",985.38078/2560982.65919*100)</f>
        <v>0.03847666740202219</v>
      </c>
      <c r="F30" s="41">
        <f>IF(OR(2191887.38519="",89.89643="",345.09568=""),"-",(345.09568-89.89643)/2191887.38519*100)</f>
        <v>0.01164289970936981</v>
      </c>
      <c r="G30" s="41">
        <f>IF(OR(2487345.59713="",985.38078="",345.09568=""),"-",(985.38078-345.09568)/2487345.59713*100)</f>
        <v>0.025741702348832697</v>
      </c>
    </row>
    <row r="31" spans="1:7" s="12" customFormat="1" ht="15.75">
      <c r="A31" s="34" t="s">
        <v>49</v>
      </c>
      <c r="B31" s="41">
        <f>IF(775.30483="","-",775.30483)</f>
        <v>775.30483</v>
      </c>
      <c r="C31" s="41">
        <f>IF(OR(1548.56455="",775.30483=""),"-",775.30483/1548.56455*100)</f>
        <v>50.0660324427548</v>
      </c>
      <c r="D31" s="41">
        <f>IF(1548.56455="","-",1548.56455/2487345.59713*100)</f>
        <v>0.062257715686424776</v>
      </c>
      <c r="E31" s="41">
        <f>IF(775.30483="","-",775.30483/2560982.65919*100)</f>
        <v>0.03027372431507276</v>
      </c>
      <c r="F31" s="41">
        <f>IF(OR(2191887.38519="",1329.42909="",1548.56455=""),"-",(1548.56455-1329.42909)/2191887.38519*100)</f>
        <v>0.009997569285750718</v>
      </c>
      <c r="G31" s="41">
        <f>IF(OR(2487345.59713="",775.30483="",1548.56455=""),"-",(775.30483-1548.56455)/2487345.59713*100)</f>
        <v>-0.031087747552741296</v>
      </c>
    </row>
    <row r="32" spans="1:7" s="9" customFormat="1" ht="15.75">
      <c r="A32" s="34" t="s">
        <v>51</v>
      </c>
      <c r="B32" s="41">
        <f>IF(644.97691="","-",644.97691)</f>
        <v>644.97691</v>
      </c>
      <c r="C32" s="41">
        <f>IF(OR(730.94718="",644.97691=""),"-",644.97691/730.94718*100)</f>
        <v>88.23851129708167</v>
      </c>
      <c r="D32" s="41">
        <f>IF(730.94718="","-",730.94718/2487345.59713*100)</f>
        <v>0.02938663532897867</v>
      </c>
      <c r="E32" s="41">
        <f>IF(644.97691="","-",644.97691/2560982.65919*100)</f>
        <v>0.025184743351756876</v>
      </c>
      <c r="F32" s="41">
        <f>IF(OR(2191887.38519="",999.48714="",730.94718=""),"-",(730.94718-999.48714)/2191887.38519*100)</f>
        <v>-0.012251540011336945</v>
      </c>
      <c r="G32" s="41">
        <f>IF(OR(2487345.59713="",644.97691="",730.94718=""),"-",(644.97691-730.94718)/2487345.59713*100)</f>
        <v>-0.003456305794385629</v>
      </c>
    </row>
    <row r="33" spans="1:7" s="9" customFormat="1" ht="15.75">
      <c r="A33" s="34" t="s">
        <v>56</v>
      </c>
      <c r="B33" s="41">
        <f>IF(461.08919="","-",461.08919)</f>
        <v>461.08919</v>
      </c>
      <c r="C33" s="41">
        <f>IF(OR(592.0215="",461.08919=""),"-",461.08919/592.0215*100)</f>
        <v>77.88385894769024</v>
      </c>
      <c r="D33" s="41">
        <f>IF(592.0215="","-",592.0215/2487345.59713*100)</f>
        <v>0.023801336681283786</v>
      </c>
      <c r="E33" s="41">
        <f>IF(461.08919="","-",461.08919/2560982.65919*100)</f>
        <v>0.018004385478573894</v>
      </c>
      <c r="F33" s="41">
        <f>IF(OR(2191887.38519="",17.86193="",592.0215=""),"-",(592.0215-17.86193)/2191887.38519*100)</f>
        <v>0.0261947568054565</v>
      </c>
      <c r="G33" s="41">
        <f>IF(OR(2487345.59713="",461.08919="",592.0215=""),"-",(461.08919-592.0215)/2487345.59713*100)</f>
        <v>-0.005263937192767863</v>
      </c>
    </row>
    <row r="34" spans="1:7" s="9" customFormat="1" ht="15.75">
      <c r="A34" s="34" t="s">
        <v>54</v>
      </c>
      <c r="B34" s="41">
        <f>IF(261.66933="","-",261.66933)</f>
        <v>261.66933</v>
      </c>
      <c r="C34" s="41">
        <f>IF(OR(327.70057="",261.66933=""),"-",261.66933/327.70057*100)</f>
        <v>79.85012964731797</v>
      </c>
      <c r="D34" s="41">
        <f>IF(327.70057="","-",327.70057/2487345.59713*100)</f>
        <v>0.013174710035393321</v>
      </c>
      <c r="E34" s="41">
        <f>IF(261.66933="","-",261.66933/2560982.65919*100)</f>
        <v>0.010217536189126797</v>
      </c>
      <c r="F34" s="41">
        <f>IF(OR(2191887.38519="",614.71141="",327.70057=""),"-",(327.70057-614.71141)/2191887.38519*100)</f>
        <v>-0.01309423294003405</v>
      </c>
      <c r="G34" s="41">
        <f>IF(OR(2487345.59713="",261.66933="",327.70057=""),"-",(261.66933-327.70057)/2487345.59713*100)</f>
        <v>-0.002654686991473543</v>
      </c>
    </row>
    <row r="35" spans="1:7" s="9" customFormat="1" ht="15.75">
      <c r="A35" s="34" t="s">
        <v>55</v>
      </c>
      <c r="B35" s="41">
        <f>IF(64.42749="","-",64.42749)</f>
        <v>64.42749</v>
      </c>
      <c r="C35" s="41">
        <f>IF(OR(47.74534="",64.42749=""),"-",64.42749/47.74534*100)</f>
        <v>134.9398496272097</v>
      </c>
      <c r="D35" s="41">
        <f>IF(47.74534="","-",47.74534/2487345.59713*100)</f>
        <v>0.0019195298013710079</v>
      </c>
      <c r="E35" s="41">
        <f>IF(64.42749="","-",64.42749/2560982.65919*100)</f>
        <v>0.0025157331608163815</v>
      </c>
      <c r="F35" s="41">
        <f>IF(OR(2191887.38519="",36.15205="",47.74534=""),"-",(47.74534-36.15205)/2191887.38519*100)</f>
        <v>0.0005289181405182024</v>
      </c>
      <c r="G35" s="41">
        <f>IF(OR(2487345.59713="",64.42749="",47.74534=""),"-",(64.42749-47.74534)/2487345.59713*100)</f>
        <v>0.0006706808261485073</v>
      </c>
    </row>
    <row r="36" spans="1:7" s="9" customFormat="1" ht="15.75">
      <c r="A36" s="34" t="s">
        <v>53</v>
      </c>
      <c r="B36" s="41">
        <f>IF(64.00147="","-",64.00147)</f>
        <v>64.00147</v>
      </c>
      <c r="C36" s="41" t="s">
        <v>190</v>
      </c>
      <c r="D36" s="41">
        <f>IF(7.42765="","-",7.42765/2487345.59713*100)</f>
        <v>0.0002986175306145765</v>
      </c>
      <c r="E36" s="41">
        <f>IF(64.00147="","-",64.00147/2560982.65919*100)</f>
        <v>0.0024990981399398734</v>
      </c>
      <c r="F36" s="41">
        <f>IF(OR(2191887.38519="",259.29212="",7.42765=""),"-",(7.42765-259.29212)/2191887.38519*100)</f>
        <v>-0.011490757768933808</v>
      </c>
      <c r="G36" s="41">
        <f>IF(OR(2487345.59713="",64.00147="",7.42765=""),"-",(64.00147-7.42765)/2487345.59713*100)</f>
        <v>0.0022744656016147158</v>
      </c>
    </row>
    <row r="37" spans="1:7" s="9" customFormat="1" ht="15.75">
      <c r="A37" s="39" t="s">
        <v>174</v>
      </c>
      <c r="B37" s="40">
        <f>IF(404435.05318="","-",404435.05318)</f>
        <v>404435.05318</v>
      </c>
      <c r="C37" s="40">
        <f>IF(386270.87004="","-",404435.05318/386270.87004*100)</f>
        <v>104.70244705175904</v>
      </c>
      <c r="D37" s="40">
        <f>IF(386270.87004="","-",386270.87004/2487345.59713*100)</f>
        <v>15.529441123328217</v>
      </c>
      <c r="E37" s="40">
        <f>IF(404435.05318="","-",404435.05318/2560982.65919*100)</f>
        <v>15.79218241594485</v>
      </c>
      <c r="F37" s="40">
        <f>IF(2191887.38519="","-",(386270.87004-427707.04239)/2191887.38519*100)</f>
        <v>-1.8904334515529038</v>
      </c>
      <c r="G37" s="40">
        <f>IF(2487345.59713="","-",(404435.05318-386270.87004)/2487345.59713*100)</f>
        <v>0.7302637462586039</v>
      </c>
    </row>
    <row r="38" spans="1:7" s="9" customFormat="1" ht="15.75">
      <c r="A38" s="34" t="s">
        <v>159</v>
      </c>
      <c r="B38" s="41">
        <f>IF(234506.73144="","-",234506.73144)</f>
        <v>234506.73144</v>
      </c>
      <c r="C38" s="41">
        <f>IF(OR(204607.79356="",234506.73144=""),"-",234506.73144/204607.79356*100)</f>
        <v>114.61280499622433</v>
      </c>
      <c r="D38" s="41">
        <f>IF(204607.79356="","-",204607.79356/2487345.59713*100)</f>
        <v>8.225949534157406</v>
      </c>
      <c r="E38" s="41">
        <f>IF(234506.73144="","-",234506.73144/2560982.65919*100)</f>
        <v>9.15690430774611</v>
      </c>
      <c r="F38" s="41">
        <f>IF(OR(2191887.38519="",238372.29971="",204607.79356=""),"-",(204607.79356-238372.29971)/2191887.38519*100)</f>
        <v>-1.5404306981343014</v>
      </c>
      <c r="G38" s="41">
        <f>IF(OR(2487345.59713="",234506.73144="",204607.79356=""),"-",(234506.73144-204607.79356)/2487345.59713*100)</f>
        <v>1.2020419645142442</v>
      </c>
    </row>
    <row r="39" spans="1:7" s="9" customFormat="1" ht="15.75">
      <c r="A39" s="34" t="s">
        <v>12</v>
      </c>
      <c r="B39" s="41">
        <f>IF(74027.88648="","-",74027.88648)</f>
        <v>74027.88648</v>
      </c>
      <c r="C39" s="41">
        <f>IF(OR(72901.61265="",74027.88648=""),"-",74027.88648/72901.61265*100)</f>
        <v>101.5449230669385</v>
      </c>
      <c r="D39" s="41">
        <f>IF(72901.61265="","-",72901.61265/2487345.59713*100)</f>
        <v>2.9309000218593195</v>
      </c>
      <c r="E39" s="41">
        <f>IF(74027.88648="","-",74027.88648/2560982.65919*100)</f>
        <v>2.8906047533884474</v>
      </c>
      <c r="F39" s="41">
        <f>IF(OR(2191887.38519="",60114.18377="",72901.61265=""),"-",(72901.61265-60114.18377)/2191887.38519*100)</f>
        <v>0.5833980781312602</v>
      </c>
      <c r="G39" s="41">
        <f>IF(OR(2487345.59713="",74027.88648="",72901.61265=""),"-",(74027.88648-72901.61265)/2487345.59713*100)</f>
        <v>0.04528015050661017</v>
      </c>
    </row>
    <row r="40" spans="1:7" s="9" customFormat="1" ht="14.25" customHeight="1">
      <c r="A40" s="34" t="s">
        <v>11</v>
      </c>
      <c r="B40" s="41">
        <f>IF(73771.67584="","-",73771.67584)</f>
        <v>73771.67584</v>
      </c>
      <c r="C40" s="41">
        <f>IF(OR(81245.68784="",73771.67584=""),"-",73771.67584/81245.68784*100)</f>
        <v>90.80072776943086</v>
      </c>
      <c r="D40" s="41">
        <f>IF(81245.68784="","-",81245.68784/2487345.59713*100)</f>
        <v>3.266361053073789</v>
      </c>
      <c r="E40" s="41">
        <f>IF(73771.67584="","-",73771.67584/2560982.65919*100)</f>
        <v>2.8806003654602197</v>
      </c>
      <c r="F40" s="41">
        <f>IF(OR(2191887.38519="",100245.77259="",81245.68784=""),"-",(81245.68784-100245.77259)/2191887.38519*100)</f>
        <v>-0.8668367215568882</v>
      </c>
      <c r="G40" s="41">
        <f>IF(OR(2487345.59713="",73771.67584="",81245.68784=""),"-",(73771.67584-81245.68784)/2487345.59713*100)</f>
        <v>-0.3004814453055426</v>
      </c>
    </row>
    <row r="41" spans="1:7" s="13" customFormat="1" ht="14.25" customHeight="1">
      <c r="A41" s="34" t="s">
        <v>13</v>
      </c>
      <c r="B41" s="41">
        <f>IF(9146.52547="","-",9146.52547)</f>
        <v>9146.52547</v>
      </c>
      <c r="C41" s="41">
        <f>IF(OR(15245.00206="",9146.52547=""),"-",9146.52547/15245.00206*100)</f>
        <v>59.99687920015933</v>
      </c>
      <c r="D41" s="41">
        <f>IF(15245.00206="","-",15245.00206/2487345.59713*100)</f>
        <v>0.6129024481998119</v>
      </c>
      <c r="E41" s="41">
        <f>IF(9146.52547="","-",9146.52547/2560982.65919*100)</f>
        <v>0.3571490590605134</v>
      </c>
      <c r="F41" s="41">
        <f>IF(OR(2191887.38519="",15093.10463="",15245.00206=""),"-",(15245.00206-15093.10463)/2191887.38519*100)</f>
        <v>0.006929983311475373</v>
      </c>
      <c r="G41" s="41">
        <f>IF(OR(2487345.59713="",9146.52547="",15245.00206=""),"-",(9146.52547-15245.00206)/2487345.59713*100)</f>
        <v>-0.24518010673855167</v>
      </c>
    </row>
    <row r="42" spans="1:7" s="13" customFormat="1" ht="14.25" customHeight="1">
      <c r="A42" s="34" t="s">
        <v>14</v>
      </c>
      <c r="B42" s="41">
        <f>IF(4425.65214="","-",4425.65214)</f>
        <v>4425.65214</v>
      </c>
      <c r="C42" s="41">
        <f>IF(OR(4845.1286="",4425.65214=""),"-",4425.65214/4845.1286*100)</f>
        <v>91.34230492870716</v>
      </c>
      <c r="D42" s="41">
        <f>IF(4845.1286="","-",4845.1286/2487345.59713*100)</f>
        <v>0.19479113017469327</v>
      </c>
      <c r="E42" s="41">
        <f>IF(4425.65214="","-",4425.65214/2560982.65919*100)</f>
        <v>0.17281070311502095</v>
      </c>
      <c r="F42" s="41">
        <f>IF(OR(2191887.38519="",5454.12441="",4845.1286=""),"-",(4845.1286-5454.12441)/2191887.38519*100)</f>
        <v>-0.02778408298322364</v>
      </c>
      <c r="G42" s="41">
        <f>IF(OR(2487345.59713="",4425.65214="",4845.1286=""),"-",(4425.65214-4845.1286)/2487345.59713*100)</f>
        <v>-0.01686442207645004</v>
      </c>
    </row>
    <row r="43" spans="1:7" s="13" customFormat="1" ht="14.25" customHeight="1">
      <c r="A43" s="34" t="s">
        <v>17</v>
      </c>
      <c r="B43" s="41">
        <f>IF(3475.33914="","-",3475.33914)</f>
        <v>3475.33914</v>
      </c>
      <c r="C43" s="41" t="s">
        <v>106</v>
      </c>
      <c r="D43" s="41">
        <f>IF(2033.43922="","-",2033.43922/2487345.59713*100)</f>
        <v>0.08175137473241613</v>
      </c>
      <c r="E43" s="41">
        <f>IF(3475.33914="","-",3475.33914/2560982.65919*100)</f>
        <v>0.1357033452580736</v>
      </c>
      <c r="F43" s="41">
        <f>IF(OR(2191887.38519="",1050.30179="",2033.43922=""),"-",(2033.43922-1050.30179)/2191887.38519*100)</f>
        <v>0.04485346449104996</v>
      </c>
      <c r="G43" s="41">
        <f>IF(OR(2487345.59713="",3475.33914="",2033.43922=""),"-",(3475.33914-2033.43922)/2487345.59713*100)</f>
        <v>0.0579694241790816</v>
      </c>
    </row>
    <row r="44" spans="1:7" s="13" customFormat="1" ht="14.25" customHeight="1">
      <c r="A44" s="34" t="s">
        <v>15</v>
      </c>
      <c r="B44" s="41">
        <f>IF(3142.33987="","-",3142.33987)</f>
        <v>3142.33987</v>
      </c>
      <c r="C44" s="41">
        <f>IF(OR(3533.62766="",3142.33987=""),"-",3142.33987/3533.62766*100)</f>
        <v>88.9267396667367</v>
      </c>
      <c r="D44" s="41">
        <f>IF(3533.62766="","-",3533.62766/2487345.59713*100)</f>
        <v>0.14206420145544885</v>
      </c>
      <c r="E44" s="41">
        <f>IF(3142.33987="","-",3142.33987/2560982.65919*100)</f>
        <v>0.12270055241193527</v>
      </c>
      <c r="F44" s="41">
        <f>IF(OR(2191887.38519="",5379.93027="",3533.62766=""),"-",(3533.62766-5379.93027)/2191887.38519*100)</f>
        <v>-0.08423346119307842</v>
      </c>
      <c r="G44" s="41">
        <f>IF(OR(2487345.59713="",3142.33987="",3533.62766=""),"-",(3142.33987-3533.62766)/2487345.59713*100)</f>
        <v>-0.015731138867533485</v>
      </c>
    </row>
    <row r="45" spans="1:7" s="11" customFormat="1" ht="14.25" customHeight="1">
      <c r="A45" s="34" t="s">
        <v>136</v>
      </c>
      <c r="B45" s="41">
        <f>IF(1152.68556="","-",1152.68556)</f>
        <v>1152.68556</v>
      </c>
      <c r="C45" s="41">
        <f>IF(OR(982.67023="",1152.68556=""),"-",1152.68556/982.67023*100)</f>
        <v>117.30136161751841</v>
      </c>
      <c r="D45" s="41">
        <f>IF(982.67023="","-",982.67023/2487345.59713*100)</f>
        <v>0.03950678309977691</v>
      </c>
      <c r="E45" s="41">
        <f>IF(1152.68556="","-",1152.68556/2560982.65919*100)</f>
        <v>0.04500950273378957</v>
      </c>
      <c r="F45" s="41">
        <f>IF(OR(2191887.38519="",1013.12207="",982.67023=""),"-",(982.67023-1013.12207)/2191887.38519*100)</f>
        <v>-0.0013892976530525721</v>
      </c>
      <c r="G45" s="41">
        <f>IF(OR(2487345.59713="",1152.68556="",982.67023=""),"-",(1152.68556-982.67023)/2487345.59713*100)</f>
        <v>0.006835211407541055</v>
      </c>
    </row>
    <row r="46" spans="1:7" s="13" customFormat="1" ht="14.25" customHeight="1">
      <c r="A46" s="34" t="s">
        <v>16</v>
      </c>
      <c r="B46" s="41">
        <f>IF(610.80186="","-",610.80186)</f>
        <v>610.80186</v>
      </c>
      <c r="C46" s="41">
        <f>IF(OR(554.38407="",610.80186=""),"-",610.80186/554.38407*100)</f>
        <v>110.17666146143054</v>
      </c>
      <c r="D46" s="41">
        <f>IF(554.38407="","-",554.38407/2487345.59713*100)</f>
        <v>0.022288180244822865</v>
      </c>
      <c r="E46" s="41">
        <f>IF(610.80186="","-",610.80186/2560982.65919*100)</f>
        <v>0.023850292691680597</v>
      </c>
      <c r="F46" s="41">
        <f>IF(OR(2191887.38519="",611.64714="",554.38407=""),"-",(554.38407-611.64714)/2191887.38519*100)</f>
        <v>-0.0026125005502979494</v>
      </c>
      <c r="G46" s="41">
        <f>IF(OR(2487345.59713="",610.80186="",554.38407=""),"-",(610.80186-554.38407)/2487345.59713*100)</f>
        <v>0.0022681926494290626</v>
      </c>
    </row>
    <row r="47" spans="1:7" s="11" customFormat="1" ht="14.25" customHeight="1">
      <c r="A47" s="34" t="s">
        <v>18</v>
      </c>
      <c r="B47" s="41">
        <f>IF(175.41538="","-",175.41538)</f>
        <v>175.41538</v>
      </c>
      <c r="C47" s="41">
        <f>IF(OR(321.52415="",175.41538=""),"-",175.41538/321.52415*100)</f>
        <v>54.557450816680486</v>
      </c>
      <c r="D47" s="41">
        <f>IF(321.52415="","-",321.52415/2487345.59713*100)</f>
        <v>0.012926396330730542</v>
      </c>
      <c r="E47" s="41">
        <f>IF(175.41538="","-",175.41538/2560982.65919*100)</f>
        <v>0.006849534079058591</v>
      </c>
      <c r="F47" s="41">
        <f>IF(OR(2191887.38519="",372.55601="",321.52415=""),"-",(321.52415-372.55601)/2191887.38519*100)</f>
        <v>-0.0023282154158470324</v>
      </c>
      <c r="G47" s="41">
        <f>IF(OR(2487345.59713="",175.41538="",321.52415=""),"-",(175.41538-321.52415)/2487345.59713*100)</f>
        <v>-0.005874084010223035</v>
      </c>
    </row>
    <row r="48" spans="1:7" s="11" customFormat="1" ht="14.25" customHeight="1">
      <c r="A48" s="39" t="s">
        <v>170</v>
      </c>
      <c r="B48" s="40">
        <f>IF(473534.7015="","-",473534.7015)</f>
        <v>473534.7015</v>
      </c>
      <c r="C48" s="40">
        <f>IF(375254.09484="","-",473534.7015/375254.09484*100)</f>
        <v>126.19041551083</v>
      </c>
      <c r="D48" s="40">
        <f>IF(375254.09484="","-",375254.09484/2487345.59713*100)</f>
        <v>15.086528195880112</v>
      </c>
      <c r="E48" s="40">
        <f>IF(473534.7015="","-",473534.7015/2560982.65919*100)</f>
        <v>18.49035173279041</v>
      </c>
      <c r="F48" s="40">
        <f>IF(2191887.38519="","-",(375254.09484-324619.15712)/2191887.38519*100)</f>
        <v>2.310106717257775</v>
      </c>
      <c r="G48" s="40">
        <f>IF(2487345.59713="","-",(473534.7015-375254.09484)/2487345.59713*100)</f>
        <v>3.951224420659525</v>
      </c>
    </row>
    <row r="49" spans="1:7" s="11" customFormat="1" ht="14.25" customHeight="1">
      <c r="A49" s="34" t="s">
        <v>57</v>
      </c>
      <c r="B49" s="41">
        <f>IF(164832.9414="","-",164832.9414)</f>
        <v>164832.9414</v>
      </c>
      <c r="C49" s="41" t="s">
        <v>175</v>
      </c>
      <c r="D49" s="41">
        <f>IF(87084.92031="","-",87084.92031/2487345.59713*100)</f>
        <v>3.50111863869991</v>
      </c>
      <c r="E49" s="41">
        <f>IF(164832.9414="","-",164832.9414/2560982.65919*100)</f>
        <v>6.436316185449462</v>
      </c>
      <c r="F49" s="41">
        <f>IF(OR(2191887.38519="",87857.64982="",87084.92031=""),"-",(87084.92031-87857.64982)/2191887.38519*100)</f>
        <v>-0.0352540698587497</v>
      </c>
      <c r="G49" s="41">
        <f>IF(OR(2487345.59713="",164832.9414="",87084.92031=""),"-",(164832.9414-87084.92031)/2487345.59713*100)</f>
        <v>3.125742606082115</v>
      </c>
    </row>
    <row r="50" spans="1:7" s="11" customFormat="1" ht="14.25" customHeight="1">
      <c r="A50" s="34" t="s">
        <v>161</v>
      </c>
      <c r="B50" s="41">
        <f>IF(76996.47148="","-",76996.47148)</f>
        <v>76996.47148</v>
      </c>
      <c r="C50" s="41">
        <f>IF(OR(52495.7271="",76996.47148=""),"-",76996.47148/52495.7271*100)</f>
        <v>146.671883091224</v>
      </c>
      <c r="D50" s="41">
        <f>IF(52495.7271="","-",52495.7271/2487345.59713*100)</f>
        <v>2.1105119916014763</v>
      </c>
      <c r="E50" s="41">
        <f>IF(76996.47148="","-",76996.47148/2560982.65919*100)</f>
        <v>3.006520610504751</v>
      </c>
      <c r="F50" s="41">
        <f>IF(OR(2191887.38519="",36283.05115="",52495.7271=""),"-",(52495.7271-36283.05115)/2191887.38519*100)</f>
        <v>0.7396673779658908</v>
      </c>
      <c r="G50" s="41">
        <f>IF(OR(2487345.59713="",76996.47148="",52495.7271=""),"-",(76996.47148-52495.7271)/2487345.59713*100)</f>
        <v>0.9850156893465044</v>
      </c>
    </row>
    <row r="51" spans="1:7" s="11" customFormat="1" ht="14.25" customHeight="1">
      <c r="A51" s="34" t="s">
        <v>19</v>
      </c>
      <c r="B51" s="41">
        <f>IF(22304.71046="","-",22304.71046)</f>
        <v>22304.71046</v>
      </c>
      <c r="C51" s="41">
        <f>IF(OR(19828.81241="",22304.71046=""),"-",22304.71046/19828.81241*100)</f>
        <v>112.48636579340155</v>
      </c>
      <c r="D51" s="41">
        <f>IF(19828.81241="","-",19828.81241/2487345.59713*100)</f>
        <v>0.7971876699755468</v>
      </c>
      <c r="E51" s="41">
        <f>IF(22304.71046="","-",22304.71046/2560982.65919*100)</f>
        <v>0.870943439619175</v>
      </c>
      <c r="F51" s="41">
        <f>IF(OR(2191887.38519="",17325.13033="",19828.81241=""),"-",(19828.81241-17325.13033)/2191887.38519*100)</f>
        <v>0.11422494134127113</v>
      </c>
      <c r="G51" s="41">
        <f>IF(OR(2487345.59713="",22304.71046="",19828.81241=""),"-",(22304.71046-19828.81241)/2487345.59713*100)</f>
        <v>0.09953976853304145</v>
      </c>
    </row>
    <row r="52" spans="1:7" s="9" customFormat="1" ht="15.75">
      <c r="A52" s="34" t="s">
        <v>59</v>
      </c>
      <c r="B52" s="41">
        <f>IF(19544.44049="","-",19544.44049)</f>
        <v>19544.44049</v>
      </c>
      <c r="C52" s="41">
        <f>IF(OR(19662.40849="",19544.44049=""),"-",19544.44049/19662.40849*100)</f>
        <v>99.40003280849345</v>
      </c>
      <c r="D52" s="41">
        <f>IF(19662.40849="","-",19662.40849/2487345.59713*100)</f>
        <v>0.7904976498918076</v>
      </c>
      <c r="E52" s="41">
        <f>IF(19544.44049="","-",19544.44049/2560982.65919*100)</f>
        <v>0.7631617660457573</v>
      </c>
      <c r="F52" s="41">
        <f>IF(OR(2191887.38519="",16522.63062="",19662.40849=""),"-",(19662.40849-16522.63062)/2191887.38519*100)</f>
        <v>0.14324540079999756</v>
      </c>
      <c r="G52" s="41">
        <f>IF(OR(2487345.59713="",19544.44049="",19662.40849=""),"-",(19544.44049-19662.40849)/2487345.59713*100)</f>
        <v>-0.004742726548981251</v>
      </c>
    </row>
    <row r="53" spans="1:7" s="9" customFormat="1" ht="15.75">
      <c r="A53" s="34" t="s">
        <v>60</v>
      </c>
      <c r="B53" s="41">
        <f>IF(15922.64692="","-",15922.64692)</f>
        <v>15922.64692</v>
      </c>
      <c r="C53" s="41">
        <f>IF(OR(17307.04632="",15922.64692=""),"-",15922.64692/17307.04632*100)</f>
        <v>92.00094935667796</v>
      </c>
      <c r="D53" s="41">
        <f>IF(17307.04632="","-",17307.04632/2487345.59713*100)</f>
        <v>0.6958038456726549</v>
      </c>
      <c r="E53" s="41">
        <f>IF(15922.64692="","-",15922.64692/2560982.65919*100)</f>
        <v>0.6217397397386553</v>
      </c>
      <c r="F53" s="41">
        <f>IF(OR(2191887.38519="",16981.27311="",17307.04632=""),"-",(17307.04632-16981.27311)/2191887.38519*100)</f>
        <v>0.014862680090280456</v>
      </c>
      <c r="G53" s="41">
        <f>IF(OR(2487345.59713="",15922.64692="",17307.04632=""),"-",(15922.64692-17307.04632)/2487345.59713*100)</f>
        <v>-0.055657701993537936</v>
      </c>
    </row>
    <row r="54" spans="1:7" s="9" customFormat="1" ht="15.75">
      <c r="A54" s="34" t="s">
        <v>137</v>
      </c>
      <c r="B54" s="41">
        <f>IF(14947.67113="","-",14947.67113)</f>
        <v>14947.67113</v>
      </c>
      <c r="C54" s="41" t="s">
        <v>253</v>
      </c>
      <c r="D54" s="41">
        <f>IF(3435.28614="","-",3435.28614/2487345.59713*100)</f>
        <v>0.13811052810529312</v>
      </c>
      <c r="E54" s="41">
        <f>IF(14947.67113="","-",14947.67113/2560982.65919*100)</f>
        <v>0.5836693613039817</v>
      </c>
      <c r="F54" s="41">
        <f>IF(OR(2191887.38519="",5011.79659="",3435.28614=""),"-",(3435.28614-5011.79659)/2191887.38519*100)</f>
        <v>-0.07192479233431708</v>
      </c>
      <c r="G54" s="41">
        <f>IF(OR(2487345.59713="",14947.67113="",3435.28614=""),"-",(14947.67113-3435.28614)/2487345.59713*100)</f>
        <v>0.4628381758965644</v>
      </c>
    </row>
    <row r="55" spans="1:7" s="12" customFormat="1" ht="15.75">
      <c r="A55" s="34" t="s">
        <v>66</v>
      </c>
      <c r="B55" s="41">
        <f>IF(11760.4343="","-",11760.4343)</f>
        <v>11760.4343</v>
      </c>
      <c r="C55" s="41" t="s">
        <v>105</v>
      </c>
      <c r="D55" s="41">
        <f>IF(6615.59665="","-",6615.59665/2487345.59713*100)</f>
        <v>0.26597014333807667</v>
      </c>
      <c r="E55" s="41">
        <f>IF(11760.4343="","-",11760.4343/2560982.65919*100)</f>
        <v>0.4592156943272567</v>
      </c>
      <c r="F55" s="41">
        <f>IF(OR(2191887.38519="",4463.42204="",6615.59665=""),"-",(6615.59665-4463.42204)/2191887.38519*100)</f>
        <v>0.09818819272110746</v>
      </c>
      <c r="G55" s="41">
        <f>IF(OR(2487345.59713="",11760.4343="",6615.59665=""),"-",(11760.4343-6615.59665)/2487345.59713*100)</f>
        <v>0.20684048312129694</v>
      </c>
    </row>
    <row r="56" spans="1:7" s="14" customFormat="1" ht="15.75">
      <c r="A56" s="34" t="s">
        <v>61</v>
      </c>
      <c r="B56" s="41">
        <f>IF(11497.22246="","-",11497.22246)</f>
        <v>11497.22246</v>
      </c>
      <c r="C56" s="41">
        <f>IF(OR(13855.40273="",11497.22246=""),"-",11497.22246/13855.40273*100)</f>
        <v>82.98006693884098</v>
      </c>
      <c r="D56" s="41">
        <f>IF(13855.40273="","-",13855.40273/2487345.59713*100)</f>
        <v>0.557035690817831</v>
      </c>
      <c r="E56" s="41">
        <f>IF(11497.22246="","-",11497.22246/2560982.65919*100)</f>
        <v>0.4489379269610673</v>
      </c>
      <c r="F56" s="41">
        <f>IF(OR(2191887.38519="",7827.7997="",13855.40273=""),"-",(13855.40273-7827.7997)/2191887.38519*100)</f>
        <v>0.2749960180767913</v>
      </c>
      <c r="G56" s="41">
        <f>IF(OR(2487345.59713="",11497.22246="",13855.40273=""),"-",(11497.22246-13855.40273)/2487345.59713*100)</f>
        <v>-0.09480710170395953</v>
      </c>
    </row>
    <row r="57" spans="1:7" s="9" customFormat="1" ht="15.75">
      <c r="A57" s="34" t="s">
        <v>62</v>
      </c>
      <c r="B57" s="41">
        <f>IF(9861.64751="","-",9861.64751)</f>
        <v>9861.64751</v>
      </c>
      <c r="C57" s="41">
        <f>IF(OR(9237.38109="",9861.64751=""),"-",9861.64751/9237.38109*100)</f>
        <v>106.75804553171248</v>
      </c>
      <c r="D57" s="41">
        <f>IF(9237.38109="","-",9237.38109/2487345.59713*100)</f>
        <v>0.37137505542689625</v>
      </c>
      <c r="E57" s="41">
        <f>IF(9861.64751="","-",9861.64751/2560982.65919*100)</f>
        <v>0.38507279518710563</v>
      </c>
      <c r="F57" s="41">
        <f>IF(OR(2191887.38519="",6928.83313="",9237.38109=""),"-",(9237.38109-6928.83313)/2191887.38519*100)</f>
        <v>0.1053223799542917</v>
      </c>
      <c r="G57" s="41">
        <f>IF(OR(2487345.59713="",9861.64751="",9237.38109=""),"-",(9861.64751-9237.38109)/2487345.59713*100)</f>
        <v>0.025097695339172155</v>
      </c>
    </row>
    <row r="58" spans="1:7" s="14" customFormat="1" ht="15.75">
      <c r="A58" s="34" t="s">
        <v>58</v>
      </c>
      <c r="B58" s="41">
        <f>IF(8219.10313="","-",8219.10313)</f>
        <v>8219.10313</v>
      </c>
      <c r="C58" s="41">
        <f>IF(OR(10682.42535="",8219.10313=""),"-",8219.10313/10682.42535*100)</f>
        <v>76.9404218677737</v>
      </c>
      <c r="D58" s="41">
        <f>IF(10682.42535="","-",10682.42535/2487345.59713*100)</f>
        <v>0.4294708930807932</v>
      </c>
      <c r="E58" s="41">
        <f>IF(8219.10313="","-",8219.10313/2560982.65919*100)</f>
        <v>0.32093552451462426</v>
      </c>
      <c r="F58" s="41">
        <f>IF(OR(2191887.38519="",12656.92043="",10682.42535=""),"-",(10682.42535-12656.92043)/2191887.38519*100)</f>
        <v>-0.09008195828586536</v>
      </c>
      <c r="G58" s="41">
        <f>IF(OR(2487345.59713="",8219.10313="",10682.42535=""),"-",(8219.10313-10682.42535)/2487345.59713*100)</f>
        <v>-0.09903417614513563</v>
      </c>
    </row>
    <row r="59" spans="1:7" s="12" customFormat="1" ht="15.75">
      <c r="A59" s="34" t="s">
        <v>67</v>
      </c>
      <c r="B59" s="41">
        <f>IF(7795.99326="","-",7795.99326)</f>
        <v>7795.99326</v>
      </c>
      <c r="C59" s="41">
        <f>IF(OR(19325.27332="",7795.99326=""),"-",7795.99326/19325.27332*100)</f>
        <v>40.34092108768167</v>
      </c>
      <c r="D59" s="41">
        <f>IF(19325.27332="","-",19325.27332/2487345.59713*100)</f>
        <v>0.7769436359104374</v>
      </c>
      <c r="E59" s="41">
        <f>IF(7795.99326="","-",7795.99326/2560982.65919*100)</f>
        <v>0.3044141369729444</v>
      </c>
      <c r="F59" s="41">
        <f>IF(OR(2191887.38519="",9620.72541="",19325.27332=""),"-",(19325.27332-9620.72541)/2191887.38519*100)</f>
        <v>0.44274847218753344</v>
      </c>
      <c r="G59" s="41">
        <f>IF(OR(2487345.59713="",7795.99326="",19325.27332=""),"-",(7795.99326-19325.27332)/2487345.59713*100)</f>
        <v>-0.463517416852043</v>
      </c>
    </row>
    <row r="60" spans="1:7" s="9" customFormat="1" ht="15.75">
      <c r="A60" s="34" t="s">
        <v>69</v>
      </c>
      <c r="B60" s="41">
        <f>IF(6483.48389="","-",6483.48389)</f>
        <v>6483.48389</v>
      </c>
      <c r="C60" s="41" t="s">
        <v>107</v>
      </c>
      <c r="D60" s="41">
        <f>IF(3992.33582="","-",3992.33582/2487345.59713*100)</f>
        <v>0.16050587520312892</v>
      </c>
      <c r="E60" s="41">
        <f>IF(6483.48389="","-",6483.48389/2560982.65919*100)</f>
        <v>0.2531639121699726</v>
      </c>
      <c r="F60" s="41">
        <f>IF(OR(2191887.38519="",4426.88777="",3992.33582=""),"-",(3992.33582-4426.88777)/2191887.38519*100)</f>
        <v>-0.019825468814509015</v>
      </c>
      <c r="G60" s="41">
        <f>IF(OR(2487345.59713="",6483.48389="",3992.33582=""),"-",(6483.48389-3992.33582)/2487345.59713*100)</f>
        <v>0.10015287271999468</v>
      </c>
    </row>
    <row r="61" spans="1:7" s="9" customFormat="1" ht="15.75">
      <c r="A61" s="34" t="s">
        <v>63</v>
      </c>
      <c r="B61" s="41">
        <f>IF(6061.2433="","-",6061.2433)</f>
        <v>6061.2433</v>
      </c>
      <c r="C61" s="41">
        <f>IF(OR(4466.71456="",6061.2433=""),"-",6061.2433/4466.71456*100)</f>
        <v>135.69802185882233</v>
      </c>
      <c r="D61" s="41">
        <f>IF(4466.71456="","-",4466.71456/2487345.59713*100)</f>
        <v>0.17957756112193965</v>
      </c>
      <c r="E61" s="41">
        <f>IF(6061.2433="","-",6061.2433/2560982.65919*100)</f>
        <v>0.23667646784914503</v>
      </c>
      <c r="F61" s="41">
        <f>IF(OR(2191887.38519="",3480.22196="",4466.71456=""),"-",(4466.71456-3480.22196)/2191887.38519*100)</f>
        <v>0.04500653668000777</v>
      </c>
      <c r="G61" s="41">
        <f>IF(OR(2487345.59713="",6061.2433="",4466.71456=""),"-",(6061.2433-4466.71456)/2487345.59713*100)</f>
        <v>0.06410563702285003</v>
      </c>
    </row>
    <row r="62" spans="1:7" s="14" customFormat="1" ht="15.75">
      <c r="A62" s="34" t="s">
        <v>138</v>
      </c>
      <c r="B62" s="41">
        <f>IF(3265.33867="","-",3265.33867)</f>
        <v>3265.33867</v>
      </c>
      <c r="C62" s="41" t="s">
        <v>278</v>
      </c>
      <c r="D62" s="41">
        <f>IF(72.77239="","-",72.77239/2487345.59713*100)</f>
        <v>0.0029257048189832457</v>
      </c>
      <c r="E62" s="41">
        <f>IF(3265.33867="","-",3265.33867/2560982.65919*100)</f>
        <v>0.127503349477297</v>
      </c>
      <c r="F62" s="41">
        <f>IF(OR(2191887.38519="",1251.1606="",72.77239=""),"-",(72.77239-1251.1606)/2191887.38519*100)</f>
        <v>-0.053761348231759334</v>
      </c>
      <c r="G62" s="41">
        <f>IF(OR(2487345.59713="",3265.33867="",72.77239=""),"-",(3265.33867-72.77239)/2487345.59713*100)</f>
        <v>0.12835234008831392</v>
      </c>
    </row>
    <row r="63" spans="1:7" s="9" customFormat="1" ht="15.75">
      <c r="A63" s="34" t="s">
        <v>71</v>
      </c>
      <c r="B63" s="41">
        <f>IF(3063.88891="","-",3063.88891)</f>
        <v>3063.88891</v>
      </c>
      <c r="C63" s="41" t="s">
        <v>175</v>
      </c>
      <c r="D63" s="41">
        <f>IF(1602.46149="","-",1602.46149/2487345.59713*100)</f>
        <v>0.06442456134157572</v>
      </c>
      <c r="E63" s="41">
        <f>IF(3063.88891="","-",3063.88891/2560982.65919*100)</f>
        <v>0.1196372376441261</v>
      </c>
      <c r="F63" s="41">
        <f>IF(OR(2191887.38519="",1282.80194="",1602.46149=""),"-",(1602.46149-1282.80194)/2191887.38519*100)</f>
        <v>0.0145837579138351</v>
      </c>
      <c r="G63" s="41">
        <f>IF(OR(2487345.59713="",3063.88891="",1602.46149=""),"-",(3063.88891-1602.46149)/2487345.59713*100)</f>
        <v>0.05875449803542596</v>
      </c>
    </row>
    <row r="64" spans="1:7" s="12" customFormat="1" ht="15.75">
      <c r="A64" s="34" t="s">
        <v>38</v>
      </c>
      <c r="B64" s="41">
        <f>IF(2857.79997="","-",2857.79997)</f>
        <v>2857.79997</v>
      </c>
      <c r="C64" s="41">
        <f>IF(OR(6255.98838="",2857.79997=""),"-",2857.79997/6255.98838*100)</f>
        <v>45.681030660737896</v>
      </c>
      <c r="D64" s="41">
        <f>IF(6255.98838="","-",6255.98838/2487345.59713*100)</f>
        <v>0.2515126320692393</v>
      </c>
      <c r="E64" s="41">
        <f>IF(2857.79997="","-",2857.79997/2560982.65919*100)</f>
        <v>0.11158997737625756</v>
      </c>
      <c r="F64" s="41">
        <f>IF(OR(2191887.38519="",3657.74098="",6255.98838=""),"-",(6255.98838-3657.74098)/2191887.38519*100)</f>
        <v>0.11853927430559008</v>
      </c>
      <c r="G64" s="41">
        <f>IF(OR(2487345.59713="",2857.79997="",6255.98838=""),"-",(2857.79997-6255.98838)/2487345.59713*100)</f>
        <v>-0.13661906949806119</v>
      </c>
    </row>
    <row r="65" spans="1:7" s="9" customFormat="1" ht="15.75">
      <c r="A65" s="34" t="s">
        <v>64</v>
      </c>
      <c r="B65" s="41">
        <f>IF(2417.41419="","-",2417.41419)</f>
        <v>2417.41419</v>
      </c>
      <c r="C65" s="41" t="s">
        <v>175</v>
      </c>
      <c r="D65" s="41">
        <f>IF(1287.04318="","-",1287.04318/2487345.59713*100)</f>
        <v>0.05174364115244147</v>
      </c>
      <c r="E65" s="41">
        <f>IF(2417.41419="","-",2417.41419/2560982.65919*100)</f>
        <v>0.0943940085390735</v>
      </c>
      <c r="F65" s="41">
        <f>IF(OR(2191887.38519="",1229.76969="",1287.04318=""),"-",(1287.04318-1229.76969)/2191887.38519*100)</f>
        <v>0.0026129759396847463</v>
      </c>
      <c r="G65" s="41">
        <f>IF(OR(2487345.59713="",2417.41419="",1287.04318=""),"-",(2417.41419-1287.04318)/2487345.59713*100)</f>
        <v>0.04544487148485791</v>
      </c>
    </row>
    <row r="66" spans="1:7" s="12" customFormat="1" ht="15.75">
      <c r="A66" s="34" t="s">
        <v>87</v>
      </c>
      <c r="B66" s="41">
        <f>IF(2039.53372="","-",2039.53372)</f>
        <v>2039.53372</v>
      </c>
      <c r="C66" s="41">
        <f>IF(OR(1812.67369="",2039.53372=""),"-",2039.53372/1812.67369*100)</f>
        <v>112.51521612806108</v>
      </c>
      <c r="D66" s="41">
        <f>IF(1812.67369="","-",1812.67369/2487345.59713*100)</f>
        <v>0.07287582763294076</v>
      </c>
      <c r="E66" s="41">
        <f>IF(2039.53372="","-",2039.53372/2560982.65919*100)</f>
        <v>0.07963871651692767</v>
      </c>
      <c r="F66" s="41">
        <f>IF(OR(2191887.38519="",806.09166="",1812.67369=""),"-",(1812.67369-806.09166)/2191887.38519*100)</f>
        <v>0.04592307236225762</v>
      </c>
      <c r="G66" s="41">
        <f>IF(OR(2487345.59713="",2039.53372="",1812.67369=""),"-",(2039.53372-1812.67369)/2487345.59713*100)</f>
        <v>0.009120567333375792</v>
      </c>
    </row>
    <row r="67" spans="1:7" s="9" customFormat="1" ht="15.75">
      <c r="A67" s="34" t="s">
        <v>76</v>
      </c>
      <c r="B67" s="41">
        <f>IF(1827.32418="","-",1827.32418)</f>
        <v>1827.32418</v>
      </c>
      <c r="C67" s="41">
        <f>IF(OR(11603.42908="",1827.32418=""),"-",1827.32418/11603.42908*100)</f>
        <v>15.748139342271052</v>
      </c>
      <c r="D67" s="41">
        <f>IF(11603.42908="","-",11603.42908/2487345.59713*100)</f>
        <v>0.46649846701594283</v>
      </c>
      <c r="E67" s="41">
        <f>IF(1827.32418="","-",1827.32418/2560982.65919*100)</f>
        <v>0.07135246204978034</v>
      </c>
      <c r="F67" s="41">
        <f>IF(OR(2191887.38519="",2273.59955="",11603.42908=""),"-",(11603.42908-2273.59955)/2191887.38519*100)</f>
        <v>0.425652777284051</v>
      </c>
      <c r="G67" s="41">
        <f>IF(OR(2487345.59713="",1827.32418="",11603.42908=""),"-",(1827.32418-11603.42908)/2487345.59713*100)</f>
        <v>-0.3930336384007138</v>
      </c>
    </row>
    <row r="68" spans="1:7" s="12" customFormat="1" ht="15.75">
      <c r="A68" s="34" t="s">
        <v>77</v>
      </c>
      <c r="B68" s="41">
        <f>IF(1705.77097="","-",1705.77097)</f>
        <v>1705.77097</v>
      </c>
      <c r="C68" s="41">
        <f>IF(OR(1482.82934="",1705.77097=""),"-",1705.77097/1482.82934*100)</f>
        <v>115.03488122240688</v>
      </c>
      <c r="D68" s="41">
        <f>IF(1482.82934="","-",1482.82934/2487345.59713*100)</f>
        <v>0.059614930137209254</v>
      </c>
      <c r="E68" s="41">
        <f>IF(1705.77097="","-",1705.77097/2560982.65919*100)</f>
        <v>0.06660611167666046</v>
      </c>
      <c r="F68" s="41">
        <f>IF(OR(2191887.38519="",1005.20356="",1482.82934=""),"-",(1482.82934-1005.20356)/2191887.38519*100)</f>
        <v>0.02179061676376215</v>
      </c>
      <c r="G68" s="41">
        <f>IF(OR(2487345.59713="",1705.77097="",1482.82934=""),"-",(1705.77097-1482.82934)/2487345.59713*100)</f>
        <v>0.008963033936950261</v>
      </c>
    </row>
    <row r="69" spans="1:7" s="9" customFormat="1" ht="15.75">
      <c r="A69" s="34" t="s">
        <v>72</v>
      </c>
      <c r="B69" s="41">
        <f>IF(1639.55187="","-",1639.55187)</f>
        <v>1639.55187</v>
      </c>
      <c r="C69" s="41">
        <f>IF(OR(1883.35473="",1639.55187=""),"-",1639.55187/1883.35473*100)</f>
        <v>87.05486246873949</v>
      </c>
      <c r="D69" s="41">
        <f>IF(1883.35473="","-",1883.35473/2487345.59713*100)</f>
        <v>0.07571745286111792</v>
      </c>
      <c r="E69" s="41">
        <f>IF(1639.55187="","-",1639.55187/2560982.65919*100)</f>
        <v>0.06402042060365085</v>
      </c>
      <c r="F69" s="41">
        <f>IF(OR(2191887.38519="",283.66265="",1883.35473=""),"-",(1883.35473-283.66265)/2191887.38519*100)</f>
        <v>0.07298240278258336</v>
      </c>
      <c r="G69" s="41">
        <f>IF(OR(2487345.59713="",1639.55187="",1883.35473=""),"-",(1639.55187-1883.35473)/2487345.59713*100)</f>
        <v>-0.00980172840803906</v>
      </c>
    </row>
    <row r="70" spans="1:7" s="9" customFormat="1" ht="15.75">
      <c r="A70" s="34" t="s">
        <v>78</v>
      </c>
      <c r="B70" s="41">
        <f>IF(1512.59657="","-",1512.59657)</f>
        <v>1512.59657</v>
      </c>
      <c r="C70" s="41">
        <f>IF(OR(1329.5241="",1512.59657=""),"-",1512.59657/1329.5241*100)</f>
        <v>113.76977446290744</v>
      </c>
      <c r="D70" s="41">
        <f>IF(1329.5241="","-",1329.5241/2487345.59713*100)</f>
        <v>0.053451522841621156</v>
      </c>
      <c r="E70" s="41">
        <f>IF(1512.59657="","-",1512.59657/2560982.65919*100)</f>
        <v>0.05906313205878603</v>
      </c>
      <c r="F70" s="41">
        <f>IF(OR(2191887.38519="",844.28097="",1329.5241=""),"-",(1329.5241-844.28097)/2191887.38519*100)</f>
        <v>0.02213814146103759</v>
      </c>
      <c r="G70" s="41">
        <f>IF(OR(2487345.59713="",1512.59657="",1329.5241=""),"-",(1512.59657-1329.5241)/2487345.59713*100)</f>
        <v>0.00736015414228068</v>
      </c>
    </row>
    <row r="71" spans="1:7" s="12" customFormat="1" ht="15.75">
      <c r="A71" s="34" t="s">
        <v>40</v>
      </c>
      <c r="B71" s="41">
        <f>IF(1469.72551="","-",1469.72551)</f>
        <v>1469.72551</v>
      </c>
      <c r="C71" s="41">
        <f>IF(OR(1603.42341="",1469.72551=""),"-",1469.72551/1603.42341*100)</f>
        <v>91.66172208998744</v>
      </c>
      <c r="D71" s="41">
        <f>IF(1603.42341="","-",1603.42341/2487345.59713*100)</f>
        <v>0.06446323389279297</v>
      </c>
      <c r="E71" s="41">
        <f>IF(1469.72551="","-",1469.72551/2560982.65919*100)</f>
        <v>0.05738912384767385</v>
      </c>
      <c r="F71" s="41">
        <f>IF(OR(2191887.38519="",180.53281="",1603.42341=""),"-",(1603.42341-180.53281)/2191887.38519*100)</f>
        <v>0.0649162274309389</v>
      </c>
      <c r="G71" s="41">
        <f>IF(OR(2487345.59713="",1469.72551="",1603.42341=""),"-",(1469.72551-1603.42341)/2487345.59713*100)</f>
        <v>-0.005375123591762486</v>
      </c>
    </row>
    <row r="72" spans="1:7" s="14" customFormat="1" ht="15.75">
      <c r="A72" s="34" t="s">
        <v>258</v>
      </c>
      <c r="B72" s="41">
        <f>IF(1468.45099="","-",1468.45099)</f>
        <v>1468.45099</v>
      </c>
      <c r="C72" s="41">
        <f>IF(OR(1361.54403="",1468.45099=""),"-",1468.45099/1361.54403*100)</f>
        <v>107.85189150291379</v>
      </c>
      <c r="D72" s="41">
        <f>IF(1361.54403="","-",1361.54403/2487345.59713*100)</f>
        <v>0.05473883611392822</v>
      </c>
      <c r="E72" s="41">
        <f>IF(1468.45099="","-",1468.45099/2560982.65919*100)</f>
        <v>0.057339357013235254</v>
      </c>
      <c r="F72" s="41">
        <f>IF(OR(2191887.38519="",1600.75064="",1361.54403=""),"-",(1361.54403-1600.75064)/2191887.38519*100)</f>
        <v>-0.010913270983548488</v>
      </c>
      <c r="G72" s="41">
        <f>IF(OR(2487345.59713="",1468.45099="",1361.54403=""),"-",(1468.45099-1361.54403)/2487345.59713*100)</f>
        <v>0.004298034021623437</v>
      </c>
    </row>
    <row r="73" spans="1:7" s="9" customFormat="1" ht="15.75">
      <c r="A73" s="34" t="s">
        <v>65</v>
      </c>
      <c r="B73" s="41">
        <f>IF(1446.58019="","-",1446.58019)</f>
        <v>1446.58019</v>
      </c>
      <c r="C73" s="41">
        <f>IF(OR(2709.28033="",1446.58019=""),"-",1446.58019/2709.28033*100)</f>
        <v>53.39352203542555</v>
      </c>
      <c r="D73" s="41">
        <f>IF(2709.28033="","-",2709.28033/2487345.59713*100)</f>
        <v>0.1089225531476638</v>
      </c>
      <c r="E73" s="41">
        <f>IF(1446.58019="","-",1446.58019/2560982.65919*100)</f>
        <v>0.05648535669732068</v>
      </c>
      <c r="F73" s="41">
        <f>IF(OR(2191887.38519="",4131.96414="",2709.28033=""),"-",(2709.28033-4131.96414)/2191887.38519*100)</f>
        <v>-0.06490679309588149</v>
      </c>
      <c r="G73" s="41">
        <f>IF(OR(2487345.59713="",1446.58019="",2709.28033=""),"-",(1446.58019-2709.28033)/2487345.59713*100)</f>
        <v>-0.05076496573121783</v>
      </c>
    </row>
    <row r="74" spans="1:7" s="9" customFormat="1" ht="15.75">
      <c r="A74" s="34" t="s">
        <v>165</v>
      </c>
      <c r="B74" s="41">
        <f>IF(1393.68599="","-",1393.68599)</f>
        <v>1393.68599</v>
      </c>
      <c r="C74" s="41">
        <f>IF(OR(2201.12699="",1393.68599=""),"-",1393.68599/2201.12699*100)</f>
        <v>63.31692793426698</v>
      </c>
      <c r="D74" s="41">
        <f>IF(2201.12699="","-",2201.12699/2487345.59713*100)</f>
        <v>0.08849301008029402</v>
      </c>
      <c r="E74" s="41">
        <f>IF(1393.68599="","-",1393.68599/2560982.65919*100)</f>
        <v>0.0544199698111506</v>
      </c>
      <c r="F74" s="41">
        <f>IF(OR(2191887.38519="",4059.86204="",2201.12699=""),"-",(2201.12699-4059.86204)/2191887.38519*100)</f>
        <v>-0.08480066369098058</v>
      </c>
      <c r="G74" s="41">
        <f>IF(OR(2487345.59713="",1393.68599="",2201.12699=""),"-",(1393.68599-2201.12699)/2487345.59713*100)</f>
        <v>-0.03246195466089064</v>
      </c>
    </row>
    <row r="75" spans="1:7" s="9" customFormat="1" ht="15.75">
      <c r="A75" s="34" t="s">
        <v>188</v>
      </c>
      <c r="B75" s="41">
        <f>IF(1287.3617="","-",1287.3617)</f>
        <v>1287.3617</v>
      </c>
      <c r="C75" s="41" t="str">
        <f>IF(OR(""="",1287.3617=""),"-",1287.3617/""*100)</f>
        <v>-</v>
      </c>
      <c r="D75" s="41" t="str">
        <f>IF(""="","-",""/2487345.59713*100)</f>
        <v>-</v>
      </c>
      <c r="E75" s="41">
        <f>IF(1287.3617="","-",1287.3617/2560982.65919*100)</f>
        <v>0.050268270867838395</v>
      </c>
      <c r="F75" s="41" t="str">
        <f>IF(OR(2191887.38519="",""="",""=""),"-",(""-"")/2191887.38519*100)</f>
        <v>-</v>
      </c>
      <c r="G75" s="41" t="str">
        <f>IF(OR(2487345.59713="",1287.3617="",""=""),"-",(1287.3617-"")/2487345.59713*100)</f>
        <v>-</v>
      </c>
    </row>
    <row r="76" spans="1:7" s="9" customFormat="1" ht="15.75">
      <c r="A76" s="34" t="s">
        <v>73</v>
      </c>
      <c r="B76" s="41">
        <f>IF(1273.68617="","-",1273.68617)</f>
        <v>1273.68617</v>
      </c>
      <c r="C76" s="41">
        <f>IF(OR(981.8283="",1273.68617=""),"-",1273.68617/981.8283*100)</f>
        <v>129.72595819452343</v>
      </c>
      <c r="D76" s="41">
        <f>IF(981.8283="","-",981.8283/2487345.59713*100)</f>
        <v>0.039472934566586695</v>
      </c>
      <c r="E76" s="41">
        <f>IF(1273.68617="","-",1273.68617/2560982.65919*100)</f>
        <v>0.04973427545201917</v>
      </c>
      <c r="F76" s="41">
        <f>IF(OR(2191887.38519="",2804.08836="",981.8283=""),"-",(981.8283-2804.08836)/2191887.38519*100)</f>
        <v>-0.08313657317946746</v>
      </c>
      <c r="G76" s="41">
        <f>IF(OR(2487345.59713="",1273.68617="",981.8283=""),"-",(1273.68617-981.8283)/2487345.59713*100)</f>
        <v>0.011733708027415142</v>
      </c>
    </row>
    <row r="77" spans="1:7" s="9" customFormat="1" ht="15.75">
      <c r="A77" s="34" t="s">
        <v>111</v>
      </c>
      <c r="B77" s="41">
        <f>IF(1245.47947="","-",1245.47947)</f>
        <v>1245.47947</v>
      </c>
      <c r="C77" s="41" t="s">
        <v>168</v>
      </c>
      <c r="D77" s="41">
        <f>IF(574.97261="","-",574.97261/2487345.59713*100)</f>
        <v>0.023115911623355703</v>
      </c>
      <c r="E77" s="41">
        <f>IF(1245.47947="","-",1245.47947/2560982.65919*100)</f>
        <v>0.04863287400758607</v>
      </c>
      <c r="F77" s="41">
        <f>IF(OR(2191887.38519="",482.15933="",574.97261=""),"-",(574.97261-482.15933)/2191887.38519*100)</f>
        <v>0.004234400025617861</v>
      </c>
      <c r="G77" s="41">
        <f>IF(OR(2487345.59713="",1245.47947="",574.97261=""),"-",(1245.47947-574.97261)/2487345.59713*100)</f>
        <v>0.02695672289261524</v>
      </c>
    </row>
    <row r="78" spans="1:7" s="9" customFormat="1" ht="15.75">
      <c r="A78" s="34" t="s">
        <v>93</v>
      </c>
      <c r="B78" s="41">
        <f>IF(1198.82361="","-",1198.82361)</f>
        <v>1198.82361</v>
      </c>
      <c r="C78" s="41">
        <f>IF(OR(1123.36773="",1198.82361=""),"-",1198.82361/1123.36773*100)</f>
        <v>106.71693497907404</v>
      </c>
      <c r="D78" s="41">
        <f>IF(1123.36773="","-",1123.36773/2487345.59713*100)</f>
        <v>0.04516331511375769</v>
      </c>
      <c r="E78" s="41">
        <f>IF(1198.82361="","-",1198.82361/2560982.65919*100)</f>
        <v>0.04681107877470633</v>
      </c>
      <c r="F78" s="41">
        <f>IF(OR(2191887.38519="",17.77175="",1123.36773=""),"-",(1123.36773-17.77175)/2191887.38519*100)</f>
        <v>0.05044036420256889</v>
      </c>
      <c r="G78" s="41">
        <f>IF(OR(2487345.59713="",1198.82361="",1123.36773=""),"-",(1198.82361-1123.36773)/2487345.59713*100)</f>
        <v>0.0030335905105854217</v>
      </c>
    </row>
    <row r="79" spans="1:7" s="9" customFormat="1" ht="15.75">
      <c r="A79" s="34" t="s">
        <v>140</v>
      </c>
      <c r="B79" s="41">
        <f>IF(1063.66979="","-",1063.66979)</f>
        <v>1063.66979</v>
      </c>
      <c r="C79" s="41" t="str">
        <f>IF(OR(""="",1063.66979=""),"-",1063.66979/""*100)</f>
        <v>-</v>
      </c>
      <c r="D79" s="41" t="str">
        <f>IF(""="","-",""/2487345.59713*100)</f>
        <v>-</v>
      </c>
      <c r="E79" s="41">
        <f>IF(1063.66979="","-",1063.66979/2560982.65919*100)</f>
        <v>0.0415336584253336</v>
      </c>
      <c r="F79" s="41" t="str">
        <f>IF(OR(2191887.38519="",""="",""=""),"-",(""-"")/2191887.38519*100)</f>
        <v>-</v>
      </c>
      <c r="G79" s="41" t="str">
        <f>IF(OR(2487345.59713="",1063.66979="",""=""),"-",(1063.66979-"")/2487345.59713*100)</f>
        <v>-</v>
      </c>
    </row>
    <row r="80" spans="1:7" s="9" customFormat="1" ht="15.75">
      <c r="A80" s="34" t="s">
        <v>162</v>
      </c>
      <c r="B80" s="41">
        <f>IF(1021.81361="","-",1021.81361)</f>
        <v>1021.81361</v>
      </c>
      <c r="C80" s="41" t="s">
        <v>279</v>
      </c>
      <c r="D80" s="41">
        <f>IF(69.77432="","-",69.77432/2487345.59713*100)</f>
        <v>0.002805171910188453</v>
      </c>
      <c r="E80" s="41">
        <f>IF(1021.81361="","-",1021.81361/2560982.65919*100)</f>
        <v>0.03989927875275751</v>
      </c>
      <c r="F80" s="41">
        <f>IF(OR(2191887.38519="",1034.90358="",69.77432=""),"-",(69.77432-1034.90358)/2191887.38519*100)</f>
        <v>-0.04403188167973965</v>
      </c>
      <c r="G80" s="41">
        <f>IF(OR(2487345.59713="",1021.81361="",69.77432=""),"-",(1021.81361-69.77432)/2487345.59713*100)</f>
        <v>0.038275312087652856</v>
      </c>
    </row>
    <row r="81" spans="1:7" s="9" customFormat="1" ht="15.75">
      <c r="A81" s="34" t="s">
        <v>147</v>
      </c>
      <c r="B81" s="41">
        <f>IF(1007.61255="","-",1007.61255)</f>
        <v>1007.61255</v>
      </c>
      <c r="C81" s="41">
        <f>IF(OR(1739.08352="",1007.61255=""),"-",1007.61255/1739.08352*100)</f>
        <v>57.93928459514125</v>
      </c>
      <c r="D81" s="41">
        <f>IF(1739.08352="","-",1739.08352/2487345.59713*100)</f>
        <v>0.06991724519530478</v>
      </c>
      <c r="E81" s="41">
        <f>IF(1007.61255="","-",1007.61255/2560982.65919*100)</f>
        <v>0.03934476269818604</v>
      </c>
      <c r="F81" s="41" t="str">
        <f>IF(OR(2191887.38519="",""="",1739.08352=""),"-",(1739.08352-"")/2191887.38519*100)</f>
        <v>-</v>
      </c>
      <c r="G81" s="41">
        <f>IF(OR(2487345.59713="",1007.61255="",1739.08352=""),"-",(1007.61255-1739.08352)/2487345.59713*100)</f>
        <v>-0.029407693520514422</v>
      </c>
    </row>
    <row r="82" spans="1:7" ht="15.75">
      <c r="A82" s="34" t="s">
        <v>103</v>
      </c>
      <c r="B82" s="41">
        <f>IF(940.13015="","-",940.13015)</f>
        <v>940.13015</v>
      </c>
      <c r="C82" s="41">
        <f>IF(OR(998.92523="",940.13015=""),"-",940.13015/998.92523*100)</f>
        <v>94.11416608228025</v>
      </c>
      <c r="D82" s="41">
        <f>IF(998.92523="","-",998.92523/2487345.59713*100)</f>
        <v>0.04016029100067962</v>
      </c>
      <c r="E82" s="41">
        <f>IF(940.13015="","-",940.13015/2560982.65919*100)</f>
        <v>0.03670974290381759</v>
      </c>
      <c r="F82" s="41">
        <f>IF(OR(2191887.38519="",520.75765="",998.92523=""),"-",(998.92523-520.75765)/2191887.38519*100)</f>
        <v>0.021815335186964952</v>
      </c>
      <c r="G82" s="41">
        <f>IF(OR(2487345.59713="",940.13015="",998.92523=""),"-",(940.13015-998.92523)/2487345.59713*100)</f>
        <v>-0.0023637680291729558</v>
      </c>
    </row>
    <row r="83" spans="1:7" ht="15.75">
      <c r="A83" s="34" t="s">
        <v>39</v>
      </c>
      <c r="B83" s="41">
        <f>IF(846.63232="","-",846.63232)</f>
        <v>846.63232</v>
      </c>
      <c r="C83" s="41">
        <f>IF(OR(655.59718="",846.63232=""),"-",846.63232/655.59718*100)</f>
        <v>129.1391033744227</v>
      </c>
      <c r="D83" s="41">
        <f>IF(655.59718="","-",655.59718/2487345.59713*100)</f>
        <v>0.026357301565027975</v>
      </c>
      <c r="E83" s="41">
        <f>IF(846.63232="","-",846.63232/2560982.65919*100)</f>
        <v>0.03305888530568095</v>
      </c>
      <c r="F83" s="41">
        <f>IF(OR(2191887.38519="",751.63134="",655.59718=""),"-",(655.59718-751.63134)/2191887.38519*100)</f>
        <v>-0.0043813455312018915</v>
      </c>
      <c r="G83" s="41">
        <f>IF(OR(2487345.59713="",846.63232="",655.59718=""),"-",(846.63232-655.59718)/2487345.59713*100)</f>
        <v>0.007680281349741834</v>
      </c>
    </row>
    <row r="84" spans="1:7" ht="15.75">
      <c r="A84" s="34" t="s">
        <v>97</v>
      </c>
      <c r="B84" s="41">
        <f>IF(757.15518="","-",757.15518)</f>
        <v>757.15518</v>
      </c>
      <c r="C84" s="41">
        <f>IF(OR(559.15902="",757.15518=""),"-",757.15518/559.15902*100)</f>
        <v>135.40963356005594</v>
      </c>
      <c r="D84" s="41">
        <f>IF(559.15902="","-",559.15902/2487345.59713*100)</f>
        <v>0.022480149949616182</v>
      </c>
      <c r="E84" s="41">
        <f>IF(757.15518="","-",757.15518/2560982.65919*100)</f>
        <v>0.029565025646814673</v>
      </c>
      <c r="F84" s="41">
        <f>IF(OR(2191887.38519="",354.12978="",559.15902=""),"-",(559.15902-354.12978)/2191887.38519*100)</f>
        <v>0.009354004288054584</v>
      </c>
      <c r="G84" s="41">
        <f>IF(OR(2487345.59713="",757.15518="",559.15902=""),"-",(757.15518-559.15902)/2487345.59713*100)</f>
        <v>0.00796013872091019</v>
      </c>
    </row>
    <row r="85" spans="1:7" ht="15.75">
      <c r="A85" s="34" t="s">
        <v>75</v>
      </c>
      <c r="B85" s="41">
        <f>IF(717.39795="","-",717.39795)</f>
        <v>717.39795</v>
      </c>
      <c r="C85" s="41">
        <f>IF(OR(400.83821="",717.39795=""),"-",717.39795/400.83821*100)</f>
        <v>178.9744420822556</v>
      </c>
      <c r="D85" s="41">
        <f>IF(400.83821="","-",400.83821/2487345.59713*100)</f>
        <v>0.016115099182940372</v>
      </c>
      <c r="E85" s="41">
        <f>IF(717.39795="","-",717.39795/2560982.65919*100)</f>
        <v>0.028012604748635903</v>
      </c>
      <c r="F85" s="41">
        <f>IF(OR(2191887.38519="",795.00121="",400.83821=""),"-",(400.83821-795.00121)/2191887.38519*100)</f>
        <v>-0.017982812559771758</v>
      </c>
      <c r="G85" s="41">
        <f>IF(OR(2487345.59713="",717.39795="",400.83821=""),"-",(717.39795-400.83821)/2487345.59713*100)</f>
        <v>0.012726809670729288</v>
      </c>
    </row>
    <row r="86" spans="1:7" ht="15.75">
      <c r="A86" s="34" t="s">
        <v>85</v>
      </c>
      <c r="B86" s="41">
        <f>IF(687.20973="","-",687.20973)</f>
        <v>687.20973</v>
      </c>
      <c r="C86" s="41" t="s">
        <v>280</v>
      </c>
      <c r="D86" s="41">
        <f>IF(19.04348="","-",19.04348/2487345.59713*100)</f>
        <v>0.0007656145580241496</v>
      </c>
      <c r="E86" s="41">
        <f>IF(687.20973="","-",687.20973/2560982.65919*100)</f>
        <v>0.026833829879088448</v>
      </c>
      <c r="F86" s="41">
        <f>IF(OR(2191887.38519="",0.72611="",19.04348=""),"-",(19.04348-0.72611)/2191887.38519*100)</f>
        <v>0.0008356893754563121</v>
      </c>
      <c r="G86" s="41">
        <f>IF(OR(2487345.59713="",687.20973="",19.04348=""),"-",(687.20973-19.04348)/2487345.59713*100)</f>
        <v>0.026862622177270305</v>
      </c>
    </row>
    <row r="87" spans="1:7" ht="15.75">
      <c r="A87" s="34" t="s">
        <v>141</v>
      </c>
      <c r="B87" s="41">
        <f>IF(661.53545="","-",661.53545)</f>
        <v>661.53545</v>
      </c>
      <c r="C87" s="41" t="s">
        <v>281</v>
      </c>
      <c r="D87" s="41">
        <f>IF(63.71608="","-",63.71608/2487345.59713*100)</f>
        <v>0.002561609455216765</v>
      </c>
      <c r="E87" s="41">
        <f>IF(661.53545="","-",661.53545/2560982.65919*100)</f>
        <v>0.025831313133890317</v>
      </c>
      <c r="F87" s="41">
        <f>IF(OR(2191887.38519="",182.62207="",63.71608=""),"-",(63.71608-182.62207)/2191887.38519*100)</f>
        <v>-0.00542482204165306</v>
      </c>
      <c r="G87" s="41">
        <f>IF(OR(2487345.59713="",661.53545="",63.71608=""),"-",(661.53545-63.71608)/2487345.59713*100)</f>
        <v>0.02403443135082588</v>
      </c>
    </row>
    <row r="88" spans="1:7" ht="15.75">
      <c r="A88" s="34" t="s">
        <v>148</v>
      </c>
      <c r="B88" s="41">
        <f>IF(636.4602="","-",636.4602)</f>
        <v>636.4602</v>
      </c>
      <c r="C88" s="41" t="s">
        <v>282</v>
      </c>
      <c r="D88" s="41">
        <f>IF(99.94="","-",99.94/2487345.59713*100)</f>
        <v>0.004017937841662004</v>
      </c>
      <c r="E88" s="41">
        <f>IF(636.4602="","-",636.4602/2560982.65919*100)</f>
        <v>0.024852187019544395</v>
      </c>
      <c r="F88" s="41" t="str">
        <f>IF(OR(2191887.38519="",""="",99.94=""),"-",(99.94-"")/2191887.38519*100)</f>
        <v>-</v>
      </c>
      <c r="G88" s="41">
        <f>IF(OR(2487345.59713="",636.4602="",99.94=""),"-",(636.4602-99.94)/2487345.59713*100)</f>
        <v>0.02156999013804349</v>
      </c>
    </row>
    <row r="89" spans="1:7" ht="15.75">
      <c r="A89" s="34" t="s">
        <v>102</v>
      </c>
      <c r="B89" s="41">
        <f>IF(541.91298="","-",541.91298)</f>
        <v>541.91298</v>
      </c>
      <c r="C89" s="41">
        <f>IF(OR(502.85877="",541.91298=""),"-",541.91298/502.85877*100)</f>
        <v>107.76643708530726</v>
      </c>
      <c r="D89" s="41">
        <f>IF(502.85877="","-",502.85877/2487345.59713*100)</f>
        <v>0.02021668281963788</v>
      </c>
      <c r="E89" s="41">
        <f>IF(541.91298="","-",541.91298/2560982.65919*100)</f>
        <v>0.02116035335324757</v>
      </c>
      <c r="F89" s="41">
        <f>IF(OR(2191887.38519="",782.2788="",502.85877=""),"-",(502.85877-782.2788)/2191887.38519*100)</f>
        <v>-0.012747919071388746</v>
      </c>
      <c r="G89" s="41">
        <f>IF(OR(2487345.59713="",541.91298="",502.85877=""),"-",(541.91298-502.85877)/2487345.59713*100)</f>
        <v>0.0015701159519232984</v>
      </c>
    </row>
    <row r="90" spans="1:7" ht="15.75">
      <c r="A90" s="34" t="s">
        <v>89</v>
      </c>
      <c r="B90" s="41">
        <f>IF(504.2726="","-",504.2726)</f>
        <v>504.2726</v>
      </c>
      <c r="C90" s="41">
        <f>IF(OR(454.68826="",504.2726=""),"-",504.2726/454.68826*100)</f>
        <v>110.9051287139017</v>
      </c>
      <c r="D90" s="41">
        <f>IF(454.68826="","-",454.68826/2487345.59713*100)</f>
        <v>0.01828005969595209</v>
      </c>
      <c r="E90" s="41">
        <f>IF(504.2726="","-",504.2726/2560982.65919*100)</f>
        <v>0.019690590179923115</v>
      </c>
      <c r="F90" s="41">
        <f>IF(OR(2191887.38519="",59.2493="",454.68826=""),"-",(454.68826-59.2493)/2191887.38519*100)</f>
        <v>0.018041025404492764</v>
      </c>
      <c r="G90" s="41">
        <f>IF(OR(2487345.59713="",504.2726="",454.68826=""),"-",(504.2726-454.68826)/2487345.59713*100)</f>
        <v>0.0019934640388216424</v>
      </c>
    </row>
    <row r="91" spans="1:7" ht="15.75">
      <c r="A91" s="34" t="s">
        <v>109</v>
      </c>
      <c r="B91" s="41">
        <f>IF(484.59242="","-",484.59242)</f>
        <v>484.59242</v>
      </c>
      <c r="C91" s="41">
        <f>IF(OR(548.03698="",484.59242=""),"-",484.59242/548.03698*100)</f>
        <v>88.42330676298523</v>
      </c>
      <c r="D91" s="41">
        <f>IF(548.03698="","-",548.03698/2487345.59713*100)</f>
        <v>0.02203300500872686</v>
      </c>
      <c r="E91" s="41">
        <f>IF(484.59242="","-",484.59242/2560982.65919*100)</f>
        <v>0.018922128123790936</v>
      </c>
      <c r="F91" s="41">
        <f>IF(OR(2191887.38519="",853.95428="",548.03698=""),"-",(548.03698-853.95428)/2191887.38519*100)</f>
        <v>-0.013956798240046543</v>
      </c>
      <c r="G91" s="41">
        <f>IF(OR(2487345.59713="",484.59242="",548.03698=""),"-",(484.59242-548.03698)/2487345.59713*100)</f>
        <v>-0.0025506934007564074</v>
      </c>
    </row>
    <row r="92" spans="1:7" ht="15.75">
      <c r="A92" s="34" t="s">
        <v>142</v>
      </c>
      <c r="B92" s="41">
        <f>IF(449.49037="","-",449.49037)</f>
        <v>449.49037</v>
      </c>
      <c r="C92" s="41" t="s">
        <v>283</v>
      </c>
      <c r="D92" s="41">
        <f>IF(108.99352="","-",108.99352/2487345.59713*100)</f>
        <v>0.0043819210376620414</v>
      </c>
      <c r="E92" s="41">
        <f>IF(449.49037="","-",449.49037/2560982.65919*100)</f>
        <v>0.0175514804204948</v>
      </c>
      <c r="F92" s="41">
        <f>IF(OR(2191887.38519="",403.42283="",108.99352=""),"-",(108.99352-403.42283)/2191887.38519*100)</f>
        <v>-0.013432684178456455</v>
      </c>
      <c r="G92" s="41">
        <f>IF(OR(2487345.59713="",449.49037="",108.99352=""),"-",(449.49037-108.99352)/2487345.59713*100)</f>
        <v>0.013689165284988102</v>
      </c>
    </row>
    <row r="93" spans="1:7" ht="15.75">
      <c r="A93" s="34" t="s">
        <v>149</v>
      </c>
      <c r="B93" s="41">
        <f>IF(441.7962="","-",441.7962)</f>
        <v>441.7962</v>
      </c>
      <c r="C93" s="41">
        <f>IF(OR(497.59067="",441.7962=""),"-",441.7962/497.59067*100)</f>
        <v>88.78707472549677</v>
      </c>
      <c r="D93" s="41">
        <f>IF(497.59067="","-",497.59067/2487345.59713*100)</f>
        <v>0.02000488675856464</v>
      </c>
      <c r="E93" s="41">
        <f>IF(441.7962="","-",441.7962/2560982.65919*100)</f>
        <v>0.017251042228444195</v>
      </c>
      <c r="F93" s="41">
        <f>IF(OR(2191887.38519="",242.01661="",497.59067=""),"-",(497.59067-242.01661)/2191887.38519*100)</f>
        <v>0.011659999584232564</v>
      </c>
      <c r="G93" s="41">
        <f>IF(OR(2487345.59713="",441.7962="",497.59067=""),"-",(441.7962-497.59067)/2487345.59713*100)</f>
        <v>-0.002243133003486846</v>
      </c>
    </row>
    <row r="94" spans="1:7" ht="15.75">
      <c r="A94" s="34" t="s">
        <v>84</v>
      </c>
      <c r="B94" s="41">
        <f>IF(441.71995="","-",441.71995)</f>
        <v>441.71995</v>
      </c>
      <c r="C94" s="41">
        <f>IF(OR(1657.07725="",441.71995=""),"-",441.71995/1657.07725*100)</f>
        <v>26.65656957151515</v>
      </c>
      <c r="D94" s="41">
        <f>IF(1657.07725="","-",1657.07725/2487345.59713*100)</f>
        <v>0.06662030607696827</v>
      </c>
      <c r="E94" s="41">
        <f>IF(441.71995="","-",441.71995/2560982.65919*100)</f>
        <v>0.017248064855687438</v>
      </c>
      <c r="F94" s="41">
        <f>IF(OR(2191887.38519="",727.3691="",1657.07725=""),"-",(1657.07725-727.3691)/2191887.38519*100)</f>
        <v>0.04241587210555573</v>
      </c>
      <c r="G94" s="41">
        <f>IF(OR(2487345.59713="",441.71995="",1657.07725=""),"-",(441.71995-1657.07725)/2487345.59713*100)</f>
        <v>-0.04886161783880489</v>
      </c>
    </row>
    <row r="95" spans="1:7" ht="15.75">
      <c r="A95" s="34" t="s">
        <v>163</v>
      </c>
      <c r="B95" s="41">
        <f>IF(427.85064="","-",427.85064)</f>
        <v>427.85064</v>
      </c>
      <c r="C95" s="41">
        <f>IF(OR(357.43307="",427.85064=""),"-",427.85064/357.43307*100)</f>
        <v>119.70091071875359</v>
      </c>
      <c r="D95" s="41">
        <f>IF(357.43307="","-",357.43307/2487345.59713*100)</f>
        <v>0.014370060614512944</v>
      </c>
      <c r="E95" s="41">
        <f>IF(427.85064="","-",427.85064/2560982.65919*100)</f>
        <v>0.01670650281307733</v>
      </c>
      <c r="F95" s="41">
        <f>IF(OR(2191887.38519="",17.09016="",357.43307=""),"-",(357.43307-17.09016)/2191887.38519*100)</f>
        <v>0.015527390334905276</v>
      </c>
      <c r="G95" s="41">
        <f>IF(OR(2487345.59713="",427.85064="",357.43307=""),"-",(427.85064-357.43307)/2487345.59713*100)</f>
        <v>0.0028310328118959682</v>
      </c>
    </row>
    <row r="96" spans="1:7" ht="15.75">
      <c r="A96" s="34" t="s">
        <v>80</v>
      </c>
      <c r="B96" s="41">
        <f>IF(406.0211="","-",406.0211)</f>
        <v>406.0211</v>
      </c>
      <c r="C96" s="41" t="str">
        <f>IF(OR(""="",406.0211=""),"-",406.0211/""*100)</f>
        <v>-</v>
      </c>
      <c r="D96" s="41" t="str">
        <f>IF(""="","-",""/2487345.59713*100)</f>
        <v>-</v>
      </c>
      <c r="E96" s="41">
        <f>IF(406.0211="","-",406.0211/2560982.65919*100)</f>
        <v>0.01585411359748989</v>
      </c>
      <c r="F96" s="41" t="str">
        <f>IF(OR(2191887.38519="",2.55="",""=""),"-",(""-2.55)/2191887.38519*100)</f>
        <v>-</v>
      </c>
      <c r="G96" s="41" t="str">
        <f>IF(OR(2487345.59713="",406.0211="",""=""),"-",(406.0211-"")/2487345.59713*100)</f>
        <v>-</v>
      </c>
    </row>
    <row r="97" spans="1:7" ht="15.75">
      <c r="A97" s="34" t="s">
        <v>153</v>
      </c>
      <c r="B97" s="41">
        <f>IF(331.35627="","-",331.35627)</f>
        <v>331.35627</v>
      </c>
      <c r="C97" s="41">
        <f>IF(OR(741.84037="",331.35627=""),"-",331.35627/741.84037*100)</f>
        <v>44.666788624620146</v>
      </c>
      <c r="D97" s="41">
        <f>IF(741.84037="","-",741.84037/2487345.59713*100)</f>
        <v>0.029824579698774684</v>
      </c>
      <c r="E97" s="41">
        <f>IF(331.35627="","-",331.35627/2560982.65919*100)</f>
        <v>0.012938637784638609</v>
      </c>
      <c r="F97" s="41">
        <f>IF(OR(2191887.38519="",558.22111="",741.84037=""),"-",(741.84037-558.22111)/2191887.38519*100)</f>
        <v>0.008377221441241305</v>
      </c>
      <c r="G97" s="41">
        <f>IF(OR(2487345.59713="",331.35627="",741.84037=""),"-",(331.35627-741.84037)/2487345.59713*100)</f>
        <v>-0.016502897726541624</v>
      </c>
    </row>
    <row r="98" spans="1:7" ht="15.75">
      <c r="A98" s="34" t="s">
        <v>37</v>
      </c>
      <c r="B98" s="41">
        <f>IF(319.50866="","-",319.50866)</f>
        <v>319.50866</v>
      </c>
      <c r="C98" s="41">
        <f>IF(OR(602.17041="",319.50866=""),"-",319.50866/602.17041*100)</f>
        <v>53.05950852018783</v>
      </c>
      <c r="D98" s="41">
        <f>IF(602.17041="","-",602.17041/2487345.59713*100)</f>
        <v>0.024209358389715063</v>
      </c>
      <c r="E98" s="41">
        <f>IF(319.50866="","-",319.50866/2560982.65919*100)</f>
        <v>0.012476018096157504</v>
      </c>
      <c r="F98" s="41">
        <f>IF(OR(2191887.38519="",292.4594="",602.17041=""),"-",(602.17041-292.4594)/2191887.38519*100)</f>
        <v>0.014129877843753965</v>
      </c>
      <c r="G98" s="41">
        <f>IF(OR(2487345.59713="",319.50866="",602.17041=""),"-",(319.50866-602.17041)/2487345.59713*100)</f>
        <v>-0.011363991812241389</v>
      </c>
    </row>
    <row r="99" spans="1:7" ht="15.75">
      <c r="A99" s="34" t="s">
        <v>139</v>
      </c>
      <c r="B99" s="41">
        <f>IF(316.61122="","-",316.61122)</f>
        <v>316.61122</v>
      </c>
      <c r="C99" s="41">
        <f>IF(OR(409.54415="",316.61122=""),"-",316.61122/409.54415*100)</f>
        <v>77.3082023024868</v>
      </c>
      <c r="D99" s="41">
        <f>IF(409.54415="","-",409.54415/2487345.59713*100)</f>
        <v>0.016465108446230736</v>
      </c>
      <c r="E99" s="41">
        <f>IF(316.61122="","-",316.61122/2560982.65919*100)</f>
        <v>0.01236288027425142</v>
      </c>
      <c r="F99" s="41">
        <f>IF(OR(2191887.38519="",37.38395="",409.54415=""),"-",(409.54415-37.38395)/2191887.38519*100)</f>
        <v>0.01697898361542603</v>
      </c>
      <c r="G99" s="41">
        <f>IF(OR(2487345.59713="",316.61122="",409.54415=""),"-",(316.61122-409.54415)/2487345.59713*100)</f>
        <v>-0.0037362290992948373</v>
      </c>
    </row>
    <row r="100" spans="1:7" ht="15.75">
      <c r="A100" s="34" t="s">
        <v>95</v>
      </c>
      <c r="B100" s="41">
        <f>IF(278.26482="","-",278.26482)</f>
        <v>278.26482</v>
      </c>
      <c r="C100" s="41">
        <f>IF(OR(258.74034="",278.26482=""),"-",278.26482/258.74034*100)</f>
        <v>107.5459744700034</v>
      </c>
      <c r="D100" s="41">
        <f>IF(258.74034="","-",258.74034/2487345.59713*100)</f>
        <v>0.010402267392940694</v>
      </c>
      <c r="E100" s="41">
        <f>IF(278.26482="","-",278.26482/2560982.65919*100)</f>
        <v>0.010865548776812527</v>
      </c>
      <c r="F100" s="41">
        <f>IF(OR(2191887.38519="",369.59657="",258.74034=""),"-",(258.74034-369.59657)/2191887.38519*100)</f>
        <v>-0.005057569597280684</v>
      </c>
      <c r="G100" s="41">
        <f>IF(OR(2487345.59713="",278.26482="",258.74034=""),"-",(278.26482-258.74034)/2487345.59713*100)</f>
        <v>0.0007849524417727926</v>
      </c>
    </row>
    <row r="101" spans="1:7" ht="15.75">
      <c r="A101" s="34" t="s">
        <v>114</v>
      </c>
      <c r="B101" s="41">
        <f>IF(256.45194="","-",256.45194)</f>
        <v>256.45194</v>
      </c>
      <c r="C101" s="41">
        <f>IF(OR(410.61178="",256.45194=""),"-",256.45194/410.61178*100)</f>
        <v>62.45606007699048</v>
      </c>
      <c r="D101" s="41">
        <f>IF(410.61178="","-",410.61178/2487345.59713*100)</f>
        <v>0.016508030909487627</v>
      </c>
      <c r="E101" s="41">
        <f>IF(256.45194="","-",256.45194/2560982.65919*100)</f>
        <v>0.010013810092767745</v>
      </c>
      <c r="F101" s="41" t="str">
        <f>IF(OR(2191887.38519="",""="",410.61178=""),"-",(410.61178-"")/2191887.38519*100)</f>
        <v>-</v>
      </c>
      <c r="G101" s="41">
        <f>IF(OR(2487345.59713="",256.45194="",410.61178=""),"-",(256.45194-410.61178)/2487345.59713*100)</f>
        <v>-0.006197765207129877</v>
      </c>
    </row>
    <row r="102" spans="1:7" ht="15.75">
      <c r="A102" s="34" t="s">
        <v>70</v>
      </c>
      <c r="B102" s="41">
        <f>IF(240.51466="","-",240.51466)</f>
        <v>240.51466</v>
      </c>
      <c r="C102" s="41">
        <f>IF(OR(186.84761="",240.51466=""),"-",240.51466/186.84761*100)</f>
        <v>128.7223636416864</v>
      </c>
      <c r="D102" s="41">
        <f>IF(186.84761="","-",186.84761/2487345.59713*100)</f>
        <v>0.007511927985222172</v>
      </c>
      <c r="E102" s="41">
        <f>IF(240.51466="","-",240.51466/2560982.65919*100)</f>
        <v>0.009391498967668572</v>
      </c>
      <c r="F102" s="41">
        <f>IF(OR(2191887.38519="",994.14035="",186.84761=""),"-",(186.84761-994.14035)/2191887.38519*100)</f>
        <v>-0.03683094056084552</v>
      </c>
      <c r="G102" s="41">
        <f>IF(OR(2487345.59713="",240.51466="",186.84761=""),"-",(240.51466-186.84761)/2487345.59713*100)</f>
        <v>0.002157603272417118</v>
      </c>
    </row>
    <row r="103" spans="1:7" ht="15.75">
      <c r="A103" s="34" t="s">
        <v>104</v>
      </c>
      <c r="B103" s="41">
        <f>IF(209.59513="","-",209.59513)</f>
        <v>209.59513</v>
      </c>
      <c r="C103" s="41" t="s">
        <v>107</v>
      </c>
      <c r="D103" s="41">
        <f>IF(132.43385="","-",132.43385/2487345.59713*100)</f>
        <v>0.005324304356934055</v>
      </c>
      <c r="E103" s="41">
        <f>IF(209.59513="","-",209.59513/2560982.65919*100)</f>
        <v>0.008184168262439222</v>
      </c>
      <c r="F103" s="41">
        <f>IF(OR(2191887.38519="",186.65941="",132.43385=""),"-",(132.43385-186.65941)/2191887.38519*100)</f>
        <v>-0.002473920894220556</v>
      </c>
      <c r="G103" s="41">
        <f>IF(OR(2487345.59713="",209.59513="",132.43385=""),"-",(209.59513-132.43385)/2487345.59713*100)</f>
        <v>0.0031021535603669957</v>
      </c>
    </row>
    <row r="104" spans="1:7" ht="15.75">
      <c r="A104" s="34" t="s">
        <v>173</v>
      </c>
      <c r="B104" s="41">
        <f>IF(197.6455="","-",197.6455)</f>
        <v>197.6455</v>
      </c>
      <c r="C104" s="41">
        <f>IF(OR(149.798="",197.6455=""),"-",197.6455/149.798*100)</f>
        <v>131.94134768154447</v>
      </c>
      <c r="D104" s="41">
        <f>IF(149.798="","-",149.798/2487345.59713*100)</f>
        <v>0.006022403970435109</v>
      </c>
      <c r="E104" s="41">
        <f>IF(197.6455="","-",197.6455/2560982.65919*100)</f>
        <v>0.007717564946828351</v>
      </c>
      <c r="F104" s="41" t="str">
        <f>IF(OR(2191887.38519="",""="",149.798=""),"-",(149.798-"")/2191887.38519*100)</f>
        <v>-</v>
      </c>
      <c r="G104" s="41">
        <f>IF(OR(2487345.59713="",197.6455="",149.798=""),"-",(197.6455-149.798)/2487345.59713*100)</f>
        <v>0.0019236369909838174</v>
      </c>
    </row>
    <row r="105" spans="1:7" ht="15.75">
      <c r="A105" s="34" t="s">
        <v>79</v>
      </c>
      <c r="B105" s="41">
        <f>IF(166.99478="","-",166.99478)</f>
        <v>166.99478</v>
      </c>
      <c r="C105" s="41">
        <f>IF(OR(393.07905="",166.99478=""),"-",166.99478/393.07905*100)</f>
        <v>42.48376503403068</v>
      </c>
      <c r="D105" s="41">
        <f>IF(393.07905="","-",393.07905/2487345.59713*100)</f>
        <v>0.01580315378986943</v>
      </c>
      <c r="E105" s="41">
        <f>IF(166.99478="","-",166.99478/2560982.65919*100)</f>
        <v>0.006520730603182526</v>
      </c>
      <c r="F105" s="41">
        <f>IF(OR(2191887.38519="",209.09636="",393.07905=""),"-",(393.07905-209.09636)/2191887.38519*100)</f>
        <v>0.008393802128846679</v>
      </c>
      <c r="G105" s="41">
        <f>IF(OR(2487345.59713="",166.99478="",393.07905=""),"-",(166.99478-393.07905)/2487345.59713*100)</f>
        <v>-0.009089379065814786</v>
      </c>
    </row>
    <row r="106" spans="1:7" ht="15.75">
      <c r="A106" s="34" t="s">
        <v>189</v>
      </c>
      <c r="B106" s="41">
        <f>IF(165.45131="","-",165.45131)</f>
        <v>165.45131</v>
      </c>
      <c r="C106" s="41">
        <f>IF(OR(333.18916="",165.45131=""),"-",165.45131/333.18916*100)</f>
        <v>49.65687058966744</v>
      </c>
      <c r="D106" s="41">
        <f>IF(333.18916="","-",333.18916/2487345.59713*100)</f>
        <v>0.013395370566295537</v>
      </c>
      <c r="E106" s="41">
        <f>IF(165.45131="","-",165.45131/2560982.65919*100)</f>
        <v>0.006460461940508795</v>
      </c>
      <c r="F106" s="41">
        <f>IF(OR(2191887.38519="",7.414="",333.18916=""),"-",(333.18916-7.414)/2191887.38519*100)</f>
        <v>0.014862769054704916</v>
      </c>
      <c r="G106" s="41">
        <f>IF(OR(2487345.59713="",165.45131="",333.18916=""),"-",(165.45131-333.18916)/2487345.59713*100)</f>
        <v>-0.006743648739183759</v>
      </c>
    </row>
    <row r="107" spans="1:7" ht="15.75">
      <c r="A107" s="34" t="s">
        <v>88</v>
      </c>
      <c r="B107" s="41">
        <f>IF(151.44216="","-",151.44216)</f>
        <v>151.44216</v>
      </c>
      <c r="C107" s="41">
        <f>IF(OR(282.3723="",151.44216=""),"-",151.44216/282.3723*100)</f>
        <v>53.632087849976784</v>
      </c>
      <c r="D107" s="41">
        <f>IF(282.3723="","-",282.3723/2487345.59713*100)</f>
        <v>0.011352354909016768</v>
      </c>
      <c r="E107" s="41">
        <f>IF(151.44216="","-",151.44216/2560982.65919*100)</f>
        <v>0.005913439493881573</v>
      </c>
      <c r="F107" s="41">
        <f>IF(OR(2191887.38519="",288.12969="",282.3723=""),"-",(282.3723-288.12969)/2191887.38519*100)</f>
        <v>-0.00026266814795783487</v>
      </c>
      <c r="G107" s="41">
        <f>IF(OR(2487345.59713="",151.44216="",282.3723=""),"-",(151.44216-282.3723)/2487345.59713*100)</f>
        <v>-0.005263849951171742</v>
      </c>
    </row>
    <row r="108" spans="1:7" ht="15.75">
      <c r="A108" s="34" t="s">
        <v>91</v>
      </c>
      <c r="B108" s="41">
        <f>IF(124.28553="","-",124.28553)</f>
        <v>124.28553</v>
      </c>
      <c r="C108" s="41" t="str">
        <f>IF(OR(""="",124.28553=""),"-",124.28553/""*100)</f>
        <v>-</v>
      </c>
      <c r="D108" s="41" t="str">
        <f>IF(""="","-",""/2487345.59713*100)</f>
        <v>-</v>
      </c>
      <c r="E108" s="41">
        <f>IF(124.28553="","-",124.28553/2560982.65919*100)</f>
        <v>0.004853040669916509</v>
      </c>
      <c r="F108" s="41" t="str">
        <f>IF(OR(2191887.38519="",2.55="",""=""),"-",(""-2.55)/2191887.38519*100)</f>
        <v>-</v>
      </c>
      <c r="G108" s="41" t="str">
        <f>IF(OR(2487345.59713="",124.28553="",""=""),"-",(124.28553-"")/2487345.59713*100)</f>
        <v>-</v>
      </c>
    </row>
    <row r="109" spans="1:7" ht="15.75">
      <c r="A109" s="34" t="s">
        <v>178</v>
      </c>
      <c r="B109" s="41">
        <f>IF(117.36746="","-",117.36746)</f>
        <v>117.36746</v>
      </c>
      <c r="C109" s="41">
        <f>IF(OR(146.18601="",117.36746=""),"-",117.36746/146.18601*100)</f>
        <v>80.28638308139061</v>
      </c>
      <c r="D109" s="41">
        <f>IF(146.18601="","-",146.18601/2487345.59713*100)</f>
        <v>0.005877189328602963</v>
      </c>
      <c r="E109" s="41">
        <f>IF(117.36746="","-",117.36746/2560982.65919*100)</f>
        <v>0.0045829072515907445</v>
      </c>
      <c r="F109" s="41">
        <f>IF(OR(2191887.38519="",25.98037="",146.18601=""),"-",(146.18601-25.98037)/2191887.38519*100)</f>
        <v>0.0054841156900759394</v>
      </c>
      <c r="G109" s="41">
        <f>IF(OR(2487345.59713="",117.36746="",146.18601=""),"-",(117.36746-146.18601)/2487345.59713*100)</f>
        <v>-0.0011586065898221793</v>
      </c>
    </row>
    <row r="110" spans="1:7" ht="15.75">
      <c r="A110" s="34" t="s">
        <v>167</v>
      </c>
      <c r="B110" s="41">
        <f>IF(116.87795="","-",116.87795)</f>
        <v>116.87795</v>
      </c>
      <c r="C110" s="41" t="s">
        <v>284</v>
      </c>
      <c r="D110" s="41">
        <f>IF(0.03831="","-",0.03831/2487345.59713*100)</f>
        <v>1.5401961048035956E-06</v>
      </c>
      <c r="E110" s="41">
        <f>IF(116.87795="","-",116.87795/2560982.65919*100)</f>
        <v>0.004563793104205036</v>
      </c>
      <c r="F110" s="41">
        <f>IF(OR(2191887.38519="",0.17028="",0.03831=""),"-",(0.03831-0.17028)/2191887.38519*100)</f>
        <v>-6.020838519884104E-06</v>
      </c>
      <c r="G110" s="41">
        <f>IF(OR(2487345.59713="",116.87795="",0.03831=""),"-",(116.87795-0.03831)/2487345.59713*100)</f>
        <v>0.0046973625271379375</v>
      </c>
    </row>
    <row r="111" spans="1:7" ht="15.75">
      <c r="A111" s="34" t="s">
        <v>92</v>
      </c>
      <c r="B111" s="41">
        <f>IF(109.51939="","-",109.51939)</f>
        <v>109.51939</v>
      </c>
      <c r="C111" s="41">
        <f>IF(OR(130.40643="",109.51939=""),"-",109.51939/130.40643*100)</f>
        <v>83.98312107769532</v>
      </c>
      <c r="D111" s="41">
        <f>IF(130.40643="","-",130.40643/2487345.59713*100)</f>
        <v>0.005242794975916021</v>
      </c>
      <c r="E111" s="41">
        <f>IF(109.51939="","-",109.51939/2560982.65919*100)</f>
        <v>0.004276459647510433</v>
      </c>
      <c r="F111" s="41">
        <f>IF(OR(2191887.38519="",94.90115="",130.40643=""),"-",(130.40643-94.90115)/2191887.38519*100)</f>
        <v>0.001619849643731687</v>
      </c>
      <c r="G111" s="41">
        <f>IF(OR(2487345.59713="",109.51939="",130.40643=""),"-",(109.51939-130.40643)/2487345.59713*100)</f>
        <v>-0.0008397321234371415</v>
      </c>
    </row>
    <row r="112" spans="1:7" ht="15.75">
      <c r="A112" s="34" t="s">
        <v>177</v>
      </c>
      <c r="B112" s="41">
        <f>IF(97.79062="","-",97.79062)</f>
        <v>97.79062</v>
      </c>
      <c r="C112" s="41" t="s">
        <v>105</v>
      </c>
      <c r="D112" s="41">
        <f>IF(55.6754="","-",55.6754/2487345.59713*100)</f>
        <v>0.0022383459726802953</v>
      </c>
      <c r="E112" s="41">
        <f>IF(97.79062="","-",97.79062/2560982.65919*100)</f>
        <v>0.0038184803653035938</v>
      </c>
      <c r="F112" s="41">
        <f>IF(OR(2191887.38519="",55.15="",55.6754=""),"-",(55.6754-55.15)/2191887.38519*100)</f>
        <v>2.3970209580564806E-05</v>
      </c>
      <c r="G112" s="41">
        <f>IF(OR(2487345.59713="",97.79062="",55.6754=""),"-",(97.79062-55.6754)/2487345.59713*100)</f>
        <v>0.0016931792690406287</v>
      </c>
    </row>
    <row r="113" spans="1:7" ht="15.75">
      <c r="A113" s="34" t="s">
        <v>277</v>
      </c>
      <c r="B113" s="41">
        <f>IF(95.95616="","-",95.95616)</f>
        <v>95.95616</v>
      </c>
      <c r="C113" s="41" t="s">
        <v>285</v>
      </c>
      <c r="D113" s="41">
        <f>IF(0.34155="","-",0.34155/2487345.59713*100)</f>
        <v>1.3731505601557508E-05</v>
      </c>
      <c r="E113" s="41">
        <f>IF(95.95616="","-",95.95616/2560982.65919*100)</f>
        <v>0.0037468492672398444</v>
      </c>
      <c r="F113" s="41">
        <f>IF(OR(2191887.38519="",27.83595="",0.34155=""),"-",(0.34155-27.83595)/2191887.38519*100)</f>
        <v>-0.0012543710131173867</v>
      </c>
      <c r="G113" s="41">
        <f>IF(OR(2487345.59713="",95.95616="",0.34155=""),"-",(95.95616-0.34155)/2487345.59713*100)</f>
        <v>0.003844042022561079</v>
      </c>
    </row>
    <row r="114" spans="1:7" ht="15.75">
      <c r="A114" s="34" t="s">
        <v>164</v>
      </c>
      <c r="B114" s="41">
        <f>IF(89.75482="","-",89.75482)</f>
        <v>89.75482</v>
      </c>
      <c r="C114" s="41">
        <f>IF(OR(74.06953="",89.75482=""),"-",89.75482/74.06953*100)</f>
        <v>121.17644056874668</v>
      </c>
      <c r="D114" s="41">
        <f>IF(74.06953="","-",74.06953/2487345.59713*100)</f>
        <v>0.0029778543876437763</v>
      </c>
      <c r="E114" s="41">
        <f>IF(89.75482="","-",89.75482/2560982.65919*100)</f>
        <v>0.0035047023718773667</v>
      </c>
      <c r="F114" s="41">
        <f>IF(OR(2191887.38519="",45.3129="",74.06953=""),"-",(74.06953-45.3129)/2191887.38519*100)</f>
        <v>0.0013119574570436832</v>
      </c>
      <c r="G114" s="41">
        <f>IF(OR(2487345.59713="",89.75482="",74.06953=""),"-",(89.75482-74.06953)/2487345.59713*100)</f>
        <v>0.0006306035646231997</v>
      </c>
    </row>
    <row r="115" spans="1:7" ht="15.75">
      <c r="A115" s="34" t="s">
        <v>264</v>
      </c>
      <c r="B115" s="41">
        <f>IF(85.37911="","-",85.37911)</f>
        <v>85.37911</v>
      </c>
      <c r="C115" s="41">
        <f>IF(OR(80.10248="",85.37911=""),"-",85.37911/80.10248*100)</f>
        <v>106.58734910579548</v>
      </c>
      <c r="D115" s="41">
        <f>IF(80.10248="","-",80.10248/2487345.59713*100)</f>
        <v>0.00322040009608739</v>
      </c>
      <c r="E115" s="41">
        <f>IF(85.37911="","-",85.37911/2560982.65919*100)</f>
        <v>0.0033338417850515283</v>
      </c>
      <c r="F115" s="41">
        <f>IF(OR(2191887.38519="",23.37671="",80.10248=""),"-",(80.10248-23.37671)/2191887.38519*100)</f>
        <v>0.0025879874296134437</v>
      </c>
      <c r="G115" s="41">
        <f>IF(OR(2487345.59713="",85.37911="",80.10248=""),"-",(85.37911-80.10248)/2487345.59713*100)</f>
        <v>0.00021213899693264926</v>
      </c>
    </row>
    <row r="116" spans="1:7" ht="15.75">
      <c r="A116" s="42" t="s">
        <v>96</v>
      </c>
      <c r="B116" s="43">
        <f>IF(81.87974="","-",81.87974)</f>
        <v>81.87974</v>
      </c>
      <c r="C116" s="43" t="s">
        <v>176</v>
      </c>
      <c r="D116" s="43">
        <f>IF(23.65="","-",23.65/2487345.59713*100)</f>
        <v>0.000950812787225399</v>
      </c>
      <c r="E116" s="43">
        <f>IF(81.87974="","-",81.87974/2560982.65919*100)</f>
        <v>0.0031972000945097116</v>
      </c>
      <c r="F116" s="43">
        <f>IF(OR(2191887.38519="",0.162="",23.65=""),"-",(23.65-0.162)/2191887.38519*100)</f>
        <v>0.001071587899939667</v>
      </c>
      <c r="G116" s="43">
        <f>IF(OR(2487345.59713="",81.87974="",23.65=""),"-",(81.87974-23.65)/2487345.59713*100)</f>
        <v>0.0023410393821907106</v>
      </c>
    </row>
    <row r="117" spans="1:7" ht="15.75">
      <c r="A117" s="44" t="s">
        <v>99</v>
      </c>
      <c r="B117" s="45">
        <f>IF(79.41187="","-",79.41187)</f>
        <v>79.41187</v>
      </c>
      <c r="C117" s="45">
        <f>IF(OR(115.99082="",79.41187=""),"-",79.41187/115.99082*100)</f>
        <v>68.46392671420031</v>
      </c>
      <c r="D117" s="45">
        <f>IF(115.99082="","-",115.99082/2487345.59713*100)</f>
        <v>0.004663236991829157</v>
      </c>
      <c r="E117" s="45">
        <f>IF(79.41187="","-",79.41187/2560982.65919*100)</f>
        <v>0.0031008359121461903</v>
      </c>
      <c r="F117" s="45">
        <f>IF(OR(2191887.38519="",50.37223="",115.99082=""),"-",(115.99082-50.37223)/2191887.38519*100)</f>
        <v>0.002993702616446783</v>
      </c>
      <c r="G117" s="45">
        <f>IF(OR(2487345.59713="",79.41187="",115.99082=""),"-",(79.41187-115.99082)/2487345.59713*100)</f>
        <v>-0.0014706018352337639</v>
      </c>
    </row>
    <row r="118" ht="15.75">
      <c r="A118" s="30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7"/>
  <sheetViews>
    <sheetView zoomScalePageLayoutView="0" workbookViewId="0" topLeftCell="A1">
      <selection activeCell="G49" sqref="G49:G116"/>
    </sheetView>
  </sheetViews>
  <sheetFormatPr defaultColWidth="9.00390625" defaultRowHeight="15.75"/>
  <cols>
    <col min="1" max="1" width="32.375" style="0" customWidth="1"/>
    <col min="2" max="2" width="11.875" style="0" customWidth="1"/>
    <col min="3" max="3" width="9.75390625" style="0" customWidth="1"/>
    <col min="4" max="5" width="8.50390625" style="0" customWidth="1"/>
    <col min="6" max="6" width="9.375" style="0" customWidth="1"/>
    <col min="7" max="7" width="9.625" style="0" customWidth="1"/>
  </cols>
  <sheetData>
    <row r="1" spans="1:7" ht="15.75">
      <c r="A1" s="72" t="s">
        <v>124</v>
      </c>
      <c r="B1" s="72"/>
      <c r="C1" s="72"/>
      <c r="D1" s="72"/>
      <c r="E1" s="72"/>
      <c r="F1" s="72"/>
      <c r="G1" s="72"/>
    </row>
    <row r="2" ht="15.75">
      <c r="A2" s="2"/>
    </row>
    <row r="3" spans="1:7" ht="55.5" customHeight="1">
      <c r="A3" s="60"/>
      <c r="B3" s="63" t="s">
        <v>271</v>
      </c>
      <c r="C3" s="64"/>
      <c r="D3" s="63" t="s">
        <v>110</v>
      </c>
      <c r="E3" s="64"/>
      <c r="F3" s="65" t="s">
        <v>132</v>
      </c>
      <c r="G3" s="66"/>
    </row>
    <row r="4" spans="1:8" ht="27" customHeight="1">
      <c r="A4" s="61"/>
      <c r="B4" s="67" t="s">
        <v>100</v>
      </c>
      <c r="C4" s="69" t="s">
        <v>272</v>
      </c>
      <c r="D4" s="71" t="s">
        <v>273</v>
      </c>
      <c r="E4" s="71"/>
      <c r="F4" s="71" t="s">
        <v>273</v>
      </c>
      <c r="G4" s="63"/>
      <c r="H4" s="1"/>
    </row>
    <row r="5" spans="1:7" ht="30" customHeight="1">
      <c r="A5" s="62"/>
      <c r="B5" s="68"/>
      <c r="C5" s="70"/>
      <c r="D5" s="21">
        <v>2018</v>
      </c>
      <c r="E5" s="21">
        <v>2019</v>
      </c>
      <c r="F5" s="21" t="s">
        <v>112</v>
      </c>
      <c r="G5" s="17" t="s">
        <v>133</v>
      </c>
    </row>
    <row r="6" spans="1:7" s="3" customFormat="1" ht="15">
      <c r="A6" s="36" t="s">
        <v>143</v>
      </c>
      <c r="B6" s="46">
        <v>5301854.23</v>
      </c>
      <c r="C6" s="46">
        <v>101.2</v>
      </c>
      <c r="D6" s="46">
        <v>100</v>
      </c>
      <c r="E6" s="46">
        <v>100</v>
      </c>
      <c r="F6" s="46">
        <v>20.2</v>
      </c>
      <c r="G6" s="46">
        <v>1.17</v>
      </c>
    </row>
    <row r="7" spans="1:7" s="3" customFormat="1" ht="15">
      <c r="A7" s="38" t="s">
        <v>150</v>
      </c>
      <c r="B7" s="27"/>
      <c r="C7" s="27"/>
      <c r="D7" s="27"/>
      <c r="E7" s="27"/>
      <c r="F7" s="27"/>
      <c r="G7" s="27"/>
    </row>
    <row r="8" spans="1:7" s="3" customFormat="1" ht="15">
      <c r="A8" s="39" t="s">
        <v>265</v>
      </c>
      <c r="B8" s="40">
        <f>IF(2641376.27049="","-",2641376.27049)</f>
        <v>2641376.27049</v>
      </c>
      <c r="C8" s="40">
        <f>IF(2613308.64531="","-",2641376.27049/2613308.64531*100)</f>
        <v>101.07402641591423</v>
      </c>
      <c r="D8" s="40">
        <f>IF(2613308.64531="","-",2613308.64531/5240739.99296*100)</f>
        <v>49.8652604178134</v>
      </c>
      <c r="E8" s="40">
        <f>IF(2641376.27049="","-",2641376.27049/5301854.22844*100)</f>
        <v>49.81985842464759</v>
      </c>
      <c r="F8" s="40">
        <f>IF(4359960.60099="","-",(2613308.64531-2169745.9746)/4359960.60099*100)</f>
        <v>10.17354768318966</v>
      </c>
      <c r="G8" s="40">
        <f>IF(5240739.99296="","-",(2641376.27049-2613308.64531)/5240739.99296*100)</f>
        <v>0.5355660692517434</v>
      </c>
    </row>
    <row r="9" spans="1:7" s="3" customFormat="1" ht="15">
      <c r="A9" s="34" t="s">
        <v>2</v>
      </c>
      <c r="B9" s="41">
        <f>IF(769926.93743="","-",769926.93743)</f>
        <v>769926.93743</v>
      </c>
      <c r="C9" s="41">
        <f>IF(OR(774084.96154="",769926.93743=""),"-",769926.93743/774084.96154*100)</f>
        <v>99.46284654571666</v>
      </c>
      <c r="D9" s="41">
        <f>IF(774084.96154="","-",774084.96154/5240739.99296*100)</f>
        <v>14.77052787544975</v>
      </c>
      <c r="E9" s="41">
        <f>IF(769926.93743="","-",769926.93743/5301854.22844*100)</f>
        <v>14.521842816801488</v>
      </c>
      <c r="F9" s="41">
        <f>IF(OR(4359960.60099="",631753.65447="",774084.96154=""),"-",(774084.96154-631753.65447)/4359960.60099*100)</f>
        <v>3.26450901959255</v>
      </c>
      <c r="G9" s="41">
        <f>IF(OR(5240739.99296="",769926.93743="",774084.96154=""),"-",(769926.93743-774084.96154)/5240739.99296*100)</f>
        <v>-0.07934040069886242</v>
      </c>
    </row>
    <row r="10" spans="1:7" s="3" customFormat="1" ht="15">
      <c r="A10" s="34" t="s">
        <v>4</v>
      </c>
      <c r="B10" s="41">
        <f>IF(439728.06591="","-",439728.06591)</f>
        <v>439728.06591</v>
      </c>
      <c r="C10" s="41">
        <f>IF(OR(439094.25997="",439728.06591=""),"-",439728.06591/439094.25997*100)</f>
        <v>100.14434393654868</v>
      </c>
      <c r="D10" s="41">
        <f>IF(439094.25997="","-",439094.25997/5240739.99296*100)</f>
        <v>8.378478240856154</v>
      </c>
      <c r="E10" s="41">
        <f>IF(439728.06591="","-",439728.06591/5301854.22844*100)</f>
        <v>8.293854318951809</v>
      </c>
      <c r="F10" s="41">
        <f>IF(OR(4359960.60099="",353520.11738="",439094.25997=""),"-",(439094.25997-353520.11738)/4359960.60099*100)</f>
        <v>1.962727428559079</v>
      </c>
      <c r="G10" s="41">
        <f>IF(OR(5240739.99296="",439728.06591="",439094.25997=""),"-",(439728.06591-439094.25997)/5240739.99296*100)</f>
        <v>0.012093825315726335</v>
      </c>
    </row>
    <row r="11" spans="1:7" ht="12.75" customHeight="1">
      <c r="A11" s="34" t="s">
        <v>3</v>
      </c>
      <c r="B11" s="41">
        <f>IF(374000.49766="","-",374000.49766)</f>
        <v>374000.49766</v>
      </c>
      <c r="C11" s="41">
        <f>IF(OR(357547.87662="",374000.49766=""),"-",374000.49766/357547.87662*100)</f>
        <v>104.6015155216502</v>
      </c>
      <c r="D11" s="41">
        <f>IF(357547.87662="","-",357547.87662/5240739.99296*100)</f>
        <v>6.8224692906021245</v>
      </c>
      <c r="E11" s="41">
        <f>IF(374000.49766="","-",374000.49766/5301854.22844*100)</f>
        <v>7.054145239486237</v>
      </c>
      <c r="F11" s="41">
        <f>IF(OR(4359960.60099="",304862.00811="",357547.87662=""),"-",(357547.87662-304862.00811)/4359960.60099*100)</f>
        <v>1.2084023992794066</v>
      </c>
      <c r="G11" s="41">
        <f>IF(OR(5240739.99296="",374000.49766="",357547.87662=""),"-",(374000.49766-357547.87662)/5240739.99296*100)</f>
        <v>0.3139369833668749</v>
      </c>
    </row>
    <row r="12" spans="1:7" ht="15.75">
      <c r="A12" s="34" t="s">
        <v>5</v>
      </c>
      <c r="B12" s="41">
        <f>IF(182031.19719="","-",182031.19719)</f>
        <v>182031.19719</v>
      </c>
      <c r="C12" s="41">
        <f>IF(OR(183536.71578="",182031.19719=""),"-",182031.19719/183536.71578*100)</f>
        <v>99.17971802884136</v>
      </c>
      <c r="D12" s="41">
        <f>IF(183536.71578="","-",183536.71578/5240739.99296*100)</f>
        <v>3.502114511052806</v>
      </c>
      <c r="E12" s="41">
        <f>IF(182031.19719="","-",182031.19719/5301854.22844*100)</f>
        <v>3.4333497177941137</v>
      </c>
      <c r="F12" s="41">
        <f>IF(OR(4359960.60099="",148525.10812="",183536.71578=""),"-",(183536.71578-148525.10812)/4359960.60099*100)</f>
        <v>0.8030257808304517</v>
      </c>
      <c r="G12" s="41">
        <f>IF(OR(5240739.99296="",182031.19719="",183536.71578=""),"-",(182031.19719-183536.71578)/5240739.99296*100)</f>
        <v>-0.028727213943496303</v>
      </c>
    </row>
    <row r="13" spans="1:7" s="9" customFormat="1" ht="15.75">
      <c r="A13" s="34" t="s">
        <v>156</v>
      </c>
      <c r="B13" s="41">
        <f>IF(135100.15763="","-",135100.15763)</f>
        <v>135100.15763</v>
      </c>
      <c r="C13" s="41">
        <f>IF(OR(122099.96065="",135100.15763=""),"-",135100.15763/122099.96065*100)</f>
        <v>110.64717540512983</v>
      </c>
      <c r="D13" s="41">
        <f>IF(122099.96065="","-",122099.96065/5240739.99296*100)</f>
        <v>2.3298229031400055</v>
      </c>
      <c r="E13" s="41">
        <f>IF(135100.15763="","-",135100.15763/5301854.22844*100)</f>
        <v>2.5481680900485912</v>
      </c>
      <c r="F13" s="41">
        <f>IF(OR(4359960.60099="",102733.17146="",122099.96065=""),"-",(122099.96065-102733.17146)/4359960.60099*100)</f>
        <v>0.44419642658244324</v>
      </c>
      <c r="G13" s="41">
        <f>IF(OR(5240739.99296="",135100.15763="",122099.96065=""),"-",(135100.15763-122099.96065)/5240739.99296*100)</f>
        <v>0.24806033112620457</v>
      </c>
    </row>
    <row r="14" spans="1:7" s="9" customFormat="1" ht="15.75">
      <c r="A14" s="34" t="s">
        <v>7</v>
      </c>
      <c r="B14" s="41">
        <f>IF(104364.10893="","-",104364.10893)</f>
        <v>104364.10893</v>
      </c>
      <c r="C14" s="41">
        <f>IF(OR(79075.61641="",104364.10893=""),"-",104364.10893/79075.61641*100)</f>
        <v>131.98013960318872</v>
      </c>
      <c r="D14" s="41">
        <f>IF(79075.61641="","-",79075.61641/5240739.99296*100)</f>
        <v>1.508863567286757</v>
      </c>
      <c r="E14" s="41">
        <f>IF(104364.10893="","-",104364.10893/5301854.22844*100)</f>
        <v>1.968445461404316</v>
      </c>
      <c r="F14" s="41">
        <f>IF(OR(4359960.60099="",60263.02194="",79075.61641=""),"-",(79075.61641-60263.02194)/4359960.60099*100)</f>
        <v>0.4314854236464499</v>
      </c>
      <c r="G14" s="41">
        <f>IF(OR(5240739.99296="",104364.10893="",79075.61641=""),"-",(104364.10893-79075.61641)/5240739.99296*100)</f>
        <v>0.48253667523995813</v>
      </c>
    </row>
    <row r="15" spans="1:7" s="9" customFormat="1" ht="15.75">
      <c r="A15" s="34" t="s">
        <v>43</v>
      </c>
      <c r="B15" s="41">
        <f>IF(101915.78161="","-",101915.78161)</f>
        <v>101915.78161</v>
      </c>
      <c r="C15" s="41">
        <f>IF(OR(102896.79451="",101915.78161=""),"-",101915.78161/102896.79451*100)</f>
        <v>99.046604994187</v>
      </c>
      <c r="D15" s="41">
        <f>IF(102896.79451="","-",102896.79451/5240739.99296*100)</f>
        <v>1.9634020128497787</v>
      </c>
      <c r="E15" s="41">
        <f>IF(101915.78161="","-",101915.78161/5301854.22844*100)</f>
        <v>1.922266762132149</v>
      </c>
      <c r="F15" s="41">
        <f>IF(OR(4359960.60099="",91558.77228="",102896.79451=""),"-",(102896.79451-91558.77228)/4359960.60099*100)</f>
        <v>0.26004873134462547</v>
      </c>
      <c r="G15" s="41">
        <f>IF(OR(5240739.99296="",101915.78161="",102896.79451=""),"-",(101915.78161-102896.79451)/5240739.99296*100)</f>
        <v>-0.018718976734541638</v>
      </c>
    </row>
    <row r="16" spans="1:7" s="9" customFormat="1" ht="15.75">
      <c r="A16" s="34" t="s">
        <v>8</v>
      </c>
      <c r="B16" s="41">
        <f>IF(85371.17276="","-",85371.17276)</f>
        <v>85371.17276</v>
      </c>
      <c r="C16" s="41">
        <f>IF(OR(97767.52498="",85371.17276=""),"-",85371.17276/97767.52498*100)</f>
        <v>87.32058296194377</v>
      </c>
      <c r="D16" s="41">
        <f>IF(97767.52498="","-",97767.52498/5240739.99296*100)</f>
        <v>1.865529011386431</v>
      </c>
      <c r="E16" s="41">
        <f>IF(85371.17276="","-",85371.17276/5301854.22844*100)</f>
        <v>1.6102135042124561</v>
      </c>
      <c r="F16" s="41">
        <f>IF(OR(4359960.60099="",73868.32344="",97767.52498=""),"-",(97767.52498-73868.32344)/4359960.60099*100)</f>
        <v>0.5481517776691217</v>
      </c>
      <c r="G16" s="41">
        <f>IF(OR(5240739.99296="",85371.17276="",97767.52498=""),"-",(85371.17276-97767.52498)/5240739.99296*100)</f>
        <v>-0.23653820331961303</v>
      </c>
    </row>
    <row r="17" spans="1:7" s="9" customFormat="1" ht="15.75">
      <c r="A17" s="34" t="s">
        <v>41</v>
      </c>
      <c r="B17" s="41">
        <f>IF(72929.62319="","-",72929.62319)</f>
        <v>72929.62319</v>
      </c>
      <c r="C17" s="41">
        <f>IF(OR(69177.75776="",72929.62319=""),"-",72929.62319/69177.75776*100)</f>
        <v>105.42351407661468</v>
      </c>
      <c r="D17" s="41">
        <f>IF(69177.75776="","-",69177.75776/5240739.99296*100)</f>
        <v>1.3199998063809304</v>
      </c>
      <c r="E17" s="41">
        <f>IF(72929.62319="","-",72929.62319/5301854.22844*100)</f>
        <v>1.3755493841907942</v>
      </c>
      <c r="F17" s="41">
        <f>IF(OR(4359960.60099="",54800.05286="",69177.75776=""),"-",(69177.75776-54800.05286)/4359960.60099*100)</f>
        <v>0.32976685378155246</v>
      </c>
      <c r="G17" s="41">
        <f>IF(OR(5240739.99296="",72929.62319="",69177.75776=""),"-",(72929.62319-69177.75776)/5240739.99296*100)</f>
        <v>0.07159037531035632</v>
      </c>
    </row>
    <row r="18" spans="1:7" s="9" customFormat="1" ht="15.75">
      <c r="A18" s="34" t="s">
        <v>6</v>
      </c>
      <c r="B18" s="41">
        <f>IF(52682.41122="","-",52682.41122)</f>
        <v>52682.41122</v>
      </c>
      <c r="C18" s="41">
        <f>IF(OR(60677.73917="",52682.41122=""),"-",52682.41122/60677.73917*100)</f>
        <v>86.82329292526936</v>
      </c>
      <c r="D18" s="41">
        <f>IF(60677.73917="","-",60677.73917/5240739.99296*100)</f>
        <v>1.1578086157968097</v>
      </c>
      <c r="E18" s="41">
        <f>IF(52682.41122="","-",52682.41122/5301854.22844*100)</f>
        <v>0.9936601224794726</v>
      </c>
      <c r="F18" s="41">
        <f>IF(OR(4359960.60099="",67899.57669="",60677.73917=""),"-",(60677.73917-67899.57669)/4359960.60099*100)</f>
        <v>-0.16563997203002626</v>
      </c>
      <c r="G18" s="41">
        <f>IF(OR(5240739.99296="",52682.41122="",60677.73917=""),"-",(52682.41122-60677.73917)/5240739.99296*100)</f>
        <v>-0.1525610497895392</v>
      </c>
    </row>
    <row r="19" spans="1:7" s="9" customFormat="1" ht="15" customHeight="1">
      <c r="A19" s="34" t="s">
        <v>157</v>
      </c>
      <c r="B19" s="41">
        <f>IF(52443.43055="","-",52443.43055)</f>
        <v>52443.43055</v>
      </c>
      <c r="C19" s="41">
        <f>IF(OR(54666.35931="",52443.43055=""),"-",52443.43055/54666.35931*100)</f>
        <v>95.93364403984853</v>
      </c>
      <c r="D19" s="41">
        <f>IF(54666.35931="","-",54666.35931/5240739.99296*100)</f>
        <v>1.043103824716252</v>
      </c>
      <c r="E19" s="41">
        <f>IF(52443.43055="","-",52443.43055/5301854.22844*100)</f>
        <v>0.9891526302002984</v>
      </c>
      <c r="F19" s="41">
        <f>IF(OR(4359960.60099="",52987.50547="",54666.35931=""),"-",(54666.35931-52987.50547)/4359960.60099*100)</f>
        <v>0.038506169978205586</v>
      </c>
      <c r="G19" s="41">
        <f>IF(OR(5240739.99296="",52443.43055="",54666.35931=""),"-",(52443.43055-54666.35931)/5240739.99296*100)</f>
        <v>-0.04241631454691725</v>
      </c>
    </row>
    <row r="20" spans="1:7" s="9" customFormat="1" ht="15" customHeight="1">
      <c r="A20" s="34" t="s">
        <v>10</v>
      </c>
      <c r="B20" s="41">
        <f>IF(51458.48973="","-",51458.48973)</f>
        <v>51458.48973</v>
      </c>
      <c r="C20" s="41">
        <f>IF(OR(53925.05951="",51458.48973=""),"-",51458.48973/53925.05951*100)</f>
        <v>95.4259303514675</v>
      </c>
      <c r="D20" s="41">
        <f>IF(53925.05951="","-",53925.05951/5240739.99296*100)</f>
        <v>1.0289588795177531</v>
      </c>
      <c r="E20" s="41">
        <f>IF(51458.48973="","-",51458.48973/5301854.22844*100)</f>
        <v>0.9705753404906604</v>
      </c>
      <c r="F20" s="41">
        <f>IF(OR(4359960.60099="",43102.31048="",53925.05951=""),"-",(53925.05951-43102.31048)/4359960.60099*100)</f>
        <v>0.24823043188836424</v>
      </c>
      <c r="G20" s="41">
        <f>IF(OR(5240739.99296="",51458.48973="",53925.05951=""),"-",(51458.48973-53925.05951)/5240739.99296*100)</f>
        <v>-0.04706529580390163</v>
      </c>
    </row>
    <row r="21" spans="1:7" s="9" customFormat="1" ht="15.75">
      <c r="A21" s="34" t="s">
        <v>42</v>
      </c>
      <c r="B21" s="41">
        <f>IF(37917.87089="","-",37917.87089)</f>
        <v>37917.87089</v>
      </c>
      <c r="C21" s="41">
        <f>IF(OR(41737.71562="",37917.87089=""),"-",37917.87089/41737.71562*100)</f>
        <v>90.84797844525636</v>
      </c>
      <c r="D21" s="41">
        <f>IF(41737.71562="","-",41737.71562/5240739.99296*100)</f>
        <v>0.7964088215799139</v>
      </c>
      <c r="E21" s="41">
        <f>IF(37917.87089="","-",37917.87089/5301854.22844*100)</f>
        <v>0.7151813168797141</v>
      </c>
      <c r="F21" s="41">
        <f>IF(OR(4359960.60099="",35574.9593="",41737.71562=""),"-",(41737.71562-35574.9593)/4359960.60099*100)</f>
        <v>0.14134889931346273</v>
      </c>
      <c r="G21" s="41">
        <f>IF(OR(5240739.99296="",37917.87089="",41737.71562=""),"-",(37917.87089-41737.71562)/5240739.99296*100)</f>
        <v>-0.07288750701487356</v>
      </c>
    </row>
    <row r="22" spans="1:7" s="9" customFormat="1" ht="15.75">
      <c r="A22" s="34" t="s">
        <v>45</v>
      </c>
      <c r="B22" s="41">
        <f>IF(30852.4005="","-",30852.4005)</f>
        <v>30852.4005</v>
      </c>
      <c r="C22" s="41">
        <f>IF(OR(30200.92952="",30852.4005=""),"-",30852.4005/30200.92952*100)</f>
        <v>102.15712228184427</v>
      </c>
      <c r="D22" s="41">
        <f>IF(30200.92952="","-",30200.92952/5240739.99296*100)</f>
        <v>0.576272235611184</v>
      </c>
      <c r="E22" s="41">
        <f>IF(30852.4005="","-",30852.4005/5301854.22844*100)</f>
        <v>0.5819171778526606</v>
      </c>
      <c r="F22" s="41">
        <f>IF(OR(4359960.60099="",21131.78288="",30200.92952=""),"-",(30200.92952-21131.78288)/4359960.60099*100)</f>
        <v>0.2080098301333435</v>
      </c>
      <c r="G22" s="41">
        <f>IF(OR(5240739.99296="",30852.4005="",30200.92952=""),"-",(30852.4005-30200.92952)/5240739.99296*100)</f>
        <v>0.012430896798450854</v>
      </c>
    </row>
    <row r="23" spans="1:7" s="9" customFormat="1" ht="15.75" customHeight="1">
      <c r="A23" s="34" t="s">
        <v>51</v>
      </c>
      <c r="B23" s="41">
        <f>IF(23378.99382="","-",23378.99382)</f>
        <v>23378.99382</v>
      </c>
      <c r="C23" s="41">
        <f>IF(OR(23590.5861="",23378.99382=""),"-",23378.99382/23590.5861*100)</f>
        <v>99.10306476022653</v>
      </c>
      <c r="D23" s="41">
        <f>IF(23590.5861="","-",23590.5861/5240739.99296*100)</f>
        <v>0.45013845624262505</v>
      </c>
      <c r="E23" s="41">
        <f>IF(23378.99382="","-",23378.99382/5301854.22844*100)</f>
        <v>0.4409588195501738</v>
      </c>
      <c r="F23" s="41">
        <f>IF(OR(4359960.60099="",17515.30058="",23590.5861=""),"-",(23590.5861-17515.30058)/4359960.60099*100)</f>
        <v>0.13934267017505866</v>
      </c>
      <c r="G23" s="41">
        <f>IF(OR(5240739.99296="",23378.99382="",23590.5861=""),"-",(23378.99382-23590.5861)/5240739.99296*100)</f>
        <v>-0.004037450441812363</v>
      </c>
    </row>
    <row r="24" spans="1:7" s="9" customFormat="1" ht="15.75">
      <c r="A24" s="34" t="s">
        <v>53</v>
      </c>
      <c r="B24" s="41">
        <f>IF(21172.88665="","-",21172.88665)</f>
        <v>21172.88665</v>
      </c>
      <c r="C24" s="41">
        <f>IF(OR(20974.81122="",21172.88665=""),"-",21172.88665/20974.81122*100)</f>
        <v>100.9443490476383</v>
      </c>
      <c r="D24" s="41">
        <f>IF(20974.81122="","-",20974.81122/5240739.99296*100)</f>
        <v>0.400226136922952</v>
      </c>
      <c r="E24" s="41">
        <f>IF(21172.88665="","-",21172.88665/5301854.22844*100)</f>
        <v>0.39934871344491574</v>
      </c>
      <c r="F24" s="41">
        <f>IF(OR(4359960.60099="",15322.35009="",20974.81122=""),"-",(20974.81122-15322.35009)/4359960.60099*100)</f>
        <v>0.12964477543023017</v>
      </c>
      <c r="G24" s="41">
        <f>IF(OR(5240739.99296="",21172.88665="",20974.81122=""),"-",(21172.88665-20974.81122)/5240739.99296*100)</f>
        <v>0.0037795317124314463</v>
      </c>
    </row>
    <row r="25" spans="1:7" s="9" customFormat="1" ht="15.75">
      <c r="A25" s="34" t="s">
        <v>9</v>
      </c>
      <c r="B25" s="41">
        <f>IF(19778.95321="","-",19778.95321)</f>
        <v>19778.95321</v>
      </c>
      <c r="C25" s="41">
        <f>IF(OR(21170.70343="",19778.95321=""),"-",19778.95321/21170.70343*100)</f>
        <v>93.42605584834834</v>
      </c>
      <c r="D25" s="41">
        <f>IF(21170.70343="","-",21170.70343/5240739.99296*100)</f>
        <v>0.4039640100145984</v>
      </c>
      <c r="E25" s="41">
        <f>IF(19778.95321="","-",19778.95321/5301854.22844*100)</f>
        <v>0.3730572806755514</v>
      </c>
      <c r="F25" s="41">
        <f>IF(OR(4359960.60099="",22762.92297="",21170.70343=""),"-",(21170.70343-22762.92297)/4359960.60099*100)</f>
        <v>-0.03651912679299118</v>
      </c>
      <c r="G25" s="41">
        <f>IF(OR(5240739.99296="",19778.95321="",21170.70343=""),"-",(19778.95321-21170.70343)/5240739.99296*100)</f>
        <v>-0.02655636841113221</v>
      </c>
    </row>
    <row r="26" spans="1:7" s="9" customFormat="1" ht="15.75">
      <c r="A26" s="34" t="s">
        <v>52</v>
      </c>
      <c r="B26" s="41">
        <f>IF(18338.99891="","-",18338.99891)</f>
        <v>18338.99891</v>
      </c>
      <c r="C26" s="41">
        <f>IF(OR(15610.06996="",18338.99891=""),"-",18338.99891/15610.06996*100)</f>
        <v>117.48184958166578</v>
      </c>
      <c r="D26" s="41">
        <f>IF(15610.06996="","-",15610.06996/5240739.99296*100)</f>
        <v>0.29786003467009137</v>
      </c>
      <c r="E26" s="41">
        <f>IF(18338.99891="","-",18338.99891/5301854.22844*100)</f>
        <v>0.34589783347166836</v>
      </c>
      <c r="F26" s="41">
        <f>IF(OR(4359960.60099="",12271.07275="",15610.06996=""),"-",(15610.06996-12271.07275)/4359960.60099*100)</f>
        <v>0.07658319685828875</v>
      </c>
      <c r="G26" s="41">
        <f>IF(OR(5240739.99296="",18338.99891="",15610.06996=""),"-",(18338.99891-15610.06996)/5240739.99296*100)</f>
        <v>0.05207144322492295</v>
      </c>
    </row>
    <row r="27" spans="1:7" s="9" customFormat="1" ht="15.75">
      <c r="A27" s="34" t="s">
        <v>44</v>
      </c>
      <c r="B27" s="41">
        <f>IF(14275.29242="","-",14275.29242)</f>
        <v>14275.29242</v>
      </c>
      <c r="C27" s="41">
        <f>IF(OR(12514.11905="",14275.29242=""),"-",14275.29242/12514.11905*100)</f>
        <v>114.07349061458704</v>
      </c>
      <c r="D27" s="41">
        <f>IF(12514.11905="","-",12514.11905/5240739.99296*100)</f>
        <v>0.23878534456604383</v>
      </c>
      <c r="E27" s="41">
        <f>IF(14275.29242="","-",14275.29242/5301854.22844*100)</f>
        <v>0.2692509413673622</v>
      </c>
      <c r="F27" s="41">
        <f>IF(OR(4359960.60099="",10128.34925="",12514.11905=""),"-",(12514.11905-10128.34925)/4359960.60099*100)</f>
        <v>0.054719985301203686</v>
      </c>
      <c r="G27" s="41">
        <f>IF(OR(5240739.99296="",14275.29242="",12514.11905=""),"-",(14275.29242-12514.11905)/5240739.99296*100)</f>
        <v>0.03360543305651154</v>
      </c>
    </row>
    <row r="28" spans="1:7" s="9" customFormat="1" ht="15.75">
      <c r="A28" s="34" t="s">
        <v>50</v>
      </c>
      <c r="B28" s="41">
        <f>IF(12511.01352="","-",12511.01352)</f>
        <v>12511.01352</v>
      </c>
      <c r="C28" s="41">
        <f>IF(OR(12101.41764="",12511.01352=""),"-",12511.01352/12101.41764*100)</f>
        <v>103.38469336556176</v>
      </c>
      <c r="D28" s="41">
        <f>IF(12101.41764="","-",12101.41764/5240739.99296*100)</f>
        <v>0.23091047554841676</v>
      </c>
      <c r="E28" s="41">
        <f>IF(12511.01352="","-",12511.01352/5301854.22844*100)</f>
        <v>0.235974302214665</v>
      </c>
      <c r="F28" s="41">
        <f>IF(OR(4359960.60099="",12315.28806="",12101.41764=""),"-",(12101.41764-12315.28806)/4359960.60099*100)</f>
        <v>-0.004905329189246305</v>
      </c>
      <c r="G28" s="41">
        <f>IF(OR(5240739.99296="",12511.01352="",12101.41764=""),"-",(12511.01352-12101.41764)/5240739.99296*100)</f>
        <v>0.007815611546274377</v>
      </c>
    </row>
    <row r="29" spans="1:7" s="9" customFormat="1" ht="15.75">
      <c r="A29" s="34" t="s">
        <v>49</v>
      </c>
      <c r="B29" s="41">
        <f>IF(11511.11212="","-",11511.11212)</f>
        <v>11511.11212</v>
      </c>
      <c r="C29" s="41">
        <f>IF(OR(14309.80157="",11511.11212=""),"-",11511.11212/14309.80157*100)</f>
        <v>80.44215053360799</v>
      </c>
      <c r="D29" s="41">
        <f>IF(14309.80157="","-",14309.80157/5240739.99296*100)</f>
        <v>0.2730492561970765</v>
      </c>
      <c r="E29" s="41">
        <f>IF(11511.11212="","-",11511.11212/5301854.22844*100)</f>
        <v>0.2171148361313395</v>
      </c>
      <c r="F29" s="41">
        <f>IF(OR(4359960.60099="",13137.28581="",14309.80157=""),"-",(14309.80157-13137.28581)/4359960.60099*100)</f>
        <v>0.02689280631879475</v>
      </c>
      <c r="G29" s="41">
        <f>IF(OR(5240739.99296="",11511.11212="",14309.80157=""),"-",(11511.11212-14309.80157)/5240739.99296*100)</f>
        <v>-0.053402562496127265</v>
      </c>
    </row>
    <row r="30" spans="1:7" s="9" customFormat="1" ht="15.75">
      <c r="A30" s="34" t="s">
        <v>46</v>
      </c>
      <c r="B30" s="41">
        <f>IF(10209.80786="","-",10209.80786)</f>
        <v>10209.80786</v>
      </c>
      <c r="C30" s="41">
        <f>IF(OR(11128.475="",10209.80786=""),"-",10209.80786/11128.475*100)</f>
        <v>91.74489640314599</v>
      </c>
      <c r="D30" s="41">
        <f>IF(11128.475="","-",11128.475/5240739.99296*100)</f>
        <v>0.21234548966270264</v>
      </c>
      <c r="E30" s="41">
        <f>IF(10209.80786="","-",10209.80786/5301854.22844*100)</f>
        <v>0.19257051250547305</v>
      </c>
      <c r="F30" s="41">
        <f>IF(OR(4359960.60099="",7756.4341="",11128.475=""),"-",(11128.475-7756.4341)/4359960.60099*100)</f>
        <v>0.07734108650510105</v>
      </c>
      <c r="G30" s="41">
        <f>IF(OR(5240739.99296="",10209.80786="",11128.475=""),"-",(10209.80786-11128.475)/5240739.99296*100)</f>
        <v>-0.01752934015490303</v>
      </c>
    </row>
    <row r="31" spans="1:7" s="9" customFormat="1" ht="15.75">
      <c r="A31" s="34" t="s">
        <v>54</v>
      </c>
      <c r="B31" s="41">
        <f>IF(7119.76373="","-",7119.76373)</f>
        <v>7119.76373</v>
      </c>
      <c r="C31" s="41">
        <f>IF(OR(6093.18383="",7119.76373=""),"-",7119.76373/6093.18383*100)</f>
        <v>116.84800473187103</v>
      </c>
      <c r="D31" s="41">
        <f>IF(6093.18383="","-",6093.18383/5240739.99296*100)</f>
        <v>0.11626571511246706</v>
      </c>
      <c r="E31" s="41">
        <f>IF(7119.76373="","-",7119.76373/5301854.22844*100)</f>
        <v>0.1342881834021094</v>
      </c>
      <c r="F31" s="41">
        <f>IF(OR(4359960.60099="",6032.70698="",6093.18383=""),"-",(6093.18383-6032.70698)/4359960.60099*100)</f>
        <v>0.0013870962500502357</v>
      </c>
      <c r="G31" s="41">
        <f>IF(OR(5240739.99296="",7119.76373="",6093.18383=""),"-",(7119.76373-6093.18383)/5240739.99296*100)</f>
        <v>0.019588453183692126</v>
      </c>
    </row>
    <row r="32" spans="1:7" s="9" customFormat="1" ht="15.75">
      <c r="A32" s="34" t="s">
        <v>158</v>
      </c>
      <c r="B32" s="41">
        <f>IF(5318.46019="","-",5318.46019)</f>
        <v>5318.46019</v>
      </c>
      <c r="C32" s="41" t="s">
        <v>105</v>
      </c>
      <c r="D32" s="41">
        <f>IF(2995.57155="","-",2995.57155/5240739.99296*100)</f>
        <v>0.057159323950892744</v>
      </c>
      <c r="E32" s="41">
        <f>IF(5318.46019="","-",5318.46019/5301854.22844*100)</f>
        <v>0.10031321045137233</v>
      </c>
      <c r="F32" s="41">
        <f>IF(OR(4359960.60099="",1934.43986="",2995.57155=""),"-",(2995.57155-1934.43986)/4359960.60099*100)</f>
        <v>0.02433810272870477</v>
      </c>
      <c r="G32" s="41">
        <f>IF(OR(5240739.99296="",5318.46019="",2995.57155=""),"-",(5318.46019-2995.57155)/5240739.99296*100)</f>
        <v>0.04432367648691571</v>
      </c>
    </row>
    <row r="33" spans="1:7" s="9" customFormat="1" ht="15.75">
      <c r="A33" s="34" t="s">
        <v>47</v>
      </c>
      <c r="B33" s="41">
        <f>IF(4425.42666="","-",4425.42666)</f>
        <v>4425.42666</v>
      </c>
      <c r="C33" s="41">
        <f>IF(OR(4547.74125="",4425.42666=""),"-",4425.42666/4547.74125*100)</f>
        <v>97.31043207438418</v>
      </c>
      <c r="D33" s="41">
        <f>IF(4547.74125="","-",4547.74125/5240739.99296*100)</f>
        <v>0.08677670054437121</v>
      </c>
      <c r="E33" s="41">
        <f>IF(4425.42666="","-",4425.42666/5301854.22844*100)</f>
        <v>0.08346941408274296</v>
      </c>
      <c r="F33" s="41">
        <f>IF(OR(4359960.60099="",4687.8444="",4547.74125=""),"-",(4547.74125-4687.8444)/4359960.60099*100)</f>
        <v>-0.003213404037829773</v>
      </c>
      <c r="G33" s="41">
        <f>IF(OR(5240739.99296="",4425.42666="",4547.74125=""),"-",(4425.42666-4547.74125)/5240739.99296*100)</f>
        <v>-0.0023339183047490965</v>
      </c>
    </row>
    <row r="34" spans="1:7" s="9" customFormat="1" ht="15.75">
      <c r="A34" s="34" t="s">
        <v>55</v>
      </c>
      <c r="B34" s="41">
        <f>IF(1864.58701="","-",1864.58701)</f>
        <v>1864.58701</v>
      </c>
      <c r="C34" s="41" t="s">
        <v>186</v>
      </c>
      <c r="D34" s="41">
        <f>IF(888.28246="","-",888.28246/5240739.99296*100)</f>
        <v>0.016949561725886974</v>
      </c>
      <c r="E34" s="41">
        <f>IF(1864.58701="","-",1864.58701/5301854.22844*100)</f>
        <v>0.03516858309679762</v>
      </c>
      <c r="F34" s="41">
        <f>IF(OR(4359960.60099="",2136.57467="",888.28246=""),"-",(888.28246-2136.57467)/4359960.60099*100)</f>
        <v>-0.028630813996726366</v>
      </c>
      <c r="G34" s="41">
        <f>IF(OR(5240739.99296="",1864.58701="",888.28246=""),"-",(1864.58701-888.28246)/5240739.99296*100)</f>
        <v>0.018629135414302007</v>
      </c>
    </row>
    <row r="35" spans="1:7" s="9" customFormat="1" ht="15.75">
      <c r="A35" s="34" t="s">
        <v>48</v>
      </c>
      <c r="B35" s="41">
        <f>IF(651.775="","-",651.775)</f>
        <v>651.775</v>
      </c>
      <c r="C35" s="41">
        <f>IF(OR(815.99669="",651.775=""),"-",651.775/815.99669*100)</f>
        <v>79.87471125648807</v>
      </c>
      <c r="D35" s="41">
        <f>IF(815.99669="","-",815.99669/5240739.99296*100)</f>
        <v>0.015570257083849723</v>
      </c>
      <c r="E35" s="41">
        <f>IF(651.775="","-",651.775/5301854.22844*100)</f>
        <v>0.012293340629845571</v>
      </c>
      <c r="F35" s="41">
        <f>IF(OR(4359960.60099="",923.67398="",815.99669=""),"-",(815.99669-923.67398)/4359960.60099*100)</f>
        <v>-0.002469684931913151</v>
      </c>
      <c r="G35" s="41">
        <f>IF(OR(5240739.99296="",651.775="",815.99669=""),"-",(651.775-815.99669)/5240739.99296*100)</f>
        <v>-0.003133559196231878</v>
      </c>
    </row>
    <row r="36" spans="1:7" s="9" customFormat="1" ht="15.75">
      <c r="A36" s="34" t="s">
        <v>56</v>
      </c>
      <c r="B36" s="41">
        <f>IF(97.05419="","-",97.05419)</f>
        <v>97.05419</v>
      </c>
      <c r="C36" s="41">
        <f>IF(OR(78.61421="",97.05419=""),"-",97.05419/78.61421*100)</f>
        <v>123.4562937158562</v>
      </c>
      <c r="D36" s="41">
        <f>IF(78.61421="","-",78.61421/5240739.99296*100)</f>
        <v>0.0015000593447796336</v>
      </c>
      <c r="E36" s="41">
        <f>IF(97.05419="","-",97.05419/5301854.22844*100)</f>
        <v>0.0018305706988205315</v>
      </c>
      <c r="F36" s="41">
        <f>IF(OR(4359960.60099="",241.36622="",78.61421=""),"-",(78.61421-241.36622)/4359960.60099*100)</f>
        <v>-0.0037328779980957735</v>
      </c>
      <c r="G36" s="41">
        <f>IF(OR(5240739.99296="",97.05419="",78.61421=""),"-",(97.05419-78.61421)/5240739.99296*100)</f>
        <v>0.0003518583258236591</v>
      </c>
    </row>
    <row r="37" spans="1:7" s="9" customFormat="1" ht="15.75">
      <c r="A37" s="39" t="s">
        <v>174</v>
      </c>
      <c r="B37" s="40">
        <f>IF(1276794.01319="","-",1276794.01319)</f>
        <v>1276794.01319</v>
      </c>
      <c r="C37" s="40">
        <f>IF(1299311.15354="","-",1276794.01319/1299311.15354*100)</f>
        <v>98.26699399226648</v>
      </c>
      <c r="D37" s="40">
        <f>IF(1299311.15354="","-",1299311.15354/5240739.99296*100)</f>
        <v>24.792513181065896</v>
      </c>
      <c r="E37" s="40">
        <f>IF(1276794.01319="","-",1276794.01319/5301854.22844*100)</f>
        <v>24.082027875098326</v>
      </c>
      <c r="F37" s="40">
        <f>IF(4359960.60099="","-",(1299311.15354-1081596.31546)/4359960.60099*100)</f>
        <v>4.993504712647275</v>
      </c>
      <c r="G37" s="40">
        <f>IF(5240739.99296="","-",(1276794.01319-1299311.15354)/5240739.99296*100)</f>
        <v>-0.4296557428959988</v>
      </c>
    </row>
    <row r="38" spans="1:7" s="9" customFormat="1" ht="15.75">
      <c r="A38" s="34" t="s">
        <v>159</v>
      </c>
      <c r="B38" s="41">
        <f>IF(613410.00482="","-",613410.00482)</f>
        <v>613410.00482</v>
      </c>
      <c r="C38" s="41">
        <f>IF(OR(632061.52471="",613410.00482=""),"-",613410.00482/632061.52471*100)</f>
        <v>97.0490974120664</v>
      </c>
      <c r="D38" s="41">
        <f>IF(632061.52471="","-",632061.52471/5240739.99296*100)</f>
        <v>12.06053964819972</v>
      </c>
      <c r="E38" s="41">
        <f>IF(613410.00482="","-",613410.00482/5301854.22844*100)</f>
        <v>11.569725956054581</v>
      </c>
      <c r="F38" s="41">
        <f>IF(OR(4359960.60099="",504335.48259="",632061.52471=""),"-",(632061.52471-504335.48259)/4359960.60099*100)</f>
        <v>2.929522851444981</v>
      </c>
      <c r="G38" s="41">
        <f>IF(OR(5240739.99296="",613410.00482="",632061.52471=""),"-",(613410.00482-632061.52471)/5240739.99296*100)</f>
        <v>-0.3558947765974841</v>
      </c>
    </row>
    <row r="39" spans="1:7" s="9" customFormat="1" ht="15.75">
      <c r="A39" s="34" t="s">
        <v>12</v>
      </c>
      <c r="B39" s="41">
        <f>IF(522826.48438="","-",522826.48438)</f>
        <v>522826.48438</v>
      </c>
      <c r="C39" s="41">
        <f>IF(OR(527738.92147="",522826.48438=""),"-",522826.48438/527738.92147*100)</f>
        <v>99.06915391490995</v>
      </c>
      <c r="D39" s="41">
        <f>IF(527738.92147="","-",527738.92147/5240739.99296*100)</f>
        <v>10.069931387149964</v>
      </c>
      <c r="E39" s="41">
        <f>IF(522826.48438="","-",522826.48438/5301854.22844*100)</f>
        <v>9.861200664014385</v>
      </c>
      <c r="F39" s="41">
        <f>IF(OR(4359960.60099="",464029.47821="",527738.92147=""),"-",(527738.92147-464029.47821)/4359960.60099*100)</f>
        <v>1.4612389672863948</v>
      </c>
      <c r="G39" s="41">
        <f>IF(OR(5240739.99296="",522826.48438="",527738.92147=""),"-",(522826.48438-527738.92147)/5240739.99296*100)</f>
        <v>-0.0937355620885399</v>
      </c>
    </row>
    <row r="40" spans="1:7" s="9" customFormat="1" ht="15.75">
      <c r="A40" s="34" t="s">
        <v>11</v>
      </c>
      <c r="B40" s="41">
        <f>IF(119592.08592="","-",119592.08592)</f>
        <v>119592.08592</v>
      </c>
      <c r="C40" s="41">
        <f>IF(OR(117678.47585="",119592.08592=""),"-",119592.08592/117678.47585*100)</f>
        <v>101.62613430891065</v>
      </c>
      <c r="D40" s="41">
        <f>IF(117678.47585="","-",117678.47585/5240739.99296*100)</f>
        <v>2.2454553366142957</v>
      </c>
      <c r="E40" s="41">
        <f>IF(119592.08592="","-",119592.08592/5301854.22844*100)</f>
        <v>2.255665296840656</v>
      </c>
      <c r="F40" s="41">
        <f>IF(OR(4359960.60099="",105228.247="",117678.47585=""),"-",(117678.47585-105228.247)/4359960.60099*100)</f>
        <v>0.28555828800776256</v>
      </c>
      <c r="G40" s="41">
        <f>IF(OR(5240739.99296="",119592.08592="",117678.47585=""),"-",(119592.08592-117678.47585)/5240739.99296*100)</f>
        <v>0.03651411961995041</v>
      </c>
    </row>
    <row r="41" spans="1:7" s="9" customFormat="1" ht="15.75">
      <c r="A41" s="34" t="s">
        <v>13</v>
      </c>
      <c r="B41" s="41">
        <f>IF(9677.21079="","-",9677.21079)</f>
        <v>9677.21079</v>
      </c>
      <c r="C41" s="41" t="s">
        <v>105</v>
      </c>
      <c r="D41" s="41">
        <f>IF(5445.83466="","-",5445.83466/5240739.99296*100)</f>
        <v>0.10391346770333022</v>
      </c>
      <c r="E41" s="41">
        <f>IF(9677.21079="","-",9677.21079/5301854.22844*100)</f>
        <v>0.18252502564272483</v>
      </c>
      <c r="F41" s="41">
        <f>IF(OR(4359960.60099="",1633.68638="",5445.83466=""),"-",(5445.83466-1633.68638)/4359960.60099*100)</f>
        <v>0.0874353836852193</v>
      </c>
      <c r="G41" s="41">
        <f>IF(OR(5240739.99296="",9677.21079="",5445.83466=""),"-",(9677.21079-5445.83466)/5240739.99296*100)</f>
        <v>0.0807400507501631</v>
      </c>
    </row>
    <row r="42" spans="1:7" s="9" customFormat="1" ht="15.75">
      <c r="A42" s="34" t="s">
        <v>15</v>
      </c>
      <c r="B42" s="41">
        <f>IF(7225.68578="","-",7225.68578)</f>
        <v>7225.68578</v>
      </c>
      <c r="C42" s="41" t="s">
        <v>20</v>
      </c>
      <c r="D42" s="41">
        <f>IF(3641.91019="","-",3641.91019/5240739.99296*100)</f>
        <v>0.06949228915939842</v>
      </c>
      <c r="E42" s="41">
        <f>IF(7225.68578="","-",7225.68578/5301854.22844*100)</f>
        <v>0.13628601369762786</v>
      </c>
      <c r="F42" s="41">
        <f>IF(OR(4359960.60099="",5536.61564="",3641.91019=""),"-",(3641.91019-5536.61564)/4359960.60099*100)</f>
        <v>-0.043456939715688626</v>
      </c>
      <c r="G42" s="41">
        <f>IF(OR(5240739.99296="",7225.68578="",3641.91019=""),"-",(7225.68578-3641.91019)/5240739.99296*100)</f>
        <v>0.06838300688097794</v>
      </c>
    </row>
    <row r="43" spans="1:7" s="9" customFormat="1" ht="15.75">
      <c r="A43" s="34" t="s">
        <v>16</v>
      </c>
      <c r="B43" s="41">
        <f>IF(2197.27253="","-",2197.27253)</f>
        <v>2197.27253</v>
      </c>
      <c r="C43" s="41">
        <f>IF(OR(10953.42423="",2197.27253=""),"-",2197.27253/10953.42423*100)</f>
        <v>20.060142690191412</v>
      </c>
      <c r="D43" s="41">
        <f>IF(10953.42423="","-",10953.42423/5240739.99296*100)</f>
        <v>0.209005297815079</v>
      </c>
      <c r="E43" s="41">
        <f>IF(2197.27253="","-",2197.27253/5301854.22844*100)</f>
        <v>0.041443473081803656</v>
      </c>
      <c r="F43" s="41">
        <f>IF(OR(4359960.60099="",4.47522="",10953.42423=""),"-",(10953.42423-4.47522)/4359960.60099*100)</f>
        <v>0.25112495299874643</v>
      </c>
      <c r="G43" s="41">
        <f>IF(OR(5240739.99296="",2197.27253="",10953.42423=""),"-",(2197.27253-10953.42423)/5240739.99296*100)</f>
        <v>-0.16707853684331467</v>
      </c>
    </row>
    <row r="44" spans="1:7" s="9" customFormat="1" ht="15.75">
      <c r="A44" s="34" t="s">
        <v>17</v>
      </c>
      <c r="B44" s="41">
        <f>IF(973.76989="","-",973.76989)</f>
        <v>973.76989</v>
      </c>
      <c r="C44" s="41">
        <f>IF(OR(941.2944="",973.76989=""),"-",973.76989/941.2944*100)</f>
        <v>103.45008851640888</v>
      </c>
      <c r="D44" s="41">
        <f>IF(941.2944="","-",941.2944/5240739.99296*100)</f>
        <v>0.017961097121102384</v>
      </c>
      <c r="E44" s="41">
        <f>IF(973.76989="","-",973.76989/5301854.22844*100)</f>
        <v>0.0183665911593069</v>
      </c>
      <c r="F44" s="41">
        <f>IF(OR(4359960.60099="",554.85149="",941.2944=""),"-",(941.2944-554.85149)/4359960.60099*100)</f>
        <v>0.008863449589710783</v>
      </c>
      <c r="G44" s="41">
        <f>IF(OR(5240739.99296="",973.76989="",941.2944=""),"-",(973.76989-941.2944)/5240739.99296*100)</f>
        <v>0.0006196737491962025</v>
      </c>
    </row>
    <row r="45" spans="1:7" s="9" customFormat="1" ht="15.75">
      <c r="A45" s="34" t="s">
        <v>14</v>
      </c>
      <c r="B45" s="41">
        <f>IF(730.51247="","-",730.51247)</f>
        <v>730.51247</v>
      </c>
      <c r="C45" s="41">
        <f>IF(OR(545.4487="",730.51247=""),"-",730.51247/545.4487*100)</f>
        <v>133.92872143613138</v>
      </c>
      <c r="D45" s="41">
        <f>IF(545.4487="","-",545.4487/5240739.99296*100)</f>
        <v>0.01040785653805976</v>
      </c>
      <c r="E45" s="41">
        <f>IF(730.51247="","-",730.51247/5301854.22844*100)</f>
        <v>0.013778433704974639</v>
      </c>
      <c r="F45" s="41">
        <f>IF(OR(4359960.60099="",175.40622="",545.4487=""),"-",(545.4487-175.40622)/4359960.60099*100)</f>
        <v>0.008487289539175559</v>
      </c>
      <c r="G45" s="41">
        <f>IF(OR(5240739.99296="",730.51247="",545.4487=""),"-",(730.51247-545.4487)/5240739.99296*100)</f>
        <v>0.003531252652270484</v>
      </c>
    </row>
    <row r="46" spans="1:7" s="9" customFormat="1" ht="15.75">
      <c r="A46" s="34" t="s">
        <v>136</v>
      </c>
      <c r="B46" s="41">
        <f>IF(160.85103="","-",160.85103)</f>
        <v>160.85103</v>
      </c>
      <c r="C46" s="41">
        <f>IF(OR(304.04573="",160.85103=""),"-",160.85103/304.04573*100)</f>
        <v>52.903564868350564</v>
      </c>
      <c r="D46" s="41">
        <f>IF(304.04573="","-",304.04573/5240739.99296*100)</f>
        <v>0.005801580128158069</v>
      </c>
      <c r="E46" s="41">
        <f>IF(160.85103="","-",160.85103/5301854.22844*100)</f>
        <v>0.003033863683712185</v>
      </c>
      <c r="F46" s="41">
        <f>IF(OR(4359960.60099="",95.42623="",304.04573=""),"-",(304.04573-95.42623)/4359960.60099*100)</f>
        <v>0.004784894155984564</v>
      </c>
      <c r="G46" s="41">
        <f>IF(OR(5240739.99296="",160.85103="",304.04573=""),"-",(160.85103-304.04573)/5240739.99296*100)</f>
        <v>-0.0027323374216686293</v>
      </c>
    </row>
    <row r="47" spans="1:7" s="9" customFormat="1" ht="15.75">
      <c r="A47" s="34" t="s">
        <v>18</v>
      </c>
      <c r="B47" s="41">
        <f>IF(0.13558="","-",0.13558)</f>
        <v>0.13558</v>
      </c>
      <c r="C47" s="41">
        <f>IF(OR(0.2736="",0.13558=""),"-",0.13558/0.2736*100)</f>
        <v>49.55409356725146</v>
      </c>
      <c r="D47" s="41">
        <f>IF(0.2736="","-",0.2736/5240739.99296*100)</f>
        <v>5.220636787315013E-06</v>
      </c>
      <c r="E47" s="41">
        <f>IF(0.13558="","-",0.13558/5301854.22844*100)</f>
        <v>2.557218553326628E-06</v>
      </c>
      <c r="F47" s="41">
        <f>IF(OR(4359960.60099="",2.64648="",0.2736=""),"-",(0.2736-2.64648)/4359960.60099*100)</f>
        <v>-5.4424345014980154E-05</v>
      </c>
      <c r="G47" s="41">
        <f>IF(OR(5240739.99296="",0.13558="",0.2736=""),"-",(0.13558-0.2736)/5240739.99296*100)</f>
        <v>-2.6335975489225807E-06</v>
      </c>
    </row>
    <row r="48" spans="1:7" s="9" customFormat="1" ht="15.75">
      <c r="A48" s="39" t="s">
        <v>170</v>
      </c>
      <c r="B48" s="40">
        <f>IF(1383683.94476="","-",1383683.94476)</f>
        <v>1383683.94476</v>
      </c>
      <c r="C48" s="40">
        <f>IF(1328120.19411="","-",1383683.94476/1328120.19411*100)</f>
        <v>104.18363871706917</v>
      </c>
      <c r="D48" s="40">
        <f>IF(1328120.19411="","-",1328120.19411/5240739.99296*100)</f>
        <v>25.342226401120694</v>
      </c>
      <c r="E48" s="40">
        <f>IF(1383683.94476="","-",1383683.94476/5301854.22844*100)</f>
        <v>26.098113700254082</v>
      </c>
      <c r="F48" s="40">
        <f>IF(4359960.60099="","-",(1328120.19411-1108618.31093)/4359960.60099*100)</f>
        <v>5.034492355966671</v>
      </c>
      <c r="G48" s="40">
        <f>IF(5240739.99296="","-",(1383683.94476-1328120.19411)/5240739.99296*100)</f>
        <v>1.060227195484608</v>
      </c>
    </row>
    <row r="49" spans="1:7" s="9" customFormat="1" ht="15.75">
      <c r="A49" s="34" t="s">
        <v>60</v>
      </c>
      <c r="B49" s="41">
        <f>IF(542656.4839="","-",542656.4839)</f>
        <v>542656.4839</v>
      </c>
      <c r="C49" s="41">
        <f>IF(OR(549496.49353="",542656.4839=""),"-",542656.4839/549496.49353*100)</f>
        <v>98.7552223334385</v>
      </c>
      <c r="D49" s="41">
        <f>IF(549496.49353="","-",549496.49353/5240739.99296*100)</f>
        <v>10.485093598769458</v>
      </c>
      <c r="E49" s="41">
        <f>IF(542656.4839="","-",542656.4839/5301854.22844*100)</f>
        <v>10.235220745774248</v>
      </c>
      <c r="F49" s="41">
        <f>IF(OR(4359960.60099="",451761.79399="",549496.49353=""),"-",(549496.49353-451761.79399)/4359960.60099*100)</f>
        <v>2.241641805611907</v>
      </c>
      <c r="G49" s="41">
        <f>IF(OR(5240739.99296="",542656.4839="",549496.49353=""),"-",(542656.4839-549496.49353)/5240739.99296*100)</f>
        <v>-0.13051610343555145</v>
      </c>
    </row>
    <row r="50" spans="1:7" s="9" customFormat="1" ht="15.75">
      <c r="A50" s="34" t="s">
        <v>57</v>
      </c>
      <c r="B50" s="41">
        <f>IF(357731.11391="","-",357731.11391)</f>
        <v>357731.11391</v>
      </c>
      <c r="C50" s="41">
        <f>IF(OR(307887.07404="",357731.11391=""),"-",357731.11391/307887.07404*100)</f>
        <v>116.18906543102372</v>
      </c>
      <c r="D50" s="41">
        <f>IF(307887.07404="","-",307887.07404/5240739.99296*100)</f>
        <v>5.874877869415223</v>
      </c>
      <c r="E50" s="41">
        <f>IF(357731.11391="","-",357731.11391/5301854.22844*100)</f>
        <v>6.747283091848748</v>
      </c>
      <c r="F50" s="41">
        <f>IF(OR(4359960.60099="",273436.12508="",307887.07404=""),"-",(307887.07404-273436.12508)/4359960.60099*100)</f>
        <v>0.7901665201327117</v>
      </c>
      <c r="G50" s="41">
        <f>IF(OR(5240739.99296="",357731.11391="",307887.07404=""),"-",(357731.11391-307887.07404)/5240739.99296*100)</f>
        <v>0.9510878222723627</v>
      </c>
    </row>
    <row r="51" spans="1:7" s="9" customFormat="1" ht="15.75">
      <c r="A51" s="34" t="s">
        <v>19</v>
      </c>
      <c r="B51" s="41">
        <f>IF(68585.67882="","-",68585.67882)</f>
        <v>68585.67882</v>
      </c>
      <c r="C51" s="41">
        <f>IF(OR(65910.36737="",68585.67882=""),"-",68585.67882/65910.36737*100)</f>
        <v>104.05901462357451</v>
      </c>
      <c r="D51" s="41">
        <f>IF(65910.36737="","-",65910.36737/5240739.99296*100)</f>
        <v>1.257653832446159</v>
      </c>
      <c r="E51" s="41">
        <f>IF(68585.67882="","-",68585.67882/5301854.22844*100)</f>
        <v>1.2936168341274903</v>
      </c>
      <c r="F51" s="41">
        <f>IF(OR(4359960.60099="",64535.32543="",65910.36737=""),"-",(65910.36737-64535.32543)/4359960.60099*100)</f>
        <v>0.03153794416600426</v>
      </c>
      <c r="G51" s="41">
        <f>IF(OR(5240739.99296="",68585.67882="",65910.36737=""),"-",(68585.67882-65910.36737)/5240739.99296*100)</f>
        <v>0.05104835297293507</v>
      </c>
    </row>
    <row r="52" spans="1:7" s="9" customFormat="1" ht="15.75">
      <c r="A52" s="34" t="s">
        <v>77</v>
      </c>
      <c r="B52" s="41">
        <f>IF(45991.70573="","-",45991.70573)</f>
        <v>45991.70573</v>
      </c>
      <c r="C52" s="41">
        <f>IF(OR(49536.26998="",45991.70573=""),"-",45991.70573/49536.26998*100)</f>
        <v>92.84450716327432</v>
      </c>
      <c r="D52" s="41">
        <f>IF(49536.26998="","-",49536.26998/5240739.99296*100)</f>
        <v>0.945215180423817</v>
      </c>
      <c r="E52" s="41">
        <f>IF(45991.70573="","-",45991.70573/5301854.22844*100)</f>
        <v>0.86746454633349</v>
      </c>
      <c r="F52" s="41">
        <f>IF(OR(4359960.60099="",33453.17182="",49536.26998=""),"-",(49536.26998-33453.17182)/4359960.60099*100)</f>
        <v>0.3688817315539059</v>
      </c>
      <c r="G52" s="41">
        <f>IF(OR(5240739.99296="",45991.70573="",49536.26998=""),"-",(45991.70573-49536.26998)/5240739.99296*100)</f>
        <v>-0.06763480452686998</v>
      </c>
    </row>
    <row r="53" spans="1:7" s="9" customFormat="1" ht="15.75">
      <c r="A53" s="34" t="s">
        <v>73</v>
      </c>
      <c r="B53" s="41">
        <f>IF(44735.2055="","-",44735.2055)</f>
        <v>44735.2055</v>
      </c>
      <c r="C53" s="41">
        <f>IF(OR(34785.51415="",44735.2055=""),"-",44735.2055/34785.51415*100)</f>
        <v>128.60297337304124</v>
      </c>
      <c r="D53" s="41">
        <f>IF(34785.51415="","-",34785.51415/5240739.99296*100)</f>
        <v>0.6637519548141702</v>
      </c>
      <c r="E53" s="41">
        <f>IF(44735.2055="","-",44735.2055/5301854.22844*100)</f>
        <v>0.8437652861150567</v>
      </c>
      <c r="F53" s="41">
        <f>IF(OR(4359960.60099="",34133.15508="",34785.51415=""),"-",(34785.51415-34133.15508)/4359960.60099*100)</f>
        <v>0.014962499199003705</v>
      </c>
      <c r="G53" s="41">
        <f>IF(OR(5240739.99296="",44735.2055="",34785.51415=""),"-",(44735.2055-34785.51415)/5240739.99296*100)</f>
        <v>0.1898527948985378</v>
      </c>
    </row>
    <row r="54" spans="1:7" s="9" customFormat="1" ht="15.75">
      <c r="A54" s="34" t="s">
        <v>37</v>
      </c>
      <c r="B54" s="41">
        <f>IF(36799.96566="","-",36799.96566)</f>
        <v>36799.96566</v>
      </c>
      <c r="C54" s="41">
        <f>IF(OR(36955.65102="",36799.96566=""),"-",36799.96566/36955.65102*100)</f>
        <v>99.57872380622996</v>
      </c>
      <c r="D54" s="41">
        <f>IF(36955.65102="","-",36955.65102/5240739.99296*100)</f>
        <v>0.7051609328003932</v>
      </c>
      <c r="E54" s="41">
        <f>IF(36799.96566="","-",36799.96566/5301854.22844*100)</f>
        <v>0.6940961421119249</v>
      </c>
      <c r="F54" s="41">
        <f>IF(OR(4359960.60099="",24372.75499="",36955.65102=""),"-",(36955.65102-24372.75499)/4359960.60099*100)</f>
        <v>0.28860114073376825</v>
      </c>
      <c r="G54" s="41">
        <f>IF(OR(5240739.99296="",36799.96566="",36955.65102=""),"-",(36799.96566-36955.65102)/5240739.99296*100)</f>
        <v>-0.002970675137654823</v>
      </c>
    </row>
    <row r="55" spans="1:7" s="9" customFormat="1" ht="15.75">
      <c r="A55" s="34" t="s">
        <v>70</v>
      </c>
      <c r="B55" s="41">
        <f>IF(32825.47307="","-",32825.47307)</f>
        <v>32825.47307</v>
      </c>
      <c r="C55" s="41">
        <f>IF(OR(27307.07464="",32825.47307=""),"-",32825.47307/27307.07464*100)</f>
        <v>120.20867669917499</v>
      </c>
      <c r="D55" s="41">
        <f>IF(27307.07464="","-",27307.07464/5240739.99296*100)</f>
        <v>0.5210537953930586</v>
      </c>
      <c r="E55" s="41">
        <f>IF(32825.47307="","-",32825.47307/5301854.22844*100)</f>
        <v>0.619131942442304</v>
      </c>
      <c r="F55" s="41">
        <f>IF(OR(4359960.60099="",24798.01063="",27307.07464=""),"-",(27307.07464-24798.01063)/4359960.60099*100)</f>
        <v>0.057547859708417415</v>
      </c>
      <c r="G55" s="41">
        <f>IF(OR(5240739.99296="",32825.47307="",27307.07464=""),"-",(32825.47307-27307.07464)/5240739.99296*100)</f>
        <v>0.10529807693976395</v>
      </c>
    </row>
    <row r="56" spans="1:7" s="9" customFormat="1" ht="15.75">
      <c r="A56" s="34" t="s">
        <v>161</v>
      </c>
      <c r="B56" s="41">
        <f>IF(31659.26398="","-",31659.26398)</f>
        <v>31659.26398</v>
      </c>
      <c r="C56" s="41">
        <f>IF(OR(30920.44855="",31659.26398=""),"-",31659.26398/30920.44855*100)</f>
        <v>102.38940721964396</v>
      </c>
      <c r="D56" s="41">
        <f>IF(30920.44855="","-",30920.44855/5240739.99296*100)</f>
        <v>0.5900015759517951</v>
      </c>
      <c r="E56" s="41">
        <f>IF(31659.26398="","-",31659.26398/5301854.22844*100)</f>
        <v>0.5971356928331717</v>
      </c>
      <c r="F56" s="41">
        <f>IF(OR(4359960.60099="",26038.67948="",30920.44855=""),"-",(30920.44855-26038.67948)/4359960.60099*100)</f>
        <v>0.11196819230181844</v>
      </c>
      <c r="G56" s="41">
        <f>IF(OR(5240739.99296="",31659.26398="",30920.44855=""),"-",(31659.26398-30920.44855)/5240739.99296*100)</f>
        <v>0.014097540251805386</v>
      </c>
    </row>
    <row r="57" spans="1:7" s="9" customFormat="1" ht="15.75">
      <c r="A57" s="34" t="s">
        <v>67</v>
      </c>
      <c r="B57" s="41">
        <f>IF(21896.81935="","-",21896.81935)</f>
        <v>21896.81935</v>
      </c>
      <c r="C57" s="41">
        <f>IF(OR(25223.06168="",21896.81935=""),"-",21896.81935/25223.06168*100)</f>
        <v>86.8126939853719</v>
      </c>
      <c r="D57" s="41">
        <f>IF(25223.06168="","-",25223.06168/5240739.99296*100)</f>
        <v>0.4812881714010365</v>
      </c>
      <c r="E57" s="41">
        <f>IF(21896.81935="","-",21896.81935/5301854.22844*100)</f>
        <v>0.4130030439641652</v>
      </c>
      <c r="F57" s="41">
        <f>IF(OR(4359960.60099="",16565.63333="",25223.06168=""),"-",(25223.06168-16565.63333)/4359960.60099*100)</f>
        <v>0.19856666475458945</v>
      </c>
      <c r="G57" s="41">
        <f>IF(OR(5240739.99296="",21896.81935="",25223.06168=""),"-",(21896.81935-25223.06168)/5240739.99296*100)</f>
        <v>-0.06346894397486254</v>
      </c>
    </row>
    <row r="58" spans="1:7" s="9" customFormat="1" ht="15.75">
      <c r="A58" s="34" t="s">
        <v>71</v>
      </c>
      <c r="B58" s="41">
        <f>IF(19749.22412="","-",19749.22412)</f>
        <v>19749.22412</v>
      </c>
      <c r="C58" s="41">
        <f>IF(OR(18488.41289="",19749.22412=""),"-",19749.22412/18488.41289*100)</f>
        <v>106.81946707649494</v>
      </c>
      <c r="D58" s="41">
        <f>IF(18488.41289="","-",18488.41289/5240739.99296*100)</f>
        <v>0.35278248710746735</v>
      </c>
      <c r="E58" s="41">
        <f>IF(19749.22412="","-",19749.22412/5301854.22844*100)</f>
        <v>0.37249655062302506</v>
      </c>
      <c r="F58" s="41">
        <f>IF(OR(4359960.60099="",17209.32158="",18488.41289=""),"-",(18488.41289-17209.32158)/4359960.60099*100)</f>
        <v>0.02933722175630581</v>
      </c>
      <c r="G58" s="41">
        <f>IF(OR(5240739.99296="",19749.22412="",18488.41289=""),"-",(19749.22412-18488.41289)/5240739.99296*100)</f>
        <v>0.024057885559933795</v>
      </c>
    </row>
    <row r="59" spans="1:7" s="9" customFormat="1" ht="15.75">
      <c r="A59" s="34" t="s">
        <v>81</v>
      </c>
      <c r="B59" s="41">
        <f>IF(15130.74156="","-",15130.74156)</f>
        <v>15130.74156</v>
      </c>
      <c r="C59" s="41">
        <f>IF(OR(13395.59334="",15130.74156=""),"-",15130.74156/13395.59334*100)</f>
        <v>112.95312701691796</v>
      </c>
      <c r="D59" s="41">
        <f>IF(13395.59334="","-",13395.59334/5240739.99296*100)</f>
        <v>0.25560499772922507</v>
      </c>
      <c r="E59" s="41">
        <f>IF(15130.74156="","-",15130.74156/5301854.22844*100)</f>
        <v>0.28538584631082964</v>
      </c>
      <c r="F59" s="41">
        <f>IF(OR(4359960.60099="",11144.63403="",13395.59334=""),"-",(13395.59334-11144.63403)/4359960.60099*100)</f>
        <v>0.05162797364473622</v>
      </c>
      <c r="G59" s="41">
        <f>IF(OR(5240739.99296="",15130.74156="",13395.59334=""),"-",(15130.74156-13395.59334)/5240739.99296*100)</f>
        <v>0.03310884001745675</v>
      </c>
    </row>
    <row r="60" spans="1:7" s="9" customFormat="1" ht="15.75">
      <c r="A60" s="34" t="s">
        <v>62</v>
      </c>
      <c r="B60" s="41">
        <f>IF(11291.55979="","-",11291.55979)</f>
        <v>11291.55979</v>
      </c>
      <c r="C60" s="41">
        <f>IF(OR(9365.38851="",11291.55979=""),"-",11291.55979/9365.38851*100)</f>
        <v>120.56691271209206</v>
      </c>
      <c r="D60" s="41">
        <f>IF(9365.38851="","-",9365.38851/5240739.99296*100)</f>
        <v>0.1787035518377315</v>
      </c>
      <c r="E60" s="41">
        <f>IF(11291.55979="","-",11291.55979/5301854.22844*100)</f>
        <v>0.21297378810285378</v>
      </c>
      <c r="F60" s="41">
        <f>IF(OR(4359960.60099="",8260.68959="",9365.38851=""),"-",(9365.38851-8260.68959)/4359960.60099*100)</f>
        <v>0.02533736015296012</v>
      </c>
      <c r="G60" s="41">
        <f>IF(OR(5240739.99296="",11291.55979="",9365.38851=""),"-",(11291.55979-9365.38851)/5240739.99296*100)</f>
        <v>0.036753803519874416</v>
      </c>
    </row>
    <row r="61" spans="1:7" s="9" customFormat="1" ht="15.75">
      <c r="A61" s="34" t="s">
        <v>63</v>
      </c>
      <c r="B61" s="41">
        <f>IF(9769.89774="","-",9769.89774)</f>
        <v>9769.89774</v>
      </c>
      <c r="C61" s="41">
        <f>IF(OR(11800.90053="",9769.89774=""),"-",9769.89774/11800.90053*100)</f>
        <v>82.78942539311447</v>
      </c>
      <c r="D61" s="41">
        <f>IF(11800.90053="","-",11800.90053/5240739.99296*100)</f>
        <v>0.22517622598816975</v>
      </c>
      <c r="E61" s="41">
        <f>IF(9769.89774="","-",9769.89774/5301854.22844*100)</f>
        <v>0.18427322440501467</v>
      </c>
      <c r="F61" s="41">
        <f>IF(OR(4359960.60099="",8134.91052="",11800.90053=""),"-",(11800.90053-8134.91052)/4359960.60099*100)</f>
        <v>0.08408309949332059</v>
      </c>
      <c r="G61" s="41">
        <f>IF(OR(5240739.99296="",9769.89774="",11800.90053=""),"-",(9769.89774-11800.90053)/5240739.99296*100)</f>
        <v>-0.03875412237066312</v>
      </c>
    </row>
    <row r="62" spans="1:7" s="9" customFormat="1" ht="15.75">
      <c r="A62" s="34" t="s">
        <v>85</v>
      </c>
      <c r="B62" s="41">
        <f>IF(9350.24334="","-",9350.24334)</f>
        <v>9350.24334</v>
      </c>
      <c r="C62" s="41">
        <f>IF(OR(11005.16502="",9350.24334=""),"-",9350.24334/11005.16502*100)</f>
        <v>84.9623183569491</v>
      </c>
      <c r="D62" s="41">
        <f>IF(11005.16502="","-",11005.16502/5240739.99296*100)</f>
        <v>0.20999257804782295</v>
      </c>
      <c r="E62" s="41">
        <f>IF(9350.24334="","-",9350.24334/5301854.22844*100)</f>
        <v>0.1763579860389935</v>
      </c>
      <c r="F62" s="41">
        <f>IF(OR(4359960.60099="",4904.25677="",11005.16502=""),"-",(11005.16502-4904.25677)/4359960.60099*100)</f>
        <v>0.13993035277921295</v>
      </c>
      <c r="G62" s="41">
        <f>IF(OR(5240739.99296="",9350.24334="",11005.16502=""),"-",(9350.24334-11005.16502)/5240739.99296*100)</f>
        <v>-0.03157801536086682</v>
      </c>
    </row>
    <row r="63" spans="1:7" s="9" customFormat="1" ht="15.75">
      <c r="A63" s="34" t="s">
        <v>72</v>
      </c>
      <c r="B63" s="41">
        <f>IF(9212.92977="","-",9212.92977)</f>
        <v>9212.92977</v>
      </c>
      <c r="C63" s="41">
        <f>IF(OR(10066.94872="",9212.92977=""),"-",9212.92977/10066.94872*100)</f>
        <v>91.5166057387049</v>
      </c>
      <c r="D63" s="41">
        <f>IF(10066.94872="","-",10066.94872/5240739.99296*100)</f>
        <v>0.19209021499870535</v>
      </c>
      <c r="E63" s="41">
        <f>IF(9212.92977="","-",9212.92977/5301854.22844*100)</f>
        <v>0.17376807005708234</v>
      </c>
      <c r="F63" s="41">
        <f>IF(OR(4359960.60099="",8133.11008="",10066.94872=""),"-",(10066.94872-8133.11008)/4359960.60099*100)</f>
        <v>0.0443544980558056</v>
      </c>
      <c r="G63" s="41">
        <f>IF(OR(5240739.99296="",9212.92977="",10066.94872=""),"-",(9212.92977-10066.94872)/5240739.99296*100)</f>
        <v>-0.01629577027570957</v>
      </c>
    </row>
    <row r="64" spans="1:7" s="9" customFormat="1" ht="15.75">
      <c r="A64" s="34" t="s">
        <v>84</v>
      </c>
      <c r="B64" s="41">
        <f>IF(9133.00392="","-",9133.00392)</f>
        <v>9133.00392</v>
      </c>
      <c r="C64" s="41">
        <f>IF(OR(8971.03233="",9133.00392=""),"-",9133.00392/8971.03233*100)</f>
        <v>101.8054955554931</v>
      </c>
      <c r="D64" s="41">
        <f>IF(8971.03233="","-",8971.03233/5240739.99296*100)</f>
        <v>0.17117873319514004</v>
      </c>
      <c r="E64" s="41">
        <f>IF(9133.00392="","-",9133.00392/5301854.22844*100)</f>
        <v>0.1722605625595871</v>
      </c>
      <c r="F64" s="41">
        <f>IF(OR(4359960.60099="",7121.48086="",8971.03233=""),"-",(8971.03233-7121.48086)/4359960.60099*100)</f>
        <v>0.04242128861393907</v>
      </c>
      <c r="G64" s="41">
        <f>IF(OR(5240739.99296="",9133.00392="",8971.03233=""),"-",(9133.00392-8971.03233)/5240739.99296*100)</f>
        <v>0.003090624419787647</v>
      </c>
    </row>
    <row r="65" spans="1:7" s="9" customFormat="1" ht="15.75">
      <c r="A65" s="34" t="s">
        <v>79</v>
      </c>
      <c r="B65" s="41">
        <f>IF(8071.88939="","-",8071.88939)</f>
        <v>8071.88939</v>
      </c>
      <c r="C65" s="41">
        <f>IF(OR(7473.53283="",8071.88939=""),"-",8071.88939/7473.53283*100)</f>
        <v>108.00634149351826</v>
      </c>
      <c r="D65" s="41">
        <f>IF(7473.53283="","-",7473.53283/5240739.99296*100)</f>
        <v>0.14260453371163917</v>
      </c>
      <c r="E65" s="41">
        <f>IF(8071.88939="","-",8071.88939/5301854.22844*100)</f>
        <v>0.15224653568747867</v>
      </c>
      <c r="F65" s="41">
        <f>IF(OR(4359960.60099="",6687.21904="",7473.53283=""),"-",(7473.53283-6687.21904)/4359960.60099*100)</f>
        <v>0.018034882925810267</v>
      </c>
      <c r="G65" s="41">
        <f>IF(OR(5240739.99296="",8071.88939="",7473.53283=""),"-",(8071.88939-7473.53283)/5240739.99296*100)</f>
        <v>0.011417405954193216</v>
      </c>
    </row>
    <row r="66" spans="1:7" s="9" customFormat="1" ht="15.75">
      <c r="A66" s="34" t="s">
        <v>64</v>
      </c>
      <c r="B66" s="41">
        <f>IF(7690.46223="","-",7690.46223)</f>
        <v>7690.46223</v>
      </c>
      <c r="C66" s="41">
        <f>IF(OR(6968.4442="",7690.46223=""),"-",7690.46223/6968.4442*100)</f>
        <v>110.36125151149234</v>
      </c>
      <c r="D66" s="41">
        <f>IF(6968.4442="","-",6968.4442/5240739.99296*100)</f>
        <v>0.13296679876049683</v>
      </c>
      <c r="E66" s="41">
        <f>IF(7690.46223="","-",7690.46223/5301854.22844*100)</f>
        <v>0.14505231374991645</v>
      </c>
      <c r="F66" s="41">
        <f>IF(OR(4359960.60099="",8302.8707="",6968.4442=""),"-",(6968.4442-8302.8707)/4359960.60099*100)</f>
        <v>-0.030606388959042344</v>
      </c>
      <c r="G66" s="41">
        <f>IF(OR(5240739.99296="",7690.46223="",6968.4442=""),"-",(7690.46223-6968.4442)/5240739.99296*100)</f>
        <v>0.013777024446354954</v>
      </c>
    </row>
    <row r="67" spans="1:7" s="9" customFormat="1" ht="15.75">
      <c r="A67" s="34" t="s">
        <v>87</v>
      </c>
      <c r="B67" s="41">
        <f>IF(7667.7624="","-",7667.7624)</f>
        <v>7667.7624</v>
      </c>
      <c r="C67" s="41">
        <f>IF(OR(5881.33716="",7667.7624=""),"-",7667.7624/5881.33716*100)</f>
        <v>130.37447422925842</v>
      </c>
      <c r="D67" s="41">
        <f>IF(5881.33716="","-",5881.33716/5240739.99296*100)</f>
        <v>0.11222341058515645</v>
      </c>
      <c r="E67" s="41">
        <f>IF(7667.7624="","-",7667.7624/5301854.22844*100)</f>
        <v>0.14462416486045368</v>
      </c>
      <c r="F67" s="41">
        <f>IF(OR(4359960.60099="",3869.52708="",5881.33716=""),"-",(5881.33716-3869.52708)/4359960.60099*100)</f>
        <v>0.04614284999601111</v>
      </c>
      <c r="G67" s="41">
        <f>IF(OR(5240739.99296="",7667.7624="",5881.33716=""),"-",(7667.7624-5881.33716)/5240739.99296*100)</f>
        <v>0.03408727092738322</v>
      </c>
    </row>
    <row r="68" spans="1:7" s="9" customFormat="1" ht="15.75">
      <c r="A68" s="34" t="s">
        <v>86</v>
      </c>
      <c r="B68" s="41">
        <f>IF(6510.07494="","-",6510.07494)</f>
        <v>6510.07494</v>
      </c>
      <c r="C68" s="41">
        <f>IF(OR(5125.26619="",6510.07494=""),"-",6510.07494/5125.26619*100)</f>
        <v>127.01925516965198</v>
      </c>
      <c r="D68" s="41">
        <f>IF(5125.26619="","-",5125.26619/5240739.99296*100)</f>
        <v>0.0977966126326603</v>
      </c>
      <c r="E68" s="41">
        <f>IF(6510.07494="","-",6510.07494/5301854.22844*100)</f>
        <v>0.12278864449118405</v>
      </c>
      <c r="F68" s="41">
        <f>IF(OR(4359960.60099="",3804.59177="",5125.26619=""),"-",(5125.26619-3804.59177)/4359960.60099*100)</f>
        <v>0.03029097142988218</v>
      </c>
      <c r="G68" s="41">
        <f>IF(OR(5240739.99296="",6510.07494="",5125.26619=""),"-",(6510.07494-5125.26619)/5240739.99296*100)</f>
        <v>0.02642391631449459</v>
      </c>
    </row>
    <row r="69" spans="1:7" s="9" customFormat="1" ht="15.75">
      <c r="A69" s="34" t="s">
        <v>75</v>
      </c>
      <c r="B69" s="41">
        <f>IF(6050.51123="","-",6050.51123)</f>
        <v>6050.51123</v>
      </c>
      <c r="C69" s="41">
        <f>IF(OR(4175.16948="",6050.51123=""),"-",6050.51123/4175.16948*100)</f>
        <v>144.9165419268202</v>
      </c>
      <c r="D69" s="41">
        <f>IF(4175.16948="","-",4175.16948/5240739.99296*100)</f>
        <v>0.07966755621550764</v>
      </c>
      <c r="E69" s="41">
        <f>IF(6050.51123="","-",6050.51123/5301854.22844*100)</f>
        <v>0.11412066362639854</v>
      </c>
      <c r="F69" s="41">
        <f>IF(OR(4359960.60099="",2481.53814="",4175.16948=""),"-",(4175.16948-2481.53814)/4359960.60099*100)</f>
        <v>0.038845106527234045</v>
      </c>
      <c r="G69" s="41">
        <f>IF(OR(5240739.99296="",6050.51123="",4175.16948=""),"-",(6050.51123-4175.16948)/5240739.99296*100)</f>
        <v>0.03578391128961154</v>
      </c>
    </row>
    <row r="70" spans="1:7" s="9" customFormat="1" ht="15.75">
      <c r="A70" s="34" t="s">
        <v>66</v>
      </c>
      <c r="B70" s="41">
        <f>IF(5738.43734="","-",5738.43734)</f>
        <v>5738.43734</v>
      </c>
      <c r="C70" s="41">
        <f>IF(OR(5096.83243="",5738.43734=""),"-",5738.43734/5096.83243*100)</f>
        <v>112.58830693007499</v>
      </c>
      <c r="D70" s="41">
        <f>IF(5096.83243="","-",5096.83243/5240739.99296*100)</f>
        <v>0.09725406024429156</v>
      </c>
      <c r="E70" s="41">
        <f>IF(5738.43734="","-",5738.43734/5301854.22844*100)</f>
        <v>0.10823453631029874</v>
      </c>
      <c r="F70" s="41">
        <f>IF(OR(4359960.60099="",5018.5401="",5096.83243=""),"-",(5096.83243-5018.5401)/4359960.60099*100)</f>
        <v>0.001795711869098603</v>
      </c>
      <c r="G70" s="41">
        <f>IF(OR(5240739.99296="",5738.43734="",5096.83243=""),"-",(5738.43734-5096.83243)/5240739.99296*100)</f>
        <v>0.01224263960551147</v>
      </c>
    </row>
    <row r="71" spans="1:7" s="9" customFormat="1" ht="15.75">
      <c r="A71" s="34" t="s">
        <v>69</v>
      </c>
      <c r="B71" s="41">
        <f>IF(5698.86078="","-",5698.86078)</f>
        <v>5698.86078</v>
      </c>
      <c r="C71" s="41">
        <f>IF(OR(7839.77541="",5698.86078=""),"-",5698.86078/7839.77541*100)</f>
        <v>72.69163313952637</v>
      </c>
      <c r="D71" s="41">
        <f>IF(7839.77541="","-",7839.77541/5240739.99296*100)</f>
        <v>0.14959290902680425</v>
      </c>
      <c r="E71" s="41">
        <f>IF(5698.86078="","-",5698.86078/5301854.22844*100)</f>
        <v>0.10748806991769773</v>
      </c>
      <c r="F71" s="41">
        <f>IF(OR(4359960.60099="",5890.65141="",7839.77541=""),"-",(7839.77541-5890.65141)/4359960.60099*100)</f>
        <v>0.04470508287523101</v>
      </c>
      <c r="G71" s="41">
        <f>IF(OR(5240739.99296="",5698.86078="",7839.77541=""),"-",(5698.86078-7839.77541)/5240739.99296*100)</f>
        <v>-0.040851380394294264</v>
      </c>
    </row>
    <row r="72" spans="1:7" s="9" customFormat="1" ht="15.75">
      <c r="A72" s="34" t="s">
        <v>82</v>
      </c>
      <c r="B72" s="41">
        <f>IF(4894.526="","-",4894.526)</f>
        <v>4894.526</v>
      </c>
      <c r="C72" s="41">
        <f>IF(OR(6380.40014="",4894.526=""),"-",4894.526/6380.40014*100)</f>
        <v>76.71189725727766</v>
      </c>
      <c r="D72" s="41">
        <f>IF(6380.40014="","-",6380.40014/5240739.99296*100)</f>
        <v>0.12174616845275534</v>
      </c>
      <c r="E72" s="41">
        <f>IF(4894.526="","-",4894.526/5301854.22844*100)</f>
        <v>0.09231724957176253</v>
      </c>
      <c r="F72" s="41">
        <f>IF(OR(4359960.60099="",7520.08676="",6380.40014=""),"-",(6380.40014-7520.08676)/4359960.60099*100)</f>
        <v>-0.026139837588009765</v>
      </c>
      <c r="G72" s="41">
        <f>IF(OR(5240739.99296="",4894.526="",6380.40014=""),"-",(4894.526-6380.40014)/5240739.99296*100)</f>
        <v>-0.028352372794605472</v>
      </c>
    </row>
    <row r="73" spans="1:7" s="9" customFormat="1" ht="15.75">
      <c r="A73" s="34" t="s">
        <v>76</v>
      </c>
      <c r="B73" s="41">
        <f>IF(4547.85527="","-",4547.85527)</f>
        <v>4547.85527</v>
      </c>
      <c r="C73" s="41">
        <f>IF(OR(4295.00822="",4547.85527=""),"-",4547.85527/4295.00822*100)</f>
        <v>105.8869980463041</v>
      </c>
      <c r="D73" s="41">
        <f>IF(4295.00822="","-",4295.00822/5240739.99296*100)</f>
        <v>0.08195423214602475</v>
      </c>
      <c r="E73" s="41">
        <f>IF(4547.85527="","-",4547.85527/5301854.22844*100)</f>
        <v>0.08577857998442455</v>
      </c>
      <c r="F73" s="41">
        <f>IF(OR(4359960.60099="",1649.10408="",4295.00822=""),"-",(4295.00822-1649.10408)/4359960.60099*100)</f>
        <v>0.06068642316169563</v>
      </c>
      <c r="G73" s="41">
        <f>IF(OR(5240739.99296="",4547.85527="",4295.00822=""),"-",(4547.85527-4295.00822)/5240739.99296*100)</f>
        <v>0.0048246440453</v>
      </c>
    </row>
    <row r="74" spans="1:7" s="9" customFormat="1" ht="15.75">
      <c r="A74" s="34" t="s">
        <v>165</v>
      </c>
      <c r="B74" s="41">
        <f>IF(4122.18615="","-",4122.18615)</f>
        <v>4122.18615</v>
      </c>
      <c r="C74" s="41">
        <f>IF(OR(4221.27856="",4122.18615=""),"-",4122.18615/4221.27856*100)</f>
        <v>97.6525498473619</v>
      </c>
      <c r="D74" s="41">
        <f>IF(4221.27856="","-",4221.27856/5240739.99296*100)</f>
        <v>0.08054737624210578</v>
      </c>
      <c r="E74" s="41">
        <f>IF(4122.18615="","-",4122.18615/5301854.22844*100)</f>
        <v>0.07774989602482713</v>
      </c>
      <c r="F74" s="41">
        <f>IF(OR(4359960.60099="",6549.11645="",4221.27856=""),"-",(4221.27856-6549.11645)/4359960.60099*100)</f>
        <v>-0.053391259762104896</v>
      </c>
      <c r="G74" s="41">
        <f>IF(OR(5240739.99296="",4122.18615="",4221.27856=""),"-",(4122.18615-4221.27856)/5240739.99296*100)</f>
        <v>-0.0018908095065412953</v>
      </c>
    </row>
    <row r="75" spans="1:7" s="9" customFormat="1" ht="15.75">
      <c r="A75" s="34" t="s">
        <v>88</v>
      </c>
      <c r="B75" s="41">
        <f>IF(3754.07111="","-",3754.07111)</f>
        <v>3754.07111</v>
      </c>
      <c r="C75" s="41" t="s">
        <v>166</v>
      </c>
      <c r="D75" s="41">
        <f>IF(1628.8538="","-",1628.8538/5240739.99296*100)</f>
        <v>0.031080606978939513</v>
      </c>
      <c r="E75" s="41">
        <f>IF(3754.07111="","-",3754.07111/5301854.22844*100)</f>
        <v>0.0708067583198074</v>
      </c>
      <c r="F75" s="41">
        <f>IF(OR(4359960.60099="",1440.23751="",1628.8538=""),"-",(1628.8538-1440.23751)/4359960.60099*100)</f>
        <v>0.004326100789928509</v>
      </c>
      <c r="G75" s="41">
        <f>IF(OR(5240739.99296="",3754.07111="",1628.8538=""),"-",(3754.07111-1628.8538)/5240739.99296*100)</f>
        <v>0.04055185551763397</v>
      </c>
    </row>
    <row r="76" spans="1:7" s="9" customFormat="1" ht="15.75">
      <c r="A76" s="34" t="s">
        <v>83</v>
      </c>
      <c r="B76" s="41">
        <f>IF(3476.42734="","-",3476.42734)</f>
        <v>3476.42734</v>
      </c>
      <c r="C76" s="41">
        <f>IF(OR(4599.66553="",3476.42734=""),"-",3476.42734/4599.66553*100)</f>
        <v>75.58000287903542</v>
      </c>
      <c r="D76" s="41">
        <f>IF(4599.66553="","-",4599.66553/5240739.99296*100)</f>
        <v>0.08776748200022956</v>
      </c>
      <c r="E76" s="41">
        <f>IF(3476.42734="","-",3476.42734/5301854.22844*100)</f>
        <v>0.06557002871470671</v>
      </c>
      <c r="F76" s="41">
        <f>IF(OR(4359960.60099="",5777.4053="",4599.66553=""),"-",(4599.66553-5777.4053)/4359960.60099*100)</f>
        <v>-0.027012624144644226</v>
      </c>
      <c r="G76" s="41">
        <f>IF(OR(5240739.99296="",3476.42734="",4599.66553=""),"-",(3476.42734-4599.66553)/5240739.99296*100)</f>
        <v>-0.02143281657759916</v>
      </c>
    </row>
    <row r="77" spans="1:7" s="9" customFormat="1" ht="15.75">
      <c r="A77" s="34" t="s">
        <v>40</v>
      </c>
      <c r="B77" s="41">
        <f>IF(3307.75807="","-",3307.75807)</f>
        <v>3307.75807</v>
      </c>
      <c r="C77" s="41">
        <f>IF(OR(4128.50508="",3307.75807=""),"-",3307.75807/4128.50508*100)</f>
        <v>80.11999515330619</v>
      </c>
      <c r="D77" s="41">
        <f>IF(4128.50508="","-",4128.50508/5240739.99296*100)</f>
        <v>0.07877713997538345</v>
      </c>
      <c r="E77" s="41">
        <f>IF(3307.75807="","-",3307.75807/5301854.22844*100)</f>
        <v>0.06238870265909336</v>
      </c>
      <c r="F77" s="41">
        <f>IF(OR(4359960.60099="",2420.37628="",4128.50508=""),"-",(4128.50508-2420.37628)/4359960.60099*100)</f>
        <v>0.039177620082441605</v>
      </c>
      <c r="G77" s="41">
        <f>IF(OR(5240739.99296="",3307.75807="",4128.50508=""),"-",(3307.75807-4128.50508)/5240739.99296*100)</f>
        <v>-0.015660899245192993</v>
      </c>
    </row>
    <row r="78" spans="1:7" s="9" customFormat="1" ht="15.75">
      <c r="A78" s="34" t="s">
        <v>39</v>
      </c>
      <c r="B78" s="41">
        <f>IF(3149.90128="","-",3149.90128)</f>
        <v>3149.90128</v>
      </c>
      <c r="C78" s="41">
        <f>IF(OR(2470.54669="",3149.90128=""),"-",3149.90128/2470.54669*100)</f>
        <v>127.49814819326485</v>
      </c>
      <c r="D78" s="41">
        <f>IF(2470.54669="","-",2470.54669/5240739.99296*100)</f>
        <v>0.047141180316496126</v>
      </c>
      <c r="E78" s="41">
        <f>IF(3149.90128="","-",3149.90128/5301854.22844*100)</f>
        <v>0.05941131431157466</v>
      </c>
      <c r="F78" s="41">
        <f>IF(OR(4359960.60099="",799.79017="",2470.54669=""),"-",(2470.54669-799.79017)/4359960.60099*100)</f>
        <v>0.038320449951328175</v>
      </c>
      <c r="G78" s="41">
        <f>IF(OR(5240739.99296="",3149.90128="",2470.54669=""),"-",(3149.90128-2470.54669)/5240739.99296*100)</f>
        <v>0.01296295162348431</v>
      </c>
    </row>
    <row r="79" spans="1:7" s="9" customFormat="1" ht="15.75">
      <c r="A79" s="34" t="s">
        <v>59</v>
      </c>
      <c r="B79" s="41">
        <f>IF(2734.06263="","-",2734.06263)</f>
        <v>2734.06263</v>
      </c>
      <c r="C79" s="41">
        <f>IF(OR(2523.50762="",2734.06263=""),"-",2734.06263/2523.50762*100)</f>
        <v>108.34374377676737</v>
      </c>
      <c r="D79" s="41">
        <f>IF(2523.50762="","-",2523.50762/5240739.99296*100)</f>
        <v>0.0481517423758836</v>
      </c>
      <c r="E79" s="41">
        <f>IF(2734.06263="","-",2734.06263/5301854.22844*100)</f>
        <v>0.051568046049513164</v>
      </c>
      <c r="F79" s="41">
        <f>IF(OR(4359960.60099="",1789.37109="",2523.50762=""),"-",(2523.50762-1789.37109)/4359960.60099*100)</f>
        <v>0.0168381459647434</v>
      </c>
      <c r="G79" s="41">
        <f>IF(OR(5240739.99296="",2734.06263="",2523.50762=""),"-",(2734.06263-2523.50762)/5240739.99296*100)</f>
        <v>0.004017658007892839</v>
      </c>
    </row>
    <row r="80" spans="1:7" s="9" customFormat="1" ht="15.75">
      <c r="A80" s="34" t="s">
        <v>89</v>
      </c>
      <c r="B80" s="41">
        <f>IF(2672.40516="","-",2672.40516)</f>
        <v>2672.40516</v>
      </c>
      <c r="C80" s="41">
        <f>IF(OR(2547.33703="",2672.40516=""),"-",2672.40516/2547.33703*100)</f>
        <v>104.90975982082746</v>
      </c>
      <c r="D80" s="41">
        <f>IF(2547.33703="","-",2547.33703/5240739.99296*100)</f>
        <v>0.04860643789659272</v>
      </c>
      <c r="E80" s="41">
        <f>IF(2672.40516="","-",2672.40516/5301854.22844*100)</f>
        <v>0.050405104419219755</v>
      </c>
      <c r="F80" s="41">
        <f>IF(OR(4359960.60099="",3758.83661="",2547.33703=""),"-",(2547.33703-3758.83661)/4359960.60099*100)</f>
        <v>-0.02778693871052204</v>
      </c>
      <c r="G80" s="41">
        <f>IF(OR(5240739.99296="",2672.40516="",2547.33703=""),"-",(2672.40516-2547.33703)/5240739.99296*100)</f>
        <v>0.0023864593581823636</v>
      </c>
    </row>
    <row r="81" spans="1:7" s="9" customFormat="1" ht="15.75">
      <c r="A81" s="34" t="s">
        <v>38</v>
      </c>
      <c r="B81" s="41">
        <f>IF(2663.25954="","-",2663.25954)</f>
        <v>2663.25954</v>
      </c>
      <c r="C81" s="41" t="s">
        <v>107</v>
      </c>
      <c r="D81" s="41">
        <f>IF(1629.35459="","-",1629.35459/5240739.99296*100)</f>
        <v>0.03109016269055033</v>
      </c>
      <c r="E81" s="41">
        <f>IF(2663.25954="","-",2663.25954/5301854.22844*100)</f>
        <v>0.05023260590066485</v>
      </c>
      <c r="F81" s="41">
        <f>IF(OR(4359960.60099="",755.88706="",1629.35459=""),"-",(1629.35459-755.88706)/4359960.60099*100)</f>
        <v>0.020033839980151767</v>
      </c>
      <c r="G81" s="41">
        <f>IF(OR(5240739.99296="",2663.25954="",1629.35459=""),"-",(2663.25954-1629.35459)/5240739.99296*100)</f>
        <v>0.019728224475720355</v>
      </c>
    </row>
    <row r="82" spans="1:7" s="9" customFormat="1" ht="15.75">
      <c r="A82" s="34" t="s">
        <v>144</v>
      </c>
      <c r="B82" s="41">
        <f>IF(2471.29859="","-",2471.29859)</f>
        <v>2471.29859</v>
      </c>
      <c r="C82" s="41" t="s">
        <v>20</v>
      </c>
      <c r="D82" s="41">
        <f>IF(1239.03633="","-",1239.03633/5240739.99296*100)</f>
        <v>0.023642392709129326</v>
      </c>
      <c r="E82" s="41">
        <f>IF(2471.29859="","-",2471.29859/5301854.22844*100)</f>
        <v>0.04661196787990805</v>
      </c>
      <c r="F82" s="41">
        <f>IF(OR(4359960.60099="",542.65694="",1239.03633=""),"-",(1239.03633-542.65694)/4359960.60099*100)</f>
        <v>0.015972148689643563</v>
      </c>
      <c r="G82" s="41">
        <f>IF(OR(5240739.99296="",2471.29859="",1239.03633=""),"-",(2471.29859-1239.03633)/5240739.99296*100)</f>
        <v>0.023513134817894507</v>
      </c>
    </row>
    <row r="83" spans="1:7" s="9" customFormat="1" ht="15.75">
      <c r="A83" s="34" t="s">
        <v>192</v>
      </c>
      <c r="B83" s="41">
        <f>IF(2368.9057="","-",2368.9057)</f>
        <v>2368.9057</v>
      </c>
      <c r="C83" s="41">
        <f>IF(OR(2082.43093="",2368.9057=""),"-",2368.9057/2082.43093*100)</f>
        <v>113.75674774480996</v>
      </c>
      <c r="D83" s="41">
        <f>IF(2082.43093="","-",2082.43093/5240739.99296*100)</f>
        <v>0.0397354368428385</v>
      </c>
      <c r="E83" s="41">
        <f>IF(2368.9057="","-",2368.9057/5301854.22844*100)</f>
        <v>0.044680702220985406</v>
      </c>
      <c r="F83" s="41">
        <f>IF(OR(4359960.60099="",1534.56481="",2082.43093=""),"-",(2082.43093-1534.56481)/4359960.60099*100)</f>
        <v>0.0125658502481788</v>
      </c>
      <c r="G83" s="41">
        <f>IF(OR(5240739.99296="",2368.9057="",2082.43093=""),"-",(2368.9057-2082.43093)/5240739.99296*100)</f>
        <v>0.005466303811767566</v>
      </c>
    </row>
    <row r="84" spans="1:7" s="9" customFormat="1" ht="15.75">
      <c r="A84" s="34" t="s">
        <v>93</v>
      </c>
      <c r="B84" s="41">
        <f>IF(2254.4422="","-",2254.4422)</f>
        <v>2254.4422</v>
      </c>
      <c r="C84" s="41">
        <f>IF(OR(1788.61169="",2254.4422=""),"-",2254.4422/1788.61169*100)</f>
        <v>126.04425055502124</v>
      </c>
      <c r="D84" s="41">
        <f>IF(1788.61169="","-",1788.61169/5240739.99296*100)</f>
        <v>0.03412899118068595</v>
      </c>
      <c r="E84" s="41">
        <f>IF(2254.4422="","-",2254.4422/5301854.22844*100)</f>
        <v>0.04252176885412671</v>
      </c>
      <c r="F84" s="41">
        <f>IF(OR(4359960.60099="",1830.03866="",1788.61169=""),"-",(1788.61169-1830.03866)/4359960.60099*100)</f>
        <v>-0.0009501684485541753</v>
      </c>
      <c r="G84" s="41">
        <f>IF(OR(5240739.99296="",2254.4422="",1788.61169=""),"-",(2254.4422-1788.61169)/5240739.99296*100)</f>
        <v>0.008888639974998953</v>
      </c>
    </row>
    <row r="85" spans="1:7" s="9" customFormat="1" ht="15.75">
      <c r="A85" s="34" t="s">
        <v>90</v>
      </c>
      <c r="B85" s="41">
        <f>IF(2227.85236="","-",2227.85236)</f>
        <v>2227.85236</v>
      </c>
      <c r="C85" s="41">
        <f>IF(OR(4071.09238="",2227.85236=""),"-",2227.85236/4071.09238*100)</f>
        <v>54.72369949020906</v>
      </c>
      <c r="D85" s="41">
        <f>IF(4071.09238="","-",4071.09238/5240739.99296*100)</f>
        <v>0.07768163246924646</v>
      </c>
      <c r="E85" s="41">
        <f>IF(2227.85236="","-",2227.85236/5301854.22844*100)</f>
        <v>0.0420202492186496</v>
      </c>
      <c r="F85" s="41">
        <f>IF(OR(4359960.60099="",2064.58403="",4071.09238=""),"-",(4071.09238-2064.58403)/4359960.60099*100)</f>
        <v>0.04602124958524602</v>
      </c>
      <c r="G85" s="41">
        <f>IF(OR(5240739.99296="",2227.85236="",4071.09238=""),"-",(2227.85236-4071.09238)/5240739.99296*100)</f>
        <v>-0.03517136935768736</v>
      </c>
    </row>
    <row r="86" spans="1:7" s="9" customFormat="1" ht="15.75">
      <c r="A86" s="34" t="s">
        <v>68</v>
      </c>
      <c r="B86" s="41">
        <f>IF(1735.19737="","-",1735.19737)</f>
        <v>1735.19737</v>
      </c>
      <c r="C86" s="41">
        <f>IF(OR(1667.86448="",1735.19737=""),"-",1735.19737/1667.86448*100)</f>
        <v>104.03707200479502</v>
      </c>
      <c r="D86" s="41">
        <f>IF(1667.86448="","-",1667.86448/5240739.99296*100)</f>
        <v>0.03182498048444453</v>
      </c>
      <c r="E86" s="41">
        <f>IF(1735.19737="","-",1735.19737/5301854.22844*100)</f>
        <v>0.03272812294031251</v>
      </c>
      <c r="F86" s="41">
        <f>IF(OR(4359960.60099="",1269.70409="",1667.86448=""),"-",(1667.86448-1269.70409)/4359960.60099*100)</f>
        <v>0.00913220155956435</v>
      </c>
      <c r="G86" s="41">
        <f>IF(OR(5240739.99296="",1735.19737="",1667.86448=""),"-",(1735.19737-1667.86448)/5240739.99296*100)</f>
        <v>0.0012847973776689908</v>
      </c>
    </row>
    <row r="87" spans="1:7" s="9" customFormat="1" ht="15.75">
      <c r="A87" s="34" t="s">
        <v>74</v>
      </c>
      <c r="B87" s="41">
        <f>IF(1386.09226="","-",1386.09226)</f>
        <v>1386.09226</v>
      </c>
      <c r="C87" s="41">
        <f>IF(OR(2002.93463="",1386.09226=""),"-",1386.09226/2002.93463*100)</f>
        <v>69.20307029690728</v>
      </c>
      <c r="D87" s="41">
        <f>IF(2002.93463="","-",2002.93463/5240739.99296*100)</f>
        <v>0.03821854609636398</v>
      </c>
      <c r="E87" s="41">
        <f>IF(1386.09226="","-",1386.09226/5301854.22844*100)</f>
        <v>0.026143537718649027</v>
      </c>
      <c r="F87" s="41">
        <f>IF(OR(4359960.60099="",1472.97559="",2002.93463=""),"-",(2002.93463-1472.97559)/4359960.60099*100)</f>
        <v>0.012155133692714197</v>
      </c>
      <c r="G87" s="41">
        <f>IF(OR(5240739.99296="",1386.09226="",2002.93463=""),"-",(1386.09226-2002.93463)/5240739.99296*100)</f>
        <v>-0.011770138774841296</v>
      </c>
    </row>
    <row r="88" spans="1:7" s="9" customFormat="1" ht="15.75">
      <c r="A88" s="34" t="s">
        <v>102</v>
      </c>
      <c r="B88" s="41">
        <f>IF(1279.94603="","-",1279.94603)</f>
        <v>1279.94603</v>
      </c>
      <c r="C88" s="41">
        <f>IF(OR(880.87785="",1279.94603=""),"-",1279.94603/880.87785*100)</f>
        <v>145.30346403874273</v>
      </c>
      <c r="D88" s="41">
        <f>IF(880.87785="","-",880.87785/5240739.99296*100)</f>
        <v>0.01680827232763507</v>
      </c>
      <c r="E88" s="41">
        <f>IF(1279.94603="","-",1279.94603/5301854.22844*100)</f>
        <v>0.024141479091110495</v>
      </c>
      <c r="F88" s="41">
        <f>IF(OR(4359960.60099="",160.47137="",880.87785=""),"-",(880.87785-160.47137)/4359960.60099*100)</f>
        <v>0.016523233715378526</v>
      </c>
      <c r="G88" s="41">
        <f>IF(OR(5240739.99296="",1279.94603="",880.87785=""),"-",(1279.94603-880.87785)/5240739.99296*100)</f>
        <v>0.0076147296094841</v>
      </c>
    </row>
    <row r="89" spans="1:7" s="9" customFormat="1" ht="15.75">
      <c r="A89" s="34" t="s">
        <v>91</v>
      </c>
      <c r="B89" s="41">
        <f>IF(1131.25214="","-",1131.25214)</f>
        <v>1131.25214</v>
      </c>
      <c r="C89" s="41">
        <f>IF(OR(1083.53379="",1131.25214=""),"-",1131.25214/1083.53379*100)</f>
        <v>104.40395587478635</v>
      </c>
      <c r="D89" s="41">
        <f>IF(1083.53379="","-",1083.53379/5240739.99296*100)</f>
        <v>0.02067520601013472</v>
      </c>
      <c r="E89" s="41">
        <f>IF(1131.25214="","-",1131.25214/5301854.22844*100)</f>
        <v>0.021336915185856703</v>
      </c>
      <c r="F89" s="41">
        <f>IF(OR(4359960.60099="",1012.21885="",1083.53379=""),"-",(1083.53379-1012.21885)/4359960.60099*100)</f>
        <v>0.001635678542228266</v>
      </c>
      <c r="G89" s="41">
        <f>IF(OR(5240739.99296="",1131.25214="",1083.53379=""),"-",(1131.25214-1083.53379)/5240739.99296*100)</f>
        <v>0.0009105269497075069</v>
      </c>
    </row>
    <row r="90" spans="1:7" s="9" customFormat="1" ht="15.75">
      <c r="A90" s="34" t="s">
        <v>80</v>
      </c>
      <c r="B90" s="41">
        <f>IF(965.23069="","-",965.23069)</f>
        <v>965.23069</v>
      </c>
      <c r="C90" s="41">
        <f>IF(OR(1040.17875="",965.23069=""),"-",965.23069/1040.17875*100)</f>
        <v>92.79469418116838</v>
      </c>
      <c r="D90" s="41">
        <f>IF(1040.17875="","-",1040.17875/5240739.99296*100)</f>
        <v>0.01984793657760726</v>
      </c>
      <c r="E90" s="41">
        <f>IF(965.23069="","-",965.23069/5301854.22844*100)</f>
        <v>0.018205530525949715</v>
      </c>
      <c r="F90" s="41">
        <f>IF(OR(4359960.60099="",655.0653="",1040.17875=""),"-",(1040.17875-655.0653)/4359960.60099*100)</f>
        <v>0.008832957112331561</v>
      </c>
      <c r="G90" s="41">
        <f>IF(OR(5240739.99296="",965.23069="",1040.17875=""),"-",(965.23069-1040.17875)/5240739.99296*100)</f>
        <v>-0.0014301045291443461</v>
      </c>
    </row>
    <row r="91" spans="1:7" s="9" customFormat="1" ht="15.75">
      <c r="A91" s="34" t="s">
        <v>98</v>
      </c>
      <c r="B91" s="41">
        <f>IF(953.56773="","-",953.56773)</f>
        <v>953.56773</v>
      </c>
      <c r="C91" s="41">
        <f>IF(OR(1203.04472="",953.56773=""),"-",953.56773/1203.04472*100)</f>
        <v>79.26286647099867</v>
      </c>
      <c r="D91" s="41">
        <f>IF(1203.04472="","-",1203.04472/5240739.99296*100)</f>
        <v>0.0229556269079572</v>
      </c>
      <c r="E91" s="41">
        <f>IF(953.56773="","-",953.56773/5301854.22844*100)</f>
        <v>0.017985551637480134</v>
      </c>
      <c r="F91" s="41">
        <f>IF(OR(4359960.60099="",562.2986="",1203.04472=""),"-",(1203.04472-562.2986)/4359960.60099*100)</f>
        <v>0.014696144727879154</v>
      </c>
      <c r="G91" s="41">
        <f>IF(OR(5240739.99296="",953.56773="",1203.04472=""),"-",(953.56773-1203.04472)/5240739.99296*100)</f>
        <v>-0.004760339004322442</v>
      </c>
    </row>
    <row r="92" spans="1:7" s="9" customFormat="1" ht="15.75">
      <c r="A92" s="34" t="s">
        <v>145</v>
      </c>
      <c r="B92" s="41">
        <f>IF(933.35531="","-",933.35531)</f>
        <v>933.35531</v>
      </c>
      <c r="C92" s="41">
        <f>IF(OR(1599.82487="",933.35531=""),"-",933.35531/1599.82487*100)</f>
        <v>58.34109267222482</v>
      </c>
      <c r="D92" s="41">
        <f>IF(1599.82487="","-",1599.82487/5240739.99296*100)</f>
        <v>0.03052669798824363</v>
      </c>
      <c r="E92" s="41">
        <f>IF(933.35531="","-",933.35531/5301854.22844*100)</f>
        <v>0.017604318598450554</v>
      </c>
      <c r="F92" s="41">
        <f>IF(OR(4359960.60099="",891.23016="",1599.82487=""),"-",(1599.82487-891.23016)/4359960.60099*100)</f>
        <v>0.01625231911130348</v>
      </c>
      <c r="G92" s="41">
        <f>IF(OR(5240739.99296="",933.35531="",1599.82487=""),"-",(933.35531-1599.82487)/5240739.99296*100)</f>
        <v>-0.01271708882515223</v>
      </c>
    </row>
    <row r="93" spans="1:7" s="9" customFormat="1" ht="15.75">
      <c r="A93" s="34" t="s">
        <v>160</v>
      </c>
      <c r="B93" s="41">
        <f>IF(846.75754="","-",846.75754)</f>
        <v>846.75754</v>
      </c>
      <c r="C93" s="41">
        <f>IF(OR(599.65134="",846.75754=""),"-",846.75754/599.65134*100)</f>
        <v>141.20831281724475</v>
      </c>
      <c r="D93" s="41">
        <f>IF(599.65134="","-",599.65134/5240739.99296*100)</f>
        <v>0.011442112007188386</v>
      </c>
      <c r="E93" s="41">
        <f>IF(846.75754="","-",846.75754/5301854.22844*100)</f>
        <v>0.01597096984405675</v>
      </c>
      <c r="F93" s="41">
        <f>IF(OR(4359960.60099="",797.94168="",599.65134=""),"-",(599.65134-797.94168)/4359960.60099*100)</f>
        <v>-0.004547984675709569</v>
      </c>
      <c r="G93" s="41">
        <f>IF(OR(5240739.99296="",846.75754="",599.65134=""),"-",(846.75754-599.65134)/5240739.99296*100)</f>
        <v>0.004715101308821713</v>
      </c>
    </row>
    <row r="94" spans="1:7" ht="15.75">
      <c r="A94" s="34" t="s">
        <v>95</v>
      </c>
      <c r="B94" s="41">
        <f>IF(828.87496="","-",828.87496)</f>
        <v>828.87496</v>
      </c>
      <c r="C94" s="41">
        <f>IF(OR(881.01766="",828.87496=""),"-",828.87496/881.01766*100)</f>
        <v>94.0815374801908</v>
      </c>
      <c r="D94" s="41">
        <f>IF(881.01766="","-",881.01766/5240739.99296*100)</f>
        <v>0.0168109400806659</v>
      </c>
      <c r="E94" s="41">
        <f>IF(828.87496="","-",828.87496/5301854.22844*100)</f>
        <v>0.015633680676352457</v>
      </c>
      <c r="F94" s="41">
        <f>IF(OR(4359960.60099="",865.6331="",881.01766=""),"-",(881.01766-865.6331)/4359960.60099*100)</f>
        <v>0.0003528600693434397</v>
      </c>
      <c r="G94" s="41">
        <f>IF(OR(5240739.99296="",828.87496="",881.01766=""),"-",(828.87496-881.01766)/5240739.99296*100)</f>
        <v>-0.0009949491879017926</v>
      </c>
    </row>
    <row r="95" spans="1:7" ht="15.75">
      <c r="A95" s="34" t="s">
        <v>99</v>
      </c>
      <c r="B95" s="41">
        <f>IF(745.88363="","-",745.88363)</f>
        <v>745.88363</v>
      </c>
      <c r="C95" s="41">
        <f>IF(OR(664.81322="",745.88363=""),"-",745.88363/664.81322*100)</f>
        <v>112.19446418348902</v>
      </c>
      <c r="D95" s="41">
        <f>IF(664.81322="","-",664.81322/5240739.99296*100)</f>
        <v>0.01268548374643768</v>
      </c>
      <c r="E95" s="41">
        <f>IF(745.88363="","-",745.88363/5301854.22844*100)</f>
        <v>0.014068354161813054</v>
      </c>
      <c r="F95" s="41">
        <f>IF(OR(4359960.60099="",300.29264="",664.81322=""),"-",(664.81322-300.29264)/4359960.60099*100)</f>
        <v>0.008360639312135749</v>
      </c>
      <c r="G95" s="41">
        <f>IF(OR(5240739.99296="",745.88363="",664.81322=""),"-",(745.88363-664.81322)/5240739.99296*100)</f>
        <v>0.0015469267719616635</v>
      </c>
    </row>
    <row r="96" spans="1:7" ht="15.75">
      <c r="A96" s="34" t="s">
        <v>94</v>
      </c>
      <c r="B96" s="41">
        <f>IF(735.64911="","-",735.64911)</f>
        <v>735.64911</v>
      </c>
      <c r="C96" s="41">
        <f>IF(OR(1090.80581="",735.64911=""),"-",735.64911/1090.80581*100)</f>
        <v>67.44088665974375</v>
      </c>
      <c r="D96" s="41">
        <f>IF(1090.80581="","-",1090.80581/5240739.99296*100)</f>
        <v>0.020813965422159908</v>
      </c>
      <c r="E96" s="41">
        <f>IF(735.64911="","-",735.64911/5301854.22844*100)</f>
        <v>0.013875317545583573</v>
      </c>
      <c r="F96" s="41">
        <f>IF(OR(4359960.60099="",925.10747="",1090.80581=""),"-",(1090.80581-925.10747)/4359960.60099*100)</f>
        <v>0.00380045498489999</v>
      </c>
      <c r="G96" s="41">
        <f>IF(OR(5240739.99296="",735.64911="",1090.80581=""),"-",(735.64911-1090.80581)/5240739.99296*100)</f>
        <v>-0.0067768425924027865</v>
      </c>
    </row>
    <row r="97" spans="1:7" ht="15.75">
      <c r="A97" s="34" t="s">
        <v>65</v>
      </c>
      <c r="B97" s="41">
        <f>IF(678.24416="","-",678.24416)</f>
        <v>678.24416</v>
      </c>
      <c r="C97" s="41">
        <f>IF(OR(465.19785="",678.24416=""),"-",678.24416/465.19785*100)</f>
        <v>145.79692489980337</v>
      </c>
      <c r="D97" s="41">
        <f>IF(465.19785="","-",465.19785/5240739.99296*100)</f>
        <v>0.00887656801567928</v>
      </c>
      <c r="E97" s="41">
        <f>IF(678.24416="","-",678.24416/5301854.22844*100)</f>
        <v>0.012792584080523924</v>
      </c>
      <c r="F97" s="41">
        <f>IF(OR(4359960.60099="",196.57942="",465.19785=""),"-",(465.19785-196.57942)/4359960.60099*100)</f>
        <v>0.006161028839091018</v>
      </c>
      <c r="G97" s="41">
        <f>IF(OR(5240739.99296="",678.24416="",465.19785=""),"-",(678.24416-465.19785)/5240739.99296*100)</f>
        <v>0.004065195187820607</v>
      </c>
    </row>
    <row r="98" spans="1:7" ht="15.75">
      <c r="A98" s="34" t="s">
        <v>92</v>
      </c>
      <c r="B98" s="41">
        <f>IF(457.07598="","-",457.07598)</f>
        <v>457.07598</v>
      </c>
      <c r="C98" s="41">
        <f>IF(OR(1215.09836="",457.07598=""),"-",457.07598/1215.09836*100)</f>
        <v>37.616376998484306</v>
      </c>
      <c r="D98" s="41">
        <f>IF(1215.09836="","-",1215.09836/5240739.99296*100)</f>
        <v>0.023185625725227123</v>
      </c>
      <c r="E98" s="41">
        <f>IF(457.07598="","-",457.07598/5301854.22844*100)</f>
        <v>0.008621058978728061</v>
      </c>
      <c r="F98" s="41">
        <f>IF(OR(4359960.60099="",561.79504="",1215.09836=""),"-",(1215.09836-561.79504)/4359960.60099*100)</f>
        <v>0.014984156504800911</v>
      </c>
      <c r="G98" s="41">
        <f>IF(OR(5240739.99296="",457.07598="",1215.09836=""),"-",(457.07598-1215.09836)/5240739.99296*100)</f>
        <v>-0.014464033342968127</v>
      </c>
    </row>
    <row r="99" spans="1:7" ht="15.75">
      <c r="A99" s="34" t="s">
        <v>114</v>
      </c>
      <c r="B99" s="41">
        <f>IF(453.80553="","-",453.80553)</f>
        <v>453.80553</v>
      </c>
      <c r="C99" s="41" t="s">
        <v>255</v>
      </c>
      <c r="D99" s="41">
        <f>IF(75.01705="","-",75.01705/5240739.99296*100)</f>
        <v>0.00143142094629331</v>
      </c>
      <c r="E99" s="41">
        <f>IF(453.80553="","-",453.80553/5301854.22844*100)</f>
        <v>0.008559373955732582</v>
      </c>
      <c r="F99" s="41">
        <f>IF(OR(4359960.60099="",0.03953="",75.01705=""),"-",(75.01705-0.03953)/4359960.60099*100)</f>
        <v>0.0017196834297762951</v>
      </c>
      <c r="G99" s="41">
        <f>IF(OR(5240739.99296="",453.80553="",75.01705=""),"-",(453.80553-75.01705)/5240739.99296*100)</f>
        <v>0.007227767080771699</v>
      </c>
    </row>
    <row r="100" spans="1:7" ht="15.75">
      <c r="A100" s="34" t="s">
        <v>104</v>
      </c>
      <c r="B100" s="41">
        <f>IF(413.81226="","-",413.81226)</f>
        <v>413.81226</v>
      </c>
      <c r="C100" s="41">
        <f>IF(OR(637.68884="",413.81226=""),"-",413.81226/637.68884*100)</f>
        <v>64.89250462655109</v>
      </c>
      <c r="D100" s="41">
        <f>IF(637.68884="","-",637.68884/5240739.99296*100)</f>
        <v>0.012167915997676306</v>
      </c>
      <c r="E100" s="41">
        <f>IF(413.81226="","-",413.81226/5301854.22844*100)</f>
        <v>0.00780504786005327</v>
      </c>
      <c r="F100" s="41">
        <f>IF(OR(4359960.60099="",501.0019="",637.68884=""),"-",(637.68884-501.0019)/4359960.60099*100)</f>
        <v>0.003135049889417878</v>
      </c>
      <c r="G100" s="41">
        <f>IF(OR(5240739.99296="",413.81226="",637.68884=""),"-",(413.81226-637.68884)/5240739.99296*100)</f>
        <v>-0.00427185054592936</v>
      </c>
    </row>
    <row r="101" spans="1:7" ht="15.75">
      <c r="A101" s="34" t="s">
        <v>96</v>
      </c>
      <c r="B101" s="41">
        <f>IF(385.09815="","-",385.09815)</f>
        <v>385.09815</v>
      </c>
      <c r="C101" s="41">
        <f>IF(OR(538.27567="",385.09815=""),"-",385.09815/538.27567*100)</f>
        <v>71.54292335003734</v>
      </c>
      <c r="D101" s="41">
        <f>IF(538.27567="","-",538.27567/5240739.99296*100)</f>
        <v>0.010270985981427764</v>
      </c>
      <c r="E101" s="41">
        <f>IF(385.09815="","-",385.09815/5301854.22844*100)</f>
        <v>0.007263461675997645</v>
      </c>
      <c r="F101" s="41">
        <f>IF(OR(4359960.60099="",544.40302="",538.27567=""),"-",(538.27567-544.40302)/4359960.60099*100)</f>
        <v>-0.00014053682041550246</v>
      </c>
      <c r="G101" s="41">
        <f>IF(OR(5240739.99296="",385.09815="",538.27567=""),"-",(385.09815-538.27567)/5240739.99296*100)</f>
        <v>-0.0029228223534418173</v>
      </c>
    </row>
    <row r="102" spans="1:7" ht="15.75">
      <c r="A102" s="34" t="s">
        <v>180</v>
      </c>
      <c r="B102" s="41">
        <f>IF(343.15721="","-",343.15721)</f>
        <v>343.15721</v>
      </c>
      <c r="C102" s="41" t="s">
        <v>179</v>
      </c>
      <c r="D102" s="41">
        <f>IF(130.8388="","-",130.8388/5240739.99296*100)</f>
        <v>0.0024965710982754073</v>
      </c>
      <c r="E102" s="41">
        <f>IF(343.15721="","-",343.15721/5301854.22844*100)</f>
        <v>0.006472399941877872</v>
      </c>
      <c r="F102" s="41">
        <f>IF(OR(4359960.60099="",13.39834="",130.8388=""),"-",(130.8388-13.39834)/4359960.60099*100)</f>
        <v>0.0026936128728625025</v>
      </c>
      <c r="G102" s="41">
        <f>IF(OR(5240739.99296="",343.15721="",130.8388=""),"-",(343.15721-130.8388)/5240739.99296*100)</f>
        <v>0.004051305927888275</v>
      </c>
    </row>
    <row r="103" spans="1:7" ht="15.75">
      <c r="A103" s="34" t="s">
        <v>61</v>
      </c>
      <c r="B103" s="41">
        <f>IF(308.11923="","-",308.11923)</f>
        <v>308.11923</v>
      </c>
      <c r="C103" s="41">
        <f>IF(OR(481.75588="",308.11923=""),"-",308.11923/481.75588*100)</f>
        <v>63.95754422343533</v>
      </c>
      <c r="D103" s="41">
        <f>IF(481.75588="","-",481.75588/5240739.99296*100)</f>
        <v>0.009192516336379082</v>
      </c>
      <c r="E103" s="41">
        <f>IF(308.11923="","-",308.11923/5301854.22844*100)</f>
        <v>0.005811537185371843</v>
      </c>
      <c r="F103" s="41">
        <f>IF(OR(4359960.60099="",570.71835="",481.75588=""),"-",(481.75588-570.71835)/4359960.60099*100)</f>
        <v>-0.0020404420622470673</v>
      </c>
      <c r="G103" s="41">
        <f>IF(OR(5240739.99296="",308.11923="",481.75588=""),"-",(308.11923-481.75588)/5240739.99296*100)</f>
        <v>-0.0033132086352929135</v>
      </c>
    </row>
    <row r="104" spans="1:7" ht="15.75">
      <c r="A104" s="34" t="s">
        <v>153</v>
      </c>
      <c r="B104" s="41">
        <f>IF(275.70553="","-",275.70553)</f>
        <v>275.70553</v>
      </c>
      <c r="C104" s="41">
        <f>IF(OR(244.3242="",275.70553=""),"-",275.70553/244.3242*100)</f>
        <v>112.84413496493595</v>
      </c>
      <c r="D104" s="41">
        <f>IF(244.3242="","-",244.3242/5240739.99296*100)</f>
        <v>0.004662017202307422</v>
      </c>
      <c r="E104" s="41">
        <f>IF(275.70553="","-",275.70553/5301854.22844*100)</f>
        <v>0.005200171828962614</v>
      </c>
      <c r="F104" s="41">
        <f>IF(OR(4359960.60099="",491.02211="",244.3242=""),"-",(244.3242-491.02211)/4359960.60099*100)</f>
        <v>-0.005658260075652592</v>
      </c>
      <c r="G104" s="41">
        <f>IF(OR(5240739.99296="",275.70553="",244.3242=""),"-",(275.70553-244.3242)/5240739.99296*100)</f>
        <v>0.0005987957815528959</v>
      </c>
    </row>
    <row r="105" spans="1:7" ht="15.75">
      <c r="A105" s="34" t="s">
        <v>109</v>
      </c>
      <c r="B105" s="41">
        <f>IF(273.72948="","-",273.72948)</f>
        <v>273.72948</v>
      </c>
      <c r="C105" s="41" t="s">
        <v>254</v>
      </c>
      <c r="D105" s="41">
        <f>IF(56.54058="","-",56.54058/5240739.99296*100)</f>
        <v>0.001078866344751928</v>
      </c>
      <c r="E105" s="41">
        <f>IF(273.72948="","-",273.72948/5301854.22844*100)</f>
        <v>0.0051629009060956636</v>
      </c>
      <c r="F105" s="41">
        <f>IF(OR(4359960.60099="",71.08758="",56.54058=""),"-",(56.54058-71.08758)/4359960.60099*100)</f>
        <v>-0.0003336498040073314</v>
      </c>
      <c r="G105" s="41">
        <f>IF(OR(5240739.99296="",273.72948="",56.54058=""),"-",(273.72948-56.54058)/5240739.99296*100)</f>
        <v>0.004144241086025152</v>
      </c>
    </row>
    <row r="106" spans="1:7" ht="15.75">
      <c r="A106" s="34" t="s">
        <v>147</v>
      </c>
      <c r="B106" s="41">
        <f>IF(216.44155="","-",216.44155)</f>
        <v>216.44155</v>
      </c>
      <c r="C106" s="41">
        <f>IF(OR(190.71019="",216.44155=""),"-",216.44155/190.71019*100)</f>
        <v>113.49238863429375</v>
      </c>
      <c r="D106" s="41">
        <f>IF(190.71019="","-",190.71019/5240739.99296*100)</f>
        <v>0.0036389935439686983</v>
      </c>
      <c r="E106" s="41">
        <f>IF(216.44155="","-",216.44155/5301854.22844*100)</f>
        <v>0.004082374593382306</v>
      </c>
      <c r="F106" s="41">
        <f>IF(OR(4359960.60099="",102.35422="",190.71019=""),"-",(190.71019-102.35422)/4359960.60099*100)</f>
        <v>0.002026531386084942</v>
      </c>
      <c r="G106" s="41">
        <f>IF(OR(5240739.99296="",216.44155="",190.71019=""),"-",(216.44155-190.71019)/5240739.99296*100)</f>
        <v>0.0004909871513291155</v>
      </c>
    </row>
    <row r="107" spans="1:7" ht="15.75">
      <c r="A107" s="34" t="s">
        <v>146</v>
      </c>
      <c r="B107" s="41">
        <f>IF(152.5251="","-",152.5251)</f>
        <v>152.5251</v>
      </c>
      <c r="C107" s="41" t="s">
        <v>288</v>
      </c>
      <c r="D107" s="41">
        <f>IF(48.586="","-",48.586/5240739.99296*100)</f>
        <v>0.0009270828177941784</v>
      </c>
      <c r="E107" s="41">
        <f>IF(152.5251="","-",152.5251/5301854.22844*100)</f>
        <v>0.002876825605310512</v>
      </c>
      <c r="F107" s="41">
        <f>IF(OR(4359960.60099="",12.88068="",48.586=""),"-",(48.586-12.88068)/4359960.60099*100)</f>
        <v>0.0008189367580957618</v>
      </c>
      <c r="G107" s="41">
        <f>IF(OR(5240739.99296="",152.5251="",48.586=""),"-",(152.5251-48.586)/5240739.99296*100)</f>
        <v>0.00198329053033777</v>
      </c>
    </row>
    <row r="108" spans="1:7" ht="15.75">
      <c r="A108" s="34" t="s">
        <v>154</v>
      </c>
      <c r="B108" s="41">
        <f>IF(146.47599="","-",146.47599)</f>
        <v>146.47599</v>
      </c>
      <c r="C108" s="41">
        <f>IF(OR(103.87099="",146.47599=""),"-",146.47599/103.87099*100)</f>
        <v>141.01722723543887</v>
      </c>
      <c r="D108" s="41">
        <f>IF(103.87099="","-",103.87099/5240739.99296*100)</f>
        <v>0.0019819909047106357</v>
      </c>
      <c r="E108" s="41">
        <f>IF(146.47599="","-",146.47599/5301854.22844*100)</f>
        <v>0.002762731370739678</v>
      </c>
      <c r="F108" s="41">
        <f>IF(OR(4359960.60099="",229.76061="",103.87099=""),"-",(103.87099-229.76061)/4359960.60099*100)</f>
        <v>-0.00288740269743297</v>
      </c>
      <c r="G108" s="41">
        <f>IF(OR(5240739.99296="",146.47599="",103.87099=""),"-",(146.47599-103.87099)/5240739.99296*100)</f>
        <v>0.000812957713170892</v>
      </c>
    </row>
    <row r="109" spans="1:7" ht="15.75">
      <c r="A109" s="34" t="s">
        <v>287</v>
      </c>
      <c r="B109" s="41">
        <f>IF(136.59589="","-",136.59589)</f>
        <v>136.59589</v>
      </c>
      <c r="C109" s="41" t="s">
        <v>175</v>
      </c>
      <c r="D109" s="41">
        <f>IF(73.45063="","-",73.45063/5240739.99296*100)</f>
        <v>0.0014015316558094436</v>
      </c>
      <c r="E109" s="41">
        <f>IF(136.59589="","-",136.59589/5301854.22844*100)</f>
        <v>0.0025763795856037996</v>
      </c>
      <c r="F109" s="41">
        <f>IF(OR(4359960.60099="",64.49442="",73.45063=""),"-",(73.45063-64.49442)/4359960.60099*100)</f>
        <v>0.00020541951681779752</v>
      </c>
      <c r="G109" s="41">
        <f>IF(OR(5240739.99296="",136.59589="",73.45063=""),"-",(136.59589-73.45063)/5240739.99296*100)</f>
        <v>0.0012048920588471168</v>
      </c>
    </row>
    <row r="110" spans="1:7" ht="15.75">
      <c r="A110" s="34" t="s">
        <v>188</v>
      </c>
      <c r="B110" s="41">
        <f>IF(122.97858="","-",122.97858)</f>
        <v>122.97858</v>
      </c>
      <c r="C110" s="41" t="s">
        <v>193</v>
      </c>
      <c r="D110" s="41">
        <f>IF(37.84026="","-",37.84026/5240739.99296*100)</f>
        <v>0.0007220403998449006</v>
      </c>
      <c r="E110" s="41">
        <f>IF(122.97858="","-",122.97858/5301854.22844*100)</f>
        <v>0.002319539065037343</v>
      </c>
      <c r="F110" s="41">
        <f>IF(OR(4359960.60099="",24.08179="",37.84026=""),"-",(37.84026-24.08179)/4359960.60099*100)</f>
        <v>0.00031556409011760137</v>
      </c>
      <c r="G110" s="41">
        <f>IF(OR(5240739.99296="",122.97858="",37.84026=""),"-",(122.97858-37.84026)/5240739.99296*100)</f>
        <v>0.0016245476805635873</v>
      </c>
    </row>
    <row r="111" spans="1:7" ht="15.75">
      <c r="A111" s="34" t="s">
        <v>171</v>
      </c>
      <c r="B111" s="41">
        <f>IF(122.78442="","-",122.78442)</f>
        <v>122.78442</v>
      </c>
      <c r="C111" s="41">
        <f>IF(OR(396.72142="",122.78442=""),"-",122.78442/396.72142*100)</f>
        <v>30.949783351753478</v>
      </c>
      <c r="D111" s="41">
        <f>IF(396.72142="","-",396.72142/5240739.99296*100)</f>
        <v>0.007569950437016996</v>
      </c>
      <c r="E111" s="41">
        <f>IF(122.78442="","-",122.78442/5301854.22844*100)</f>
        <v>0.0023158769500180635</v>
      </c>
      <c r="F111" s="41">
        <f>IF(OR(4359960.60099="",34.10485="",396.72142=""),"-",(396.72142-34.10485)/4359960.60099*100)</f>
        <v>0.008316968963381506</v>
      </c>
      <c r="G111" s="41">
        <f>IF(OR(5240739.99296="",122.78442="",396.72142=""),"-",(122.78442-396.72142)/5240739.99296*100)</f>
        <v>-0.00522706717692512</v>
      </c>
    </row>
    <row r="112" spans="1:7" ht="15.75">
      <c r="A112" s="34" t="s">
        <v>182</v>
      </c>
      <c r="B112" s="41">
        <f>IF(120.10992="","-",120.10992)</f>
        <v>120.10992</v>
      </c>
      <c r="C112" s="41">
        <f>IF(OR(100.40752="",120.10992=""),"-",120.10992/100.40752*100)</f>
        <v>119.62243465429681</v>
      </c>
      <c r="D112" s="41">
        <f>IF(100.40752="","-",100.40752/5240739.99296*100)</f>
        <v>0.0019159034818533186</v>
      </c>
      <c r="E112" s="41">
        <f>IF(120.10992="","-",120.10992/5301854.22844*100)</f>
        <v>0.002265432334139084</v>
      </c>
      <c r="F112" s="41">
        <f>IF(OR(4359960.60099="",50.9012="",100.40752=""),"-",(100.40752-50.9012)/4359960.60099*100)</f>
        <v>0.0011354763157437428</v>
      </c>
      <c r="G112" s="41">
        <f>IF(OR(5240739.99296="",120.10992="",100.40752=""),"-",(120.10992-100.40752)/5240739.99296*100)</f>
        <v>0.0003759469087660647</v>
      </c>
    </row>
    <row r="113" spans="1:7" ht="15.75">
      <c r="A113" s="34" t="s">
        <v>184</v>
      </c>
      <c r="B113" s="41">
        <f>IF(113.67135="","-",113.67135)</f>
        <v>113.67135</v>
      </c>
      <c r="C113" s="41" t="s">
        <v>254</v>
      </c>
      <c r="D113" s="41">
        <f>IF(23.78729="","-",23.78729/5240739.99296*100)</f>
        <v>0.00045389181741421975</v>
      </c>
      <c r="E113" s="41">
        <f>IF(113.67135="","-",113.67135/5301854.22844*100)</f>
        <v>0.002143992367618268</v>
      </c>
      <c r="F113" s="41">
        <f>IF(OR(4359960.60099="",163.74649="",23.78729=""),"-",(23.78729-163.74649)/4359960.60099*100)</f>
        <v>-0.003210102402490059</v>
      </c>
      <c r="G113" s="41">
        <f>IF(OR(5240739.99296="",113.67135="",23.78729=""),"-",(113.67135-23.78729)/5240739.99296*100)</f>
        <v>0.0017151024496682378</v>
      </c>
    </row>
    <row r="114" spans="1:7" ht="15.75">
      <c r="A114" s="34" t="s">
        <v>181</v>
      </c>
      <c r="B114" s="41">
        <f>IF(106.91739="","-",106.91739)</f>
        <v>106.91739</v>
      </c>
      <c r="C114" s="41">
        <f>IF(OR(117.43586="",106.91739=""),"-",106.91739/117.43586*100)</f>
        <v>91.04322138059021</v>
      </c>
      <c r="D114" s="41">
        <f>IF(117.43586="","-",117.43586/5240739.99296*100)</f>
        <v>0.002240825916907806</v>
      </c>
      <c r="E114" s="41">
        <f>IF(106.91739="","-",106.91739/5301854.22844*100)</f>
        <v>0.00201660372755022</v>
      </c>
      <c r="F114" s="41">
        <f>IF(OR(4359960.60099="",92.76142="",117.43586=""),"-",(117.43586-92.76142)/4359960.60099*100)</f>
        <v>0.0005659326369691797</v>
      </c>
      <c r="G114" s="41">
        <f>IF(OR(5240739.99296="",106.91739="",117.43586=""),"-",(106.91739-117.43586)/5240739.99296*100)</f>
        <v>-0.00020070581662379162</v>
      </c>
    </row>
    <row r="115" spans="1:7" ht="15.75">
      <c r="A115" s="34" t="s">
        <v>187</v>
      </c>
      <c r="B115" s="41">
        <f>IF(106.86309="","-",106.86309)</f>
        <v>106.86309</v>
      </c>
      <c r="C115" s="41">
        <f>IF(OR(264.01081="",106.86309=""),"-",106.86309/264.01081*100)</f>
        <v>40.476785780097416</v>
      </c>
      <c r="D115" s="41">
        <f>IF(264.01081="","-",264.01081/5240739.99296*100)</f>
        <v>0.005037662817744278</v>
      </c>
      <c r="E115" s="41">
        <f>IF(106.86309="","-",106.86309/5301854.22844*100)</f>
        <v>0.0020155795575587344</v>
      </c>
      <c r="F115" s="41">
        <f>IF(OR(4359960.60099="",45.14169="",264.01081=""),"-",(264.01081-45.14169)/4359960.60099*100)</f>
        <v>0.005019979307847465</v>
      </c>
      <c r="G115" s="41">
        <f>IF(OR(5240739.99296="",106.86309="",264.01081=""),"-",(106.86309-264.01081)/5240739.99296*100)</f>
        <v>-0.002998578830682307</v>
      </c>
    </row>
    <row r="116" spans="1:7" ht="15.75">
      <c r="A116" s="44" t="s">
        <v>185</v>
      </c>
      <c r="B116" s="45">
        <f>IF(97.93581="","-",97.93581)</f>
        <v>97.93581</v>
      </c>
      <c r="C116" s="45">
        <f>IF(OR(88.32248="",97.93581=""),"-",97.93581/88.32248*100)</f>
        <v>110.8843524321328</v>
      </c>
      <c r="D116" s="45">
        <f>IF(88.32248="","-",88.32248/5240739.99296*100)</f>
        <v>0.0016853055125544388</v>
      </c>
      <c r="E116" s="45">
        <f>IF(97.93581="","-",97.93581/5301854.22844*100)</f>
        <v>0.001847199220881188</v>
      </c>
      <c r="F116" s="45">
        <f>IF(OR(4359960.60099="",88.21212="",88.32248=""),"-",(88.32248-88.21212)/4359960.60099*100)</f>
        <v>2.531215533804158E-06</v>
      </c>
      <c r="G116" s="45">
        <f>IF(OR(5240739.99296="",97.93581="",88.32248=""),"-",(97.93581-88.32248)/5240739.99296*100)</f>
        <v>0.0001834345915445872</v>
      </c>
    </row>
    <row r="117" ht="15.75">
      <c r="A117" s="30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4"/>
  <sheetViews>
    <sheetView zoomScale="95" zoomScaleNormal="95" zoomScalePageLayoutView="0" workbookViewId="0" topLeftCell="A1">
      <selection activeCell="L51" sqref="L51"/>
    </sheetView>
  </sheetViews>
  <sheetFormatPr defaultColWidth="9.00390625" defaultRowHeight="15.75"/>
  <cols>
    <col min="1" max="1" width="41.625" style="0" customWidth="1"/>
    <col min="2" max="2" width="15.375" style="0" customWidth="1"/>
    <col min="3" max="3" width="15.125" style="0" customWidth="1"/>
    <col min="4" max="4" width="17.25390625" style="0" customWidth="1"/>
  </cols>
  <sheetData>
    <row r="1" spans="1:4" ht="15.75">
      <c r="A1" s="72" t="s">
        <v>125</v>
      </c>
      <c r="B1" s="72"/>
      <c r="C1" s="72"/>
      <c r="D1" s="72"/>
    </row>
    <row r="2" ht="15.75">
      <c r="A2" s="4"/>
    </row>
    <row r="3" spans="1:4" ht="36" customHeight="1">
      <c r="A3" s="73"/>
      <c r="B3" s="71" t="s">
        <v>274</v>
      </c>
      <c r="C3" s="71"/>
      <c r="D3" s="75" t="s">
        <v>275</v>
      </c>
    </row>
    <row r="4" spans="1:4" ht="21" customHeight="1">
      <c r="A4" s="74"/>
      <c r="B4" s="19">
        <v>2018</v>
      </c>
      <c r="C4" s="18">
        <v>2019</v>
      </c>
      <c r="D4" s="76"/>
    </row>
    <row r="5" spans="1:4" ht="17.25" customHeight="1">
      <c r="A5" s="50" t="s">
        <v>152</v>
      </c>
      <c r="B5" s="37">
        <f>IF(-2753394.39583="","-",-2753394.39583)</f>
        <v>-2753394.39583</v>
      </c>
      <c r="C5" s="37">
        <f>IF(-2740871.56925="","-",-2740871.56925)</f>
        <v>-2740871.56925</v>
      </c>
      <c r="D5" s="37">
        <f>IF(-2753394.39583="","-",-2740871.56925/-2753394.39583*100)</f>
        <v>99.54518587678666</v>
      </c>
    </row>
    <row r="6" spans="1:4" ht="15.75">
      <c r="A6" s="52" t="s">
        <v>155</v>
      </c>
      <c r="B6" s="24"/>
      <c r="C6" s="24"/>
      <c r="D6" s="24"/>
    </row>
    <row r="7" spans="1:4" ht="15.75">
      <c r="A7" s="39" t="s">
        <v>265</v>
      </c>
      <c r="B7" s="40">
        <f>IF(-887488.01306="","-",-887488.01306)</f>
        <v>-887488.01306</v>
      </c>
      <c r="C7" s="40">
        <f>IF(-958363.36598="","-",-958363.36598)</f>
        <v>-958363.36598</v>
      </c>
      <c r="D7" s="40">
        <f>IF(-887488.01306="","-",-958363.36598/-887488.01306*100)</f>
        <v>107.98606312164448</v>
      </c>
    </row>
    <row r="8" spans="1:4" ht="15.75">
      <c r="A8" s="34" t="s">
        <v>4</v>
      </c>
      <c r="B8" s="41">
        <f>IF(-234142.97754="","-",-234142.97754)</f>
        <v>-234142.97754</v>
      </c>
      <c r="C8" s="41">
        <f>IF(-211913.01192="","-",-211913.01192)</f>
        <v>-211913.01192</v>
      </c>
      <c r="D8" s="41">
        <f>IF(OR(-234142.97754="",-211913.01192="",-234142.97754=0),"-",-211913.01192/-234142.97754*100)</f>
        <v>90.50581578249457</v>
      </c>
    </row>
    <row r="9" spans="1:4" ht="15.75">
      <c r="A9" s="34" t="s">
        <v>3</v>
      </c>
      <c r="B9" s="41">
        <f>IF(-67853.1426="","-",-67853.1426)</f>
        <v>-67853.1426</v>
      </c>
      <c r="C9" s="41">
        <f>IF(-129924.2012="","-",-129924.2012)</f>
        <v>-129924.2012</v>
      </c>
      <c r="D9" s="41" t="s">
        <v>175</v>
      </c>
    </row>
    <row r="10" spans="1:4" ht="15.75">
      <c r="A10" s="34" t="s">
        <v>156</v>
      </c>
      <c r="B10" s="41">
        <f>IF(-76850.3423="","-",-76850.3423)</f>
        <v>-76850.3423</v>
      </c>
      <c r="C10" s="41">
        <f>IF(-103906.4247="","-",-103906.4247)</f>
        <v>-103906.4247</v>
      </c>
      <c r="D10" s="41">
        <f>IF(OR(-76850.3423="",-103906.4247="",-76850.3423=0),"-",-103906.4247/-76850.3423*100)</f>
        <v>135.20619634247225</v>
      </c>
    </row>
    <row r="11" spans="1:4" ht="15.75">
      <c r="A11" s="34" t="s">
        <v>43</v>
      </c>
      <c r="B11" s="41">
        <f>IF(-95104.07876="","-",-95104.07876)</f>
        <v>-95104.07876</v>
      </c>
      <c r="C11" s="41">
        <f>IF(-91851.33501="","-",-91851.33501)</f>
        <v>-91851.33501</v>
      </c>
      <c r="D11" s="41">
        <f>IF(OR(-95104.07876="",-91851.33501="",-95104.07876=0),"-",-91851.33501/-95104.07876*100)</f>
        <v>96.57980625814328</v>
      </c>
    </row>
    <row r="12" spans="1:4" ht="15.75">
      <c r="A12" s="34" t="s">
        <v>5</v>
      </c>
      <c r="B12" s="41">
        <f>IF(-93074.32917="","-",-93074.32917)</f>
        <v>-93074.32917</v>
      </c>
      <c r="C12" s="41">
        <f>IF(-77961.9425="","-",-77961.9425)</f>
        <v>-77961.9425</v>
      </c>
      <c r="D12" s="41">
        <f>IF(OR(-93074.32917="",-77961.9425="",-93074.32917=0),"-",-77961.9425/-93074.32917*100)</f>
        <v>83.76309901476995</v>
      </c>
    </row>
    <row r="13" spans="1:4" ht="15.75">
      <c r="A13" s="34" t="s">
        <v>2</v>
      </c>
      <c r="B13" s="41">
        <f>IF(-44370.65603="","-",-44370.65603)</f>
        <v>-44370.65603</v>
      </c>
      <c r="C13" s="41">
        <f>IF(-58782.14084="","-",-58782.14084)</f>
        <v>-58782.14084</v>
      </c>
      <c r="D13" s="41">
        <f>IF(OR(-44370.65603="",-58782.14084="",-44370.65603=0),"-",-58782.14084/-44370.65603*100)</f>
        <v>132.4797650056291</v>
      </c>
    </row>
    <row r="14" spans="1:4" ht="15.75">
      <c r="A14" s="34" t="s">
        <v>8</v>
      </c>
      <c r="B14" s="41">
        <f>IF(-60275.74763="","-",-60275.74763)</f>
        <v>-60275.74763</v>
      </c>
      <c r="C14" s="41">
        <f>IF(-56944.43637="","-",-56944.43637)</f>
        <v>-56944.43637</v>
      </c>
      <c r="D14" s="41">
        <f>IF(OR(-60275.74763="",-56944.43637="",-60275.74763=0),"-",-56944.43637/-60275.74763*100)</f>
        <v>94.47321453323299</v>
      </c>
    </row>
    <row r="15" spans="1:4" ht="15.75">
      <c r="A15" s="34" t="s">
        <v>7</v>
      </c>
      <c r="B15" s="41">
        <f>IF(-39638.92944="","-",-39638.92944)</f>
        <v>-39638.92944</v>
      </c>
      <c r="C15" s="41">
        <f>IF(-46007.88686="","-",-46007.88686)</f>
        <v>-46007.88686</v>
      </c>
      <c r="D15" s="41">
        <f>IF(OR(-39638.92944="",-46007.88686="",-39638.92944=0),"-",-46007.88686/-39638.92944*100)</f>
        <v>116.0674304527837</v>
      </c>
    </row>
    <row r="16" spans="1:4" ht="15.75">
      <c r="A16" s="34" t="s">
        <v>41</v>
      </c>
      <c r="B16" s="41">
        <f>IF(-44211.01193="","-",-44211.01193)</f>
        <v>-44211.01193</v>
      </c>
      <c r="C16" s="41">
        <f>IF(-40155.76756="","-",-40155.76756)</f>
        <v>-40155.76756</v>
      </c>
      <c r="D16" s="41">
        <f>IF(OR(-44211.01193="",-40155.76756="",-44211.01193=0),"-",-40155.76756/-44211.01193*100)</f>
        <v>90.82752420048486</v>
      </c>
    </row>
    <row r="17" spans="1:4" ht="15.75">
      <c r="A17" s="34" t="s">
        <v>42</v>
      </c>
      <c r="B17" s="41">
        <f>IF(-28092.26475="","-",-28092.26475)</f>
        <v>-28092.26475</v>
      </c>
      <c r="C17" s="41">
        <f>IF(-25316.09542="","-",-25316.09542)</f>
        <v>-25316.09542</v>
      </c>
      <c r="D17" s="41">
        <f>IF(OR(-28092.26475="",-25316.09542="",-28092.26475=0),"-",-25316.09542/-28092.26475*100)</f>
        <v>90.11767347807016</v>
      </c>
    </row>
    <row r="18" spans="1:4" ht="15.75">
      <c r="A18" s="34" t="s">
        <v>51</v>
      </c>
      <c r="B18" s="41">
        <f>IF(-22859.63892="","-",-22859.63892)</f>
        <v>-22859.63892</v>
      </c>
      <c r="C18" s="41">
        <f>IF(-22734.01691="","-",-22734.01691)</f>
        <v>-22734.01691</v>
      </c>
      <c r="D18" s="41">
        <f>IF(OR(-22859.63892="",-22734.01691="",-22859.63892=0),"-",-22734.01691/-22859.63892*100)</f>
        <v>99.4504637171233</v>
      </c>
    </row>
    <row r="19" spans="1:4" ht="15.75">
      <c r="A19" s="34" t="s">
        <v>53</v>
      </c>
      <c r="B19" s="41">
        <f>IF(-20967.38357="","-",-20967.38357)</f>
        <v>-20967.38357</v>
      </c>
      <c r="C19" s="41">
        <f>IF(-21108.88518="","-",-21108.88518)</f>
        <v>-21108.88518</v>
      </c>
      <c r="D19" s="41">
        <f>IF(OR(-20967.38357="",-21108.88518="",-20967.38357=0),"-",-21108.88518/-20967.38357*100)</f>
        <v>100.67486536661856</v>
      </c>
    </row>
    <row r="20" spans="1:4" ht="15.75">
      <c r="A20" s="34" t="s">
        <v>45</v>
      </c>
      <c r="B20" s="41">
        <f>IF(-13344.58033="","-",-13344.58033)</f>
        <v>-13344.58033</v>
      </c>
      <c r="C20" s="41">
        <f>IF(-18910.91682="","-",-18910.91682)</f>
        <v>-18910.91682</v>
      </c>
      <c r="D20" s="41">
        <f>IF(OR(-13344.58033="",-18910.91682="",-13344.58033=0),"-",-18910.91682/-13344.58033*100)</f>
        <v>141.712338285276</v>
      </c>
    </row>
    <row r="21" spans="1:4" ht="15.75">
      <c r="A21" s="34" t="s">
        <v>10</v>
      </c>
      <c r="B21" s="41">
        <f>IF(-19626.49051="","-",-19626.49051)</f>
        <v>-19626.49051</v>
      </c>
      <c r="C21" s="41">
        <f>IF(-16948.30134="","-",-16948.30134)</f>
        <v>-16948.30134</v>
      </c>
      <c r="D21" s="41">
        <f>IF(OR(-19626.49051="",-16948.30134="",-19626.49051=0),"-",-16948.30134/-19626.49051*100)</f>
        <v>86.35421259529095</v>
      </c>
    </row>
    <row r="22" spans="1:4" ht="15.75">
      <c r="A22" s="34" t="s">
        <v>50</v>
      </c>
      <c r="B22" s="41">
        <f>IF(-11756.32196="","-",-11756.32196)</f>
        <v>-11756.32196</v>
      </c>
      <c r="C22" s="41">
        <f>IF(-11525.63274="","-",-11525.63274)</f>
        <v>-11525.63274</v>
      </c>
      <c r="D22" s="41">
        <f>IF(OR(-11756.32196="",-11525.63274="",-11756.32196=0),"-",-11525.63274/-11756.32196*100)</f>
        <v>98.03774326030792</v>
      </c>
    </row>
    <row r="23" spans="1:4" ht="15.75">
      <c r="A23" s="34" t="s">
        <v>49</v>
      </c>
      <c r="B23" s="41">
        <f>IF(-12761.23702="","-",-12761.23702)</f>
        <v>-12761.23702</v>
      </c>
      <c r="C23" s="41">
        <f>IF(-10735.80729="","-",-10735.80729)</f>
        <v>-10735.80729</v>
      </c>
      <c r="D23" s="41">
        <f>IF(OR(-12761.23702="",-10735.80729="",-12761.23702=0),"-",-10735.80729/-12761.23702*100)</f>
        <v>84.1282649415127</v>
      </c>
    </row>
    <row r="24" spans="1:4" ht="15.75">
      <c r="A24" s="34" t="s">
        <v>52</v>
      </c>
      <c r="B24" s="41">
        <f>IF(-6259.57408="","-",-6259.57408)</f>
        <v>-6259.57408</v>
      </c>
      <c r="C24" s="41">
        <f>IF(-10191.49992="","-",-10191.49992)</f>
        <v>-10191.49992</v>
      </c>
      <c r="D24" s="41" t="s">
        <v>107</v>
      </c>
    </row>
    <row r="25" spans="1:4" ht="15.75">
      <c r="A25" s="34" t="s">
        <v>54</v>
      </c>
      <c r="B25" s="41">
        <f>IF(-5765.48326="","-",-5765.48326)</f>
        <v>-5765.48326</v>
      </c>
      <c r="C25" s="41">
        <f>IF(-6858.0944="","-",-6858.0944)</f>
        <v>-6858.0944</v>
      </c>
      <c r="D25" s="41">
        <f>IF(OR(-5765.48326="",-6858.0944="",-5765.48326=0),"-",-6858.0944/-5765.48326*100)</f>
        <v>118.95090299854587</v>
      </c>
    </row>
    <row r="26" spans="1:4" ht="15.75">
      <c r="A26" s="34" t="s">
        <v>157</v>
      </c>
      <c r="B26" s="41">
        <f>IF(19839.55576="","-",19839.55576)</f>
        <v>19839.55576</v>
      </c>
      <c r="C26" s="41">
        <f>IF(-6376.4607="","-",-6376.4607)</f>
        <v>-6376.4607</v>
      </c>
      <c r="D26" s="41" t="s">
        <v>22</v>
      </c>
    </row>
    <row r="27" spans="1:4" ht="15.75">
      <c r="A27" s="34" t="s">
        <v>44</v>
      </c>
      <c r="B27" s="41">
        <f>IF(-4370.09357="","-",-4370.09357)</f>
        <v>-4370.09357</v>
      </c>
      <c r="C27" s="41">
        <f>IF(-6261.3845="","-",-6261.3845)</f>
        <v>-6261.3845</v>
      </c>
      <c r="D27" s="41">
        <f>IF(OR(-4370.09357="",-6261.3845="",-4370.09357=0),"-",-6261.3845/-4370.09357*100)</f>
        <v>143.2780419848081</v>
      </c>
    </row>
    <row r="28" spans="1:4" ht="15.75">
      <c r="A28" s="34" t="s">
        <v>158</v>
      </c>
      <c r="B28" s="41">
        <f>IF(-2009.47141="","-",-2009.47141)</f>
        <v>-2009.47141</v>
      </c>
      <c r="C28" s="41">
        <f>IF(-4282.28781="","-",-4282.28781)</f>
        <v>-4282.28781</v>
      </c>
      <c r="D28" s="41" t="s">
        <v>186</v>
      </c>
    </row>
    <row r="29" spans="1:4" ht="15.75">
      <c r="A29" s="34" t="s">
        <v>46</v>
      </c>
      <c r="B29" s="41">
        <f>IF(-5605.44861="","-",-5605.44861)</f>
        <v>-5605.44861</v>
      </c>
      <c r="C29" s="41">
        <f>IF(-3182.75882="","-",-3182.75882)</f>
        <v>-3182.75882</v>
      </c>
      <c r="D29" s="41">
        <f>IF(OR(-5605.44861="",-3182.75882="",-5605.44861=0),"-",-3182.75882/-5605.44861*100)</f>
        <v>56.7797341736757</v>
      </c>
    </row>
    <row r="30" spans="1:4" ht="15.75">
      <c r="A30" s="34" t="s">
        <v>55</v>
      </c>
      <c r="B30" s="41">
        <f>IF(-840.53712="","-",-840.53712)</f>
        <v>-840.53712</v>
      </c>
      <c r="C30" s="41">
        <f>IF(-1800.15952="","-",-1800.15952)</f>
        <v>-1800.15952</v>
      </c>
      <c r="D30" s="41" t="s">
        <v>186</v>
      </c>
    </row>
    <row r="31" spans="1:4" ht="15.75">
      <c r="A31" s="34" t="s">
        <v>47</v>
      </c>
      <c r="B31" s="41">
        <f>IF(-1685.3036="","-",-1685.3036)</f>
        <v>-1685.3036</v>
      </c>
      <c r="C31" s="41">
        <f>IF(-1235.29463="","-",-1235.29463)</f>
        <v>-1235.29463</v>
      </c>
      <c r="D31" s="41">
        <f>IF(OR(-1685.3036="",-1235.29463="",-1685.3036=0),"-",-1235.29463/-1685.3036*100)</f>
        <v>73.29804730732197</v>
      </c>
    </row>
    <row r="32" spans="1:4" ht="15.75">
      <c r="A32" s="34" t="s">
        <v>56</v>
      </c>
      <c r="B32" s="41">
        <f>IF(513.40729="","-",513.40729)</f>
        <v>513.40729</v>
      </c>
      <c r="C32" s="41">
        <f>IF(364.035="","-",364.035)</f>
        <v>364.035</v>
      </c>
      <c r="D32" s="41">
        <f>IF(OR(513.40729="",364.035="",513.40729=0),"-",364.035/513.40729*100)</f>
        <v>70.90569360633738</v>
      </c>
    </row>
    <row r="33" spans="1:4" ht="15.75">
      <c r="A33" s="34" t="s">
        <v>6</v>
      </c>
      <c r="B33" s="41">
        <f>IF(-15168.5456="","-",-15168.5456)</f>
        <v>-15168.5456</v>
      </c>
      <c r="C33" s="41">
        <f>IF(1532.95592="","-",1532.95592)</f>
        <v>1532.95592</v>
      </c>
      <c r="D33" s="41" t="s">
        <v>22</v>
      </c>
    </row>
    <row r="34" spans="1:4" ht="15.75">
      <c r="A34" s="34" t="s">
        <v>48</v>
      </c>
      <c r="B34" s="41">
        <f>IF(7759.91002="","-",7759.91002)</f>
        <v>7759.91002</v>
      </c>
      <c r="C34" s="41">
        <f>IF(8807.71393="","-",8807.71393)</f>
        <v>8807.71393</v>
      </c>
      <c r="D34" s="41">
        <f>IF(OR(7759.91002="",8807.71393="",7759.91002=0),"-",8807.71393/7759.91002*100)</f>
        <v>113.50278427584138</v>
      </c>
    </row>
    <row r="35" spans="1:4" ht="15.75">
      <c r="A35" s="34" t="s">
        <v>9</v>
      </c>
      <c r="B35" s="41">
        <f>IF(11032.70358="","-",11032.70358)</f>
        <v>11032.70358</v>
      </c>
      <c r="C35" s="41">
        <f>IF(15846.67213="","-",15846.67213)</f>
        <v>15846.67213</v>
      </c>
      <c r="D35" s="41">
        <f>IF(OR(11032.70358="",15846.67213="",11032.70358=0),"-",15846.67213/11032.70358*100)</f>
        <v>143.63362538559204</v>
      </c>
    </row>
    <row r="36" spans="1:4" ht="15.75">
      <c r="A36" s="39" t="s">
        <v>174</v>
      </c>
      <c r="B36" s="40">
        <f>IF(-913040.2835="","-",-913040.2835)</f>
        <v>-913040.2835</v>
      </c>
      <c r="C36" s="40">
        <f>IF(-872358.96001="","-",-872358.96001)</f>
        <v>-872358.96001</v>
      </c>
      <c r="D36" s="40">
        <f>IF(-913040.2835="","-",-872358.96001/-913040.2835*100)</f>
        <v>95.54441088469237</v>
      </c>
    </row>
    <row r="37" spans="1:4" ht="15.75">
      <c r="A37" s="34" t="s">
        <v>12</v>
      </c>
      <c r="B37" s="41">
        <f>IF(-454837.30882="","-",-454837.30882)</f>
        <v>-454837.30882</v>
      </c>
      <c r="C37" s="41">
        <f>IF(-448798.5979="","-",-448798.5979)</f>
        <v>-448798.5979</v>
      </c>
      <c r="D37" s="41">
        <f>IF(OR(-454837.30882="",-448798.5979="",-454837.30882=0),"-",-448798.5979/-454837.30882*100)</f>
        <v>98.67233606326921</v>
      </c>
    </row>
    <row r="38" spans="1:4" ht="15.75">
      <c r="A38" s="34" t="s">
        <v>159</v>
      </c>
      <c r="B38" s="41">
        <f>IF(-427453.73115="","-",-427453.73115)</f>
        <v>-427453.73115</v>
      </c>
      <c r="C38" s="41">
        <f>IF(-378903.27338="","-",-378903.27338)</f>
        <v>-378903.27338</v>
      </c>
      <c r="D38" s="41">
        <f>IF(OR(-427453.73115="",-378903.27338="",-427453.73115=0),"-",-378903.27338/-427453.73115*100)</f>
        <v>88.64193847615219</v>
      </c>
    </row>
    <row r="39" spans="1:4" ht="15.75">
      <c r="A39" s="34" t="s">
        <v>11</v>
      </c>
      <c r="B39" s="41">
        <f>IF(-36432.78801="","-",-36432.78801)</f>
        <v>-36432.78801</v>
      </c>
      <c r="C39" s="41">
        <f>IF(-45820.41008="","-",-45820.41008)</f>
        <v>-45820.41008</v>
      </c>
      <c r="D39" s="41">
        <f>IF(OR(-36432.78801="",-45820.41008="",-36432.78801=0),"-",-45820.41008/-36432.78801*100)</f>
        <v>125.76696042977362</v>
      </c>
    </row>
    <row r="40" spans="1:4" ht="15.75">
      <c r="A40" s="34" t="s">
        <v>15</v>
      </c>
      <c r="B40" s="41">
        <f>IF(-108.28253="","-",-108.28253)</f>
        <v>-108.28253</v>
      </c>
      <c r="C40" s="41">
        <f>IF(-4083.34591="","-",-4083.34591)</f>
        <v>-4083.34591</v>
      </c>
      <c r="D40" s="41" t="s">
        <v>296</v>
      </c>
    </row>
    <row r="41" spans="1:4" ht="15.75">
      <c r="A41" s="34" t="s">
        <v>16</v>
      </c>
      <c r="B41" s="41">
        <f>IF(-10399.04016="","-",-10399.04016)</f>
        <v>-10399.04016</v>
      </c>
      <c r="C41" s="41">
        <f>IF(-1586.47067="","-",-1586.47067)</f>
        <v>-1586.47067</v>
      </c>
      <c r="D41" s="41">
        <f>IF(OR(-10399.04016="",-1586.47067="",-10399.04016=0),"-",-1586.47067/-10399.04016*100)</f>
        <v>15.255933678402103</v>
      </c>
    </row>
    <row r="42" spans="1:4" ht="15.75">
      <c r="A42" s="34" t="s">
        <v>13</v>
      </c>
      <c r="B42" s="41">
        <f>IF(9799.1674="","-",9799.1674)</f>
        <v>9799.1674</v>
      </c>
      <c r="C42" s="41">
        <f>IF(-530.68532="","-",-530.68532)</f>
        <v>-530.68532</v>
      </c>
      <c r="D42" s="41" t="s">
        <v>22</v>
      </c>
    </row>
    <row r="43" spans="1:4" ht="15.75">
      <c r="A43" s="34" t="s">
        <v>18</v>
      </c>
      <c r="B43" s="41">
        <f>IF(321.25055="","-",321.25055)</f>
        <v>321.25055</v>
      </c>
      <c r="C43" s="41">
        <f>IF(175.2798="","-",175.2798)</f>
        <v>175.2798</v>
      </c>
      <c r="D43" s="41">
        <f>IF(OR(321.25055="",175.2798="",321.25055=0),"-",175.2798/321.25055*100)</f>
        <v>54.56171203442298</v>
      </c>
    </row>
    <row r="44" spans="1:4" ht="15.75">
      <c r="A44" s="34" t="s">
        <v>136</v>
      </c>
      <c r="B44" s="41">
        <f>IF(678.6245="","-",678.6245)</f>
        <v>678.6245</v>
      </c>
      <c r="C44" s="41">
        <f>IF(991.83453="","-",991.83453)</f>
        <v>991.83453</v>
      </c>
      <c r="D44" s="41">
        <f>IF(OR(678.6245="",991.83453="",678.6245=0),"-",991.83453/678.6245*100)</f>
        <v>146.15365787707339</v>
      </c>
    </row>
    <row r="45" spans="1:4" ht="15.75">
      <c r="A45" s="34" t="s">
        <v>17</v>
      </c>
      <c r="B45" s="41">
        <f>IF(1092.14482="","-",1092.14482)</f>
        <v>1092.14482</v>
      </c>
      <c r="C45" s="41">
        <f>IF(2501.56925="","-",2501.56925)</f>
        <v>2501.56925</v>
      </c>
      <c r="D45" s="41" t="s">
        <v>166</v>
      </c>
    </row>
    <row r="46" spans="1:4" ht="15.75">
      <c r="A46" s="34" t="s">
        <v>14</v>
      </c>
      <c r="B46" s="41">
        <f>IF(4299.6799="","-",4299.6799)</f>
        <v>4299.6799</v>
      </c>
      <c r="C46" s="41">
        <f>IF(3695.13967="","-",3695.13967)</f>
        <v>3695.13967</v>
      </c>
      <c r="D46" s="41">
        <f>IF(OR(4299.6799="",3695.13967="",4299.6799=0),"-",3695.13967/4299.6799*100)</f>
        <v>85.93987822209742</v>
      </c>
    </row>
    <row r="47" spans="1:4" ht="15.75">
      <c r="A47" s="39" t="s">
        <v>170</v>
      </c>
      <c r="B47" s="40">
        <f>IF(-952866.09927="","-",-952866.09927)</f>
        <v>-952866.09927</v>
      </c>
      <c r="C47" s="40">
        <f>IF(-910149.24326="","-",-910149.24326)</f>
        <v>-910149.24326</v>
      </c>
      <c r="D47" s="40">
        <f>IF(-952866.09927="","-",-910149.24326/-952866.09927*100)</f>
        <v>95.51701377111372</v>
      </c>
    </row>
    <row r="48" spans="1:4" ht="15.75">
      <c r="A48" s="34" t="s">
        <v>60</v>
      </c>
      <c r="B48" s="41">
        <f>IF(-532189.44721="","-",-532189.44721)</f>
        <v>-532189.44721</v>
      </c>
      <c r="C48" s="41">
        <f>IF(-526733.83698="","-",-526733.83698)</f>
        <v>-526733.83698</v>
      </c>
      <c r="D48" s="41">
        <f>IF(OR(-532189.44721="",-526733.83698="",-532189.44721=0),"-",-526733.83698/-532189.44721*100)</f>
        <v>98.97487440636019</v>
      </c>
    </row>
    <row r="49" spans="1:4" ht="15.75">
      <c r="A49" s="34" t="s">
        <v>57</v>
      </c>
      <c r="B49" s="41">
        <f>IF(-220802.15373="","-",-220802.15373)</f>
        <v>-220802.15373</v>
      </c>
      <c r="C49" s="41">
        <f>IF(-192898.17251="","-",-192898.17251)</f>
        <v>-192898.17251</v>
      </c>
      <c r="D49" s="41">
        <f>IF(OR(-220802.15373="",-192898.17251="",-220802.15373=0),"-",-192898.17251/-220802.15373*100)</f>
        <v>87.3624506153498</v>
      </c>
    </row>
    <row r="50" spans="1:4" ht="15.75">
      <c r="A50" s="34" t="s">
        <v>19</v>
      </c>
      <c r="B50" s="41">
        <f>IF(-46081.55496="","-",-46081.55496)</f>
        <v>-46081.55496</v>
      </c>
      <c r="C50" s="41">
        <f>IF(-46280.96836="","-",-46280.96836)</f>
        <v>-46280.96836</v>
      </c>
      <c r="D50" s="41">
        <f>IF(OR(-46081.55496="",-46280.96836="",-46081.55496=0),"-",-46280.96836/-46081.55496*100)</f>
        <v>100.43274017157862</v>
      </c>
    </row>
    <row r="51" spans="1:4" ht="15.75">
      <c r="A51" s="34" t="s">
        <v>77</v>
      </c>
      <c r="B51" s="41">
        <f>IF(-48053.44064="","-",-48053.44064)</f>
        <v>-48053.44064</v>
      </c>
      <c r="C51" s="41">
        <f>IF(-44285.93476="","-",-44285.93476)</f>
        <v>-44285.93476</v>
      </c>
      <c r="D51" s="41">
        <f>IF(OR(-48053.44064="",-44285.93476="",-48053.44064=0),"-",-44285.93476/-48053.44064*100)</f>
        <v>92.15975832360293</v>
      </c>
    </row>
    <row r="52" spans="1:4" ht="15.75">
      <c r="A52" s="34" t="s">
        <v>73</v>
      </c>
      <c r="B52" s="41">
        <f>IF(-33803.68585="","-",-33803.68585)</f>
        <v>-33803.68585</v>
      </c>
      <c r="C52" s="41">
        <f>IF(-43461.51933="","-",-43461.51933)</f>
        <v>-43461.51933</v>
      </c>
      <c r="D52" s="41">
        <f>IF(OR(-33803.68585="",-43461.51933="",-33803.68585=0),"-",-43461.51933/-33803.68585*100)</f>
        <v>128.57035627077926</v>
      </c>
    </row>
    <row r="53" spans="1:4" ht="15.75">
      <c r="A53" s="34" t="s">
        <v>37</v>
      </c>
      <c r="B53" s="41">
        <f>IF(-36353.48061="","-",-36353.48061)</f>
        <v>-36353.48061</v>
      </c>
      <c r="C53" s="41">
        <f>IF(-36480.457="","-",-36480.457)</f>
        <v>-36480.457</v>
      </c>
      <c r="D53" s="41">
        <f>IF(OR(-36353.48061="",-36480.457="",-36353.48061=0),"-",-36480.457/-36353.48061*100)</f>
        <v>100.34928262127691</v>
      </c>
    </row>
    <row r="54" spans="1:4" ht="15.75">
      <c r="A54" s="34" t="s">
        <v>70</v>
      </c>
      <c r="B54" s="41">
        <f>IF(-27120.22703="","-",-27120.22703)</f>
        <v>-27120.22703</v>
      </c>
      <c r="C54" s="41">
        <f>IF(-32584.95841="","-",-32584.95841)</f>
        <v>-32584.95841</v>
      </c>
      <c r="D54" s="41">
        <f>IF(OR(-27120.22703="",-32584.95841="",-27120.22703=0),"-",-32584.95841/-27120.22703*100)</f>
        <v>120.15002077215283</v>
      </c>
    </row>
    <row r="55" spans="1:4" ht="15.75">
      <c r="A55" s="34" t="s">
        <v>71</v>
      </c>
      <c r="B55" s="41">
        <f>IF(-16885.9514="","-",-16885.9514)</f>
        <v>-16885.9514</v>
      </c>
      <c r="C55" s="41">
        <f>IF(-16685.33521="","-",-16685.33521)</f>
        <v>-16685.33521</v>
      </c>
      <c r="D55" s="41">
        <f>IF(OR(-16885.9514="",-16685.33521="",-16885.9514=0),"-",-16685.33521/-16885.9514*100)</f>
        <v>98.81193433969021</v>
      </c>
    </row>
    <row r="56" spans="1:4" ht="15.75">
      <c r="A56" s="34" t="s">
        <v>81</v>
      </c>
      <c r="B56" s="41">
        <f>IF(-13389.29334="","-",-13389.29334)</f>
        <v>-13389.29334</v>
      </c>
      <c r="C56" s="41">
        <f>IF(-15130.74156="","-",-15130.74156)</f>
        <v>-15130.74156</v>
      </c>
      <c r="D56" s="41">
        <f>IF(OR(-13389.29334="",-15130.74156="",-13389.29334=0),"-",-15130.74156/-13389.29334*100)</f>
        <v>113.00627431021688</v>
      </c>
    </row>
    <row r="57" spans="1:4" ht="15.75">
      <c r="A57" s="34" t="s">
        <v>67</v>
      </c>
      <c r="B57" s="41">
        <f>IF(-5897.78836="","-",-5897.78836)</f>
        <v>-5897.78836</v>
      </c>
      <c r="C57" s="41">
        <f>IF(-14100.82609="","-",-14100.82609)</f>
        <v>-14100.82609</v>
      </c>
      <c r="D57" s="41" t="s">
        <v>169</v>
      </c>
    </row>
    <row r="58" spans="1:4" ht="15.75">
      <c r="A58" s="34" t="s">
        <v>84</v>
      </c>
      <c r="B58" s="41">
        <f>IF(-7313.95508="","-",-7313.95508)</f>
        <v>-7313.95508</v>
      </c>
      <c r="C58" s="41">
        <f>IF(-8691.28397="","-",-8691.28397)</f>
        <v>-8691.28397</v>
      </c>
      <c r="D58" s="41">
        <f>IF(OR(-7313.95508="",-8691.28397="",-7313.95508=0),"-",-8691.28397/-7313.95508*100)</f>
        <v>118.83151967621875</v>
      </c>
    </row>
    <row r="59" spans="1:4" ht="15.75">
      <c r="A59" s="34" t="s">
        <v>85</v>
      </c>
      <c r="B59" s="41">
        <f>IF(-10986.12154="","-",-10986.12154)</f>
        <v>-10986.12154</v>
      </c>
      <c r="C59" s="41">
        <f>IF(-8663.03361="","-",-8663.03361)</f>
        <v>-8663.03361</v>
      </c>
      <c r="D59" s="41">
        <f>IF(OR(-10986.12154="",-8663.03361="",-10986.12154=0),"-",-8663.03361/-10986.12154*100)</f>
        <v>78.85433980006744</v>
      </c>
    </row>
    <row r="60" spans="1:4" ht="15.75">
      <c r="A60" s="34" t="s">
        <v>79</v>
      </c>
      <c r="B60" s="41">
        <f>IF(-7080.45378="","-",-7080.45378)</f>
        <v>-7080.45378</v>
      </c>
      <c r="C60" s="41">
        <f>IF(-7904.89461="","-",-7904.89461)</f>
        <v>-7904.89461</v>
      </c>
      <c r="D60" s="41">
        <f>IF(OR(-7080.45378="",-7904.89461="",-7080.45378=0),"-",-7904.89461/-7080.45378*100)</f>
        <v>111.6438981965927</v>
      </c>
    </row>
    <row r="61" spans="1:4" ht="15.75">
      <c r="A61" s="34" t="s">
        <v>72</v>
      </c>
      <c r="B61" s="41">
        <f>IF(-8183.59399="","-",-8183.59399)</f>
        <v>-8183.59399</v>
      </c>
      <c r="C61" s="41">
        <f>IF(-7573.3779="","-",-7573.3779)</f>
        <v>-7573.3779</v>
      </c>
      <c r="D61" s="41">
        <f>IF(OR(-8183.59399="",-7573.3779="",-8183.59399=0),"-",-7573.3779/-8183.59399*100)</f>
        <v>92.54342174421583</v>
      </c>
    </row>
    <row r="62" spans="1:4" ht="15.75">
      <c r="A62" s="34" t="s">
        <v>86</v>
      </c>
      <c r="B62" s="41">
        <f>IF(-4800.47336="","-",-4800.47336)</f>
        <v>-4800.47336</v>
      </c>
      <c r="C62" s="41">
        <f>IF(-6487.92167="","-",-6487.92167)</f>
        <v>-6487.92167</v>
      </c>
      <c r="D62" s="41">
        <f>IF(OR(-4800.47336="",-6487.92167="",-4800.47336=0),"-",-6487.92167/-4800.47336*100)</f>
        <v>135.15170658086936</v>
      </c>
    </row>
    <row r="63" spans="1:4" ht="15.75">
      <c r="A63" s="34" t="s">
        <v>87</v>
      </c>
      <c r="B63" s="41">
        <f>IF(-4068.66347="","-",-4068.66347)</f>
        <v>-4068.66347</v>
      </c>
      <c r="C63" s="41">
        <f>IF(-5628.22868="","-",-5628.22868)</f>
        <v>-5628.22868</v>
      </c>
      <c r="D63" s="41">
        <f>IF(OR(-4068.66347="",-5628.22868="",-4068.66347=0),"-",-5628.22868/-4068.66347*100)</f>
        <v>138.33114292935122</v>
      </c>
    </row>
    <row r="64" spans="1:4" ht="15.75">
      <c r="A64" s="34" t="s">
        <v>75</v>
      </c>
      <c r="B64" s="41">
        <f>IF(-3774.33127="","-",-3774.33127)</f>
        <v>-3774.33127</v>
      </c>
      <c r="C64" s="41">
        <f>IF(-5333.11328="","-",-5333.11328)</f>
        <v>-5333.11328</v>
      </c>
      <c r="D64" s="41">
        <f>IF(OR(-3774.33127="",-5333.11328="",-3774.33127=0),"-",-5333.11328/-3774.33127*100)</f>
        <v>141.2995547685458</v>
      </c>
    </row>
    <row r="65" spans="1:4" ht="15.75">
      <c r="A65" s="34" t="s">
        <v>64</v>
      </c>
      <c r="B65" s="41">
        <f>IF(-5681.40102="","-",-5681.40102)</f>
        <v>-5681.40102</v>
      </c>
      <c r="C65" s="41">
        <f>IF(-5273.04804="","-",-5273.04804)</f>
        <v>-5273.04804</v>
      </c>
      <c r="D65" s="41">
        <f>IF(OR(-5681.40102="",-5273.04804="",-5681.40102=0),"-",-5273.04804/-5681.40102*100)</f>
        <v>92.81245983935138</v>
      </c>
    </row>
    <row r="66" spans="1:4" ht="15.75">
      <c r="A66" s="34" t="s">
        <v>82</v>
      </c>
      <c r="B66" s="41">
        <f>IF(-6374.43077="","-",-6374.43077)</f>
        <v>-6374.43077</v>
      </c>
      <c r="C66" s="41">
        <f>IF(-4894.526="","-",-4894.526)</f>
        <v>-4894.526</v>
      </c>
      <c r="D66" s="41">
        <f>IF(OR(-6374.43077="",-4894.526="",-6374.43077=0),"-",-4894.526/-6374.43077*100)</f>
        <v>76.78373452630657</v>
      </c>
    </row>
    <row r="67" spans="1:4" ht="15.75">
      <c r="A67" s="34" t="s">
        <v>63</v>
      </c>
      <c r="B67" s="41">
        <f>IF(-7334.18597="","-",-7334.18597)</f>
        <v>-7334.18597</v>
      </c>
      <c r="C67" s="41">
        <f>IF(-3708.65444="","-",-3708.65444)</f>
        <v>-3708.65444</v>
      </c>
      <c r="D67" s="41">
        <f>IF(OR(-7334.18597="",-3708.65444="",-7334.18597=0),"-",-3708.65444/-7334.18597*100)</f>
        <v>50.56668122638291</v>
      </c>
    </row>
    <row r="68" spans="1:4" ht="15.75">
      <c r="A68" s="34" t="s">
        <v>88</v>
      </c>
      <c r="B68" s="41">
        <f>IF(-1346.4815="","-",-1346.4815)</f>
        <v>-1346.4815</v>
      </c>
      <c r="C68" s="41">
        <f>IF(-3602.62895="","-",-3602.62895)</f>
        <v>-3602.62895</v>
      </c>
      <c r="D68" s="41" t="s">
        <v>191</v>
      </c>
    </row>
    <row r="69" spans="1:4" ht="15.75">
      <c r="A69" s="34" t="s">
        <v>83</v>
      </c>
      <c r="B69" s="41">
        <f>IF(-4599.64139="","-",-4599.64139)</f>
        <v>-4599.64139</v>
      </c>
      <c r="C69" s="41">
        <f>IF(-3476.42734="","-",-3476.42734)</f>
        <v>-3476.42734</v>
      </c>
      <c r="D69" s="41">
        <f>IF(OR(-4599.64139="",-3476.42734="",-4599.64139=0),"-",-3476.42734/-4599.64139*100)</f>
        <v>75.58039954066942</v>
      </c>
    </row>
    <row r="70" spans="1:4" ht="15.75">
      <c r="A70" s="34" t="s">
        <v>165</v>
      </c>
      <c r="B70" s="41">
        <f>IF(-2020.15157="","-",-2020.15157)</f>
        <v>-2020.15157</v>
      </c>
      <c r="C70" s="41">
        <f>IF(-2728.50016="","-",-2728.50016)</f>
        <v>-2728.50016</v>
      </c>
      <c r="D70" s="41">
        <f>IF(OR(-2020.15157="",-2728.50016="",-2020.15157=0),"-",-2728.50016/-2020.15157*100)</f>
        <v>135.06413085628026</v>
      </c>
    </row>
    <row r="71" spans="1:4" ht="15.75">
      <c r="A71" s="34" t="s">
        <v>76</v>
      </c>
      <c r="B71" s="41">
        <f>IF(7308.42086="","-",7308.42086)</f>
        <v>7308.42086</v>
      </c>
      <c r="C71" s="41">
        <f>IF(-2720.53109="","-",-2720.53109)</f>
        <v>-2720.53109</v>
      </c>
      <c r="D71" s="41" t="s">
        <v>22</v>
      </c>
    </row>
    <row r="72" spans="1:4" ht="15.75">
      <c r="A72" s="34" t="s">
        <v>144</v>
      </c>
      <c r="B72" s="41">
        <f>IF(-1239.03633="","-",-1239.03633)</f>
        <v>-1239.03633</v>
      </c>
      <c r="C72" s="41">
        <f>IF(-2471.29859="","-",-2471.29859)</f>
        <v>-2471.29859</v>
      </c>
      <c r="D72" s="41" t="s">
        <v>20</v>
      </c>
    </row>
    <row r="73" spans="1:4" ht="15.75">
      <c r="A73" s="34" t="s">
        <v>39</v>
      </c>
      <c r="B73" s="41">
        <f>IF(-1814.94951="","-",-1814.94951)</f>
        <v>-1814.94951</v>
      </c>
      <c r="C73" s="41">
        <f>IF(-2303.26896="","-",-2303.26896)</f>
        <v>-2303.26896</v>
      </c>
      <c r="D73" s="41">
        <f>IF(OR(-1814.94951="",-2303.26896="",-1814.94951=0),"-",-2303.26896/-1814.94951*100)</f>
        <v>126.9054013519087</v>
      </c>
    </row>
    <row r="74" spans="1:4" ht="15.75">
      <c r="A74" s="34" t="s">
        <v>90</v>
      </c>
      <c r="B74" s="41">
        <f>IF(-4064.378="","-",-4064.378)</f>
        <v>-4064.378</v>
      </c>
      <c r="C74" s="41">
        <f>IF(-2223.70178="","-",-2223.70178)</f>
        <v>-2223.70178</v>
      </c>
      <c r="D74" s="41">
        <f>IF(OR(-4064.378="",-2223.70178="",-4064.378=0),"-",-2223.70178/-4064.378*100)</f>
        <v>54.711982497690904</v>
      </c>
    </row>
    <row r="75" spans="1:4" ht="15.75">
      <c r="A75" s="34" t="s">
        <v>89</v>
      </c>
      <c r="B75" s="41">
        <f>IF(-2092.64877="","-",-2092.64877)</f>
        <v>-2092.64877</v>
      </c>
      <c r="C75" s="41">
        <f>IF(-2168.13256="","-",-2168.13256)</f>
        <v>-2168.13256</v>
      </c>
      <c r="D75" s="41">
        <f>IF(OR(-2092.64877="",-2168.13256="",-2092.64877=0),"-",-2168.13256/-2092.64877*100)</f>
        <v>103.60709312915421</v>
      </c>
    </row>
    <row r="76" spans="1:4" ht="15.75">
      <c r="A76" s="34" t="s">
        <v>40</v>
      </c>
      <c r="B76" s="41">
        <f>IF(-2525.08167="","-",-2525.08167)</f>
        <v>-2525.08167</v>
      </c>
      <c r="C76" s="41">
        <f>IF(-1838.03256="","-",-1838.03256)</f>
        <v>-1838.03256</v>
      </c>
      <c r="D76" s="41">
        <f>IF(OR(-2525.08167="",-1838.03256="",-2525.08167=0),"-",-1838.03256/-2525.08167*100)</f>
        <v>72.79101431994475</v>
      </c>
    </row>
    <row r="77" spans="1:4" ht="15.75">
      <c r="A77" s="34" t="s">
        <v>68</v>
      </c>
      <c r="B77" s="41">
        <f>IF(-1643.40368="","-",-1643.40368)</f>
        <v>-1643.40368</v>
      </c>
      <c r="C77" s="41">
        <f>IF(-1712.92865="","-",-1712.92865)</f>
        <v>-1712.92865</v>
      </c>
      <c r="D77" s="41">
        <f>IF(OR(-1643.40368="",-1712.92865="",-1643.40368=0),"-",-1712.92865/-1643.40368*100)</f>
        <v>104.2305472992491</v>
      </c>
    </row>
    <row r="78" spans="1:4" ht="15.75">
      <c r="A78" s="34" t="s">
        <v>62</v>
      </c>
      <c r="B78" s="41">
        <f>IF(-128.00742="","-",-128.00742)</f>
        <v>-128.00742</v>
      </c>
      <c r="C78" s="41">
        <f>IF(-1429.91228="","-",-1429.91228)</f>
        <v>-1429.91228</v>
      </c>
      <c r="D78" s="41" t="s">
        <v>297</v>
      </c>
    </row>
    <row r="79" spans="1:4" ht="15.75">
      <c r="A79" s="34" t="s">
        <v>74</v>
      </c>
      <c r="B79" s="41">
        <f>IF(-1814.50812="","-",-1814.50812)</f>
        <v>-1814.50812</v>
      </c>
      <c r="C79" s="41">
        <f>IF(-1372.93972="","-",-1372.93972)</f>
        <v>-1372.93972</v>
      </c>
      <c r="D79" s="41">
        <f>IF(OR(-1814.50812="",-1372.93972="",-1814.50812=0),"-",-1372.93972/-1814.50812*100)</f>
        <v>75.66456743108981</v>
      </c>
    </row>
    <row r="80" spans="1:4" ht="15.75">
      <c r="A80" s="34" t="s">
        <v>93</v>
      </c>
      <c r="B80" s="41">
        <f>IF(-665.24396="","-",-665.24396)</f>
        <v>-665.24396</v>
      </c>
      <c r="C80" s="41">
        <f>IF(-1055.61859="","-",-1055.61859)</f>
        <v>-1055.61859</v>
      </c>
      <c r="D80" s="41" t="s">
        <v>107</v>
      </c>
    </row>
    <row r="81" spans="1:4" ht="15.75">
      <c r="A81" s="34" t="s">
        <v>91</v>
      </c>
      <c r="B81" s="41">
        <f>IF(-1083.53379="","-",-1083.53379)</f>
        <v>-1083.53379</v>
      </c>
      <c r="C81" s="41">
        <f>IF(-1006.96661="","-",-1006.96661)</f>
        <v>-1006.96661</v>
      </c>
      <c r="D81" s="41">
        <f>IF(OR(-1083.53379="",-1006.96661="",-1083.53379=0),"-",-1006.96661/-1083.53379*100)</f>
        <v>92.93356785855289</v>
      </c>
    </row>
    <row r="82" spans="1:4" ht="15.75">
      <c r="A82" s="34" t="s">
        <v>98</v>
      </c>
      <c r="B82" s="41">
        <f>IF(-1203.04472="","-",-1203.04472)</f>
        <v>-1203.04472</v>
      </c>
      <c r="C82" s="41">
        <f>IF(-953.56773="","-",-953.56773)</f>
        <v>-953.56773</v>
      </c>
      <c r="D82" s="41">
        <f>IF(OR(-1203.04472="",-953.56773="",-1203.04472=0),"-",-953.56773/-1203.04472*100)</f>
        <v>79.26286647099867</v>
      </c>
    </row>
    <row r="83" spans="1:4" ht="15.75">
      <c r="A83" s="34" t="s">
        <v>145</v>
      </c>
      <c r="B83" s="41">
        <f>IF(-1599.82487="","-",-1599.82487)</f>
        <v>-1599.82487</v>
      </c>
      <c r="C83" s="41">
        <f>IF(-933.35531="","-",-933.35531)</f>
        <v>-933.35531</v>
      </c>
      <c r="D83" s="41">
        <f>IF(OR(-1599.82487="",-933.35531="",-1599.82487=0),"-",-933.35531/-1599.82487*100)</f>
        <v>58.34109267222482</v>
      </c>
    </row>
    <row r="84" spans="1:4" ht="15.75">
      <c r="A84" s="34" t="s">
        <v>258</v>
      </c>
      <c r="B84" s="41">
        <f>IF(-720.8869="","-",-720.8869)</f>
        <v>-720.8869</v>
      </c>
      <c r="C84" s="41">
        <f>IF(-900.45471="","-",-900.45471)</f>
        <v>-900.45471</v>
      </c>
      <c r="D84" s="41">
        <f>IF(OR(-720.8869="",-900.45471="",-720.8869=0),"-",-900.45471/-720.8869*100)</f>
        <v>124.90929020904666</v>
      </c>
    </row>
    <row r="85" spans="1:4" ht="15.75">
      <c r="A85" s="34" t="s">
        <v>160</v>
      </c>
      <c r="B85" s="41">
        <f>IF(-87.19936="","-",-87.19936)</f>
        <v>-87.19936</v>
      </c>
      <c r="C85" s="41">
        <f>IF(-799.80994="","-",-799.80994)</f>
        <v>-799.80994</v>
      </c>
      <c r="D85" s="41" t="s">
        <v>298</v>
      </c>
    </row>
    <row r="86" spans="1:4" ht="15.75">
      <c r="A86" s="34" t="s">
        <v>102</v>
      </c>
      <c r="B86" s="41">
        <f>IF(-378.01908="","-",-378.01908)</f>
        <v>-378.01908</v>
      </c>
      <c r="C86" s="41">
        <f>IF(-738.03305="","-",-738.03305)</f>
        <v>-738.03305</v>
      </c>
      <c r="D86" s="41" t="s">
        <v>20</v>
      </c>
    </row>
    <row r="87" spans="1:4" ht="15.75">
      <c r="A87" s="34" t="s">
        <v>94</v>
      </c>
      <c r="B87" s="41">
        <f>IF(-1090.52597="","-",-1090.52597)</f>
        <v>-1090.52597</v>
      </c>
      <c r="C87" s="41">
        <f>IF(-731.97411="","-",-731.97411)</f>
        <v>-731.97411</v>
      </c>
      <c r="D87" s="41">
        <f>IF(OR(-1090.52597="",-731.97411="",-1090.52597=0),"-",-731.97411/-1090.52597*100)</f>
        <v>67.12119932366215</v>
      </c>
    </row>
    <row r="88" spans="1:4" ht="15.75">
      <c r="A88" s="34" t="s">
        <v>99</v>
      </c>
      <c r="B88" s="41">
        <f>IF(-548.8224="","-",-548.8224)</f>
        <v>-548.8224</v>
      </c>
      <c r="C88" s="41">
        <f>IF(-666.47176="","-",-666.47176)</f>
        <v>-666.47176</v>
      </c>
      <c r="D88" s="41">
        <f>IF(OR(-548.8224="",-666.47176="",-548.8224=0),"-",-666.47176/-548.8224*100)</f>
        <v>121.43669063070313</v>
      </c>
    </row>
    <row r="89" spans="1:4" ht="15.75">
      <c r="A89" s="34" t="s">
        <v>80</v>
      </c>
      <c r="B89" s="41">
        <f>IF(-1040.17875="","-",-1040.17875)</f>
        <v>-1040.17875</v>
      </c>
      <c r="C89" s="41">
        <f>IF(-559.20959="","-",-559.20959)</f>
        <v>-559.20959</v>
      </c>
      <c r="D89" s="41">
        <f>IF(OR(-1040.17875="",-559.20959="",-1040.17875=0),"-",-559.20959/-1040.17875*100)</f>
        <v>53.760912727740305</v>
      </c>
    </row>
    <row r="90" spans="1:4" ht="15.75">
      <c r="A90" s="34" t="s">
        <v>95</v>
      </c>
      <c r="B90" s="41">
        <f>IF(-622.27732="","-",-622.27732)</f>
        <v>-622.27732</v>
      </c>
      <c r="C90" s="41">
        <f>IF(-550.61014="","-",-550.61014)</f>
        <v>-550.61014</v>
      </c>
      <c r="D90" s="41">
        <f>IF(OR(-622.27732="",-550.61014="",-622.27732=0),"-",-550.61014/-622.27732*100)</f>
        <v>88.48308018039288</v>
      </c>
    </row>
    <row r="91" spans="1:4" ht="15.75">
      <c r="A91" s="34" t="s">
        <v>92</v>
      </c>
      <c r="B91" s="41">
        <f>IF(-1084.69193="","-",-1084.69193)</f>
        <v>-1084.69193</v>
      </c>
      <c r="C91" s="41">
        <f>IF(-347.55659="","-",-347.55659)</f>
        <v>-347.55659</v>
      </c>
      <c r="D91" s="41">
        <f>IF(OR(-1084.69193="",-347.55659="",-1084.69193=0),"-",-347.55659/-1084.69193*100)</f>
        <v>32.04196328813841</v>
      </c>
    </row>
    <row r="92" spans="1:4" ht="15.75">
      <c r="A92" s="34" t="s">
        <v>96</v>
      </c>
      <c r="B92" s="41">
        <f>IF(-514.62567="","-",-514.62567)</f>
        <v>-514.62567</v>
      </c>
      <c r="C92" s="41">
        <f>IF(-303.21841="","-",-303.21841)</f>
        <v>-303.21841</v>
      </c>
      <c r="D92" s="41">
        <f>IF(OR(-514.62567="",-303.21841="",-514.62567=0),"-",-303.21841/-514.62567*100)</f>
        <v>58.9201875607954</v>
      </c>
    </row>
    <row r="93" spans="1:4" ht="15.75">
      <c r="A93" s="34" t="s">
        <v>180</v>
      </c>
      <c r="B93" s="41">
        <f>IF(-130.8388="","-",-130.8388)</f>
        <v>-130.8388</v>
      </c>
      <c r="C93" s="41">
        <f>IF(-282.57373="","-",-282.57373)</f>
        <v>-282.57373</v>
      </c>
      <c r="D93" s="41" t="s">
        <v>168</v>
      </c>
    </row>
    <row r="94" spans="1:4" ht="15.75">
      <c r="A94" s="34" t="s">
        <v>104</v>
      </c>
      <c r="B94" s="41">
        <f>IF(-505.25499="","-",-505.25499)</f>
        <v>-505.25499</v>
      </c>
      <c r="C94" s="41">
        <f>IF(-204.21713="","-",-204.21713)</f>
        <v>-204.21713</v>
      </c>
      <c r="D94" s="41">
        <f>IF(OR(-505.25499="",-204.21713="",-505.25499=0),"-",-204.21713/-505.25499*100)</f>
        <v>40.418627038201045</v>
      </c>
    </row>
    <row r="95" spans="1:4" ht="15.75">
      <c r="A95" s="34" t="s">
        <v>114</v>
      </c>
      <c r="B95" s="41">
        <f>IF(335.59473="","-",335.59473)</f>
        <v>335.59473</v>
      </c>
      <c r="C95" s="41">
        <f>IF(-197.35359="","-",-197.35359)</f>
        <v>-197.35359</v>
      </c>
      <c r="D95" s="41" t="s">
        <v>22</v>
      </c>
    </row>
    <row r="96" spans="1:4" ht="15.75">
      <c r="A96" s="34" t="s">
        <v>146</v>
      </c>
      <c r="B96" s="41">
        <f>IF(-48.586="","-",-48.586)</f>
        <v>-48.586</v>
      </c>
      <c r="C96" s="41">
        <f>IF(-151.96546="","-",-151.96546)</f>
        <v>-151.96546</v>
      </c>
      <c r="D96" s="41" t="s">
        <v>288</v>
      </c>
    </row>
    <row r="97" spans="1:4" ht="15.75">
      <c r="A97" s="34" t="s">
        <v>154</v>
      </c>
      <c r="B97" s="41">
        <f>IF(-103.87099="","-",-103.87099)</f>
        <v>-103.87099</v>
      </c>
      <c r="C97" s="41">
        <f>IF(-146.47599="","-",-146.47599)</f>
        <v>-146.47599</v>
      </c>
      <c r="D97" s="41">
        <f>IF(OR(-103.87099="",-146.47599="",-103.87099=0),"-",-146.47599/-103.87099*100)</f>
        <v>141.01722723543887</v>
      </c>
    </row>
    <row r="98" spans="1:4" ht="15.75">
      <c r="A98" s="34" t="s">
        <v>183</v>
      </c>
      <c r="B98" s="41">
        <f>IF(-72.13944="","-",-72.13944)</f>
        <v>-72.13944</v>
      </c>
      <c r="C98" s="41">
        <f>IF(-135.55791="","-",-135.55791)</f>
        <v>-135.55791</v>
      </c>
      <c r="D98" s="41" t="s">
        <v>175</v>
      </c>
    </row>
    <row r="99" spans="1:4" ht="15.75">
      <c r="A99" s="34" t="s">
        <v>171</v>
      </c>
      <c r="B99" s="41">
        <f>IF(-396.72142="","-",-396.72142)</f>
        <v>-396.72142</v>
      </c>
      <c r="C99" s="41">
        <f>IF(-122.78442="","-",-122.78442)</f>
        <v>-122.78442</v>
      </c>
      <c r="D99" s="41">
        <f>IF(OR(-396.72142="",-122.78442="",-396.72142=0),"-",-122.78442/-396.72142*100)</f>
        <v>30.949783351753478</v>
      </c>
    </row>
    <row r="100" spans="1:4" ht="15.75">
      <c r="A100" s="34" t="s">
        <v>182</v>
      </c>
      <c r="B100" s="41">
        <f>IF(-100.40752="","-",-100.40752)</f>
        <v>-100.40752</v>
      </c>
      <c r="C100" s="41">
        <f>IF(-120.10992="","-",-120.10992)</f>
        <v>-120.10992</v>
      </c>
      <c r="D100" s="41">
        <f>IF(OR(-100.40752="",-120.10992="",-100.40752=0),"-",-120.10992/-100.40752*100)</f>
        <v>119.62243465429681</v>
      </c>
    </row>
    <row r="101" spans="1:4" ht="15.75">
      <c r="A101" s="34" t="s">
        <v>184</v>
      </c>
      <c r="B101" s="41">
        <f>IF(-23.78729="","-",-23.78729)</f>
        <v>-23.78729</v>
      </c>
      <c r="C101" s="41">
        <f>IF(-113.67135="","-",-113.67135)</f>
        <v>-113.67135</v>
      </c>
      <c r="D101" s="41" t="s">
        <v>254</v>
      </c>
    </row>
    <row r="102" spans="1:4" ht="15.75">
      <c r="A102" s="34" t="s">
        <v>181</v>
      </c>
      <c r="B102" s="41">
        <f>IF(-117.32436="","-",-117.32436)</f>
        <v>-117.32436</v>
      </c>
      <c r="C102" s="41">
        <f>IF(-106.91739="","-",-106.91739)</f>
        <v>-106.91739</v>
      </c>
      <c r="D102" s="41">
        <f>IF(OR(-117.32436="",-106.91739="",-117.32436=0),"-",-106.91739/-117.32436*100)</f>
        <v>91.12974492253782</v>
      </c>
    </row>
    <row r="103" spans="1:4" ht="15.75">
      <c r="A103" s="34" t="s">
        <v>187</v>
      </c>
      <c r="B103" s="41">
        <f>IF(-264.01081="","-",-264.01081)</f>
        <v>-264.01081</v>
      </c>
      <c r="C103" s="41">
        <f>IF(-106.86309="","-",-106.86309)</f>
        <v>-106.86309</v>
      </c>
      <c r="D103" s="41">
        <f>IF(OR(-264.01081="",-106.86309="",-264.01081=0),"-",-106.86309/-264.01081*100)</f>
        <v>40.476785780097416</v>
      </c>
    </row>
    <row r="104" spans="1:4" ht="15.75">
      <c r="A104" s="34" t="s">
        <v>185</v>
      </c>
      <c r="B104" s="41">
        <f>IF(-87.51373="","-",-87.51373)</f>
        <v>-87.51373</v>
      </c>
      <c r="C104" s="41">
        <f>IF(-97.93581="","-",-97.93581)</f>
        <v>-97.93581</v>
      </c>
      <c r="D104" s="41">
        <f>IF(OR(-87.51373="",-97.93581="",-87.51373=0),"-",-97.93581/-87.51373*100)</f>
        <v>111.90907986666778</v>
      </c>
    </row>
    <row r="105" spans="1:4" ht="15.75">
      <c r="A105" s="34" t="s">
        <v>259</v>
      </c>
      <c r="B105" s="41">
        <f>IF(-45.61821="","-",-45.61821)</f>
        <v>-45.61821</v>
      </c>
      <c r="C105" s="41">
        <f>IF(-69.10434="","-",-69.10434)</f>
        <v>-69.10434</v>
      </c>
      <c r="D105" s="41" t="s">
        <v>135</v>
      </c>
    </row>
    <row r="106" spans="1:4" ht="15.75">
      <c r="A106" s="34" t="s">
        <v>260</v>
      </c>
      <c r="B106" s="41">
        <f>IF(-15.88229="","-",-15.88229)</f>
        <v>-15.88229</v>
      </c>
      <c r="C106" s="41">
        <f>IF(-66.85624="","-",-66.85624)</f>
        <v>-66.85624</v>
      </c>
      <c r="D106" s="41" t="s">
        <v>299</v>
      </c>
    </row>
    <row r="107" spans="1:4" ht="15.75">
      <c r="A107" s="34" t="s">
        <v>261</v>
      </c>
      <c r="B107" s="41">
        <f>IF(-79.8404="","-",-79.8404)</f>
        <v>-79.8404</v>
      </c>
      <c r="C107" s="41">
        <f>IF(-65.1167="","-",-65.1167)</f>
        <v>-65.1167</v>
      </c>
      <c r="D107" s="41">
        <f>IF(OR(-79.8404="",-65.1167="",-79.8404=0),"-",-65.1167/-79.8404*100)</f>
        <v>81.55858437582977</v>
      </c>
    </row>
    <row r="108" spans="1:4" ht="15.75">
      <c r="A108" s="34" t="s">
        <v>262</v>
      </c>
      <c r="B108" s="41">
        <f>IF(-85.30551="","-",-85.30551)</f>
        <v>-85.30551</v>
      </c>
      <c r="C108" s="41">
        <f>IF(-56.43985="","-",-56.43985)</f>
        <v>-56.43985</v>
      </c>
      <c r="D108" s="41">
        <f>IF(OR(-85.30551="",-56.43985="",-85.30551=0),"-",-56.43985/-85.30551*100)</f>
        <v>66.16202165604544</v>
      </c>
    </row>
    <row r="109" spans="1:4" ht="15.75">
      <c r="A109" s="34" t="s">
        <v>294</v>
      </c>
      <c r="B109" s="41">
        <f>IF(-9.77227="","-",-9.77227)</f>
        <v>-9.77227</v>
      </c>
      <c r="C109" s="41">
        <f>IF(-45.42413="","-",-45.42413)</f>
        <v>-45.42413</v>
      </c>
      <c r="D109" s="41" t="s">
        <v>300</v>
      </c>
    </row>
    <row r="110" spans="1:4" ht="15.75">
      <c r="A110" s="34" t="s">
        <v>263</v>
      </c>
      <c r="B110" s="41">
        <f>IF(134.90109="","-",134.90109)</f>
        <v>134.90109</v>
      </c>
      <c r="C110" s="41">
        <f>IF(43.23246="","-",43.23246)</f>
        <v>43.23246</v>
      </c>
      <c r="D110" s="41">
        <f>IF(OR(134.90109="",43.23246="",134.90109=0),"-",43.23246/134.90109*100)</f>
        <v>32.047524597466186</v>
      </c>
    </row>
    <row r="111" spans="1:4" ht="15.75">
      <c r="A111" s="34" t="s">
        <v>153</v>
      </c>
      <c r="B111" s="41">
        <f>IF(497.51617="","-",497.51617)</f>
        <v>497.51617</v>
      </c>
      <c r="C111" s="41">
        <f>IF(55.65074="","-",55.65074)</f>
        <v>55.65074</v>
      </c>
      <c r="D111" s="41">
        <f>IF(OR(497.51617="",55.65074="",497.51617=0),"-",55.65074/497.51617*100)</f>
        <v>11.185714828123073</v>
      </c>
    </row>
    <row r="112" spans="1:4" ht="15.75">
      <c r="A112" s="34" t="s">
        <v>264</v>
      </c>
      <c r="B112" s="41">
        <f>IF(56.43078="","-",56.43078)</f>
        <v>56.43078</v>
      </c>
      <c r="C112" s="41">
        <f>IF(65.35777="","-",65.35777)</f>
        <v>65.35777</v>
      </c>
      <c r="D112" s="41">
        <f>IF(OR(56.43078="",65.35777="",56.43078=0),"-",65.35777/56.43078*100)</f>
        <v>115.81936312062318</v>
      </c>
    </row>
    <row r="113" spans="1:4" ht="15.75">
      <c r="A113" s="34" t="s">
        <v>164</v>
      </c>
      <c r="B113" s="41">
        <f>IF(74.06953="","-",74.06953)</f>
        <v>74.06953</v>
      </c>
      <c r="C113" s="41">
        <f>IF(89.75482="","-",89.75482)</f>
        <v>89.75482</v>
      </c>
      <c r="D113" s="41">
        <f>IF(OR(74.06953="",89.75482="",74.06953=0),"-",89.75482/74.06953*100)</f>
        <v>121.17644056874668</v>
      </c>
    </row>
    <row r="114" spans="1:4" ht="15.75">
      <c r="A114" s="34" t="s">
        <v>177</v>
      </c>
      <c r="B114" s="41">
        <f>IF(55.6754="","-",55.6754)</f>
        <v>55.6754</v>
      </c>
      <c r="C114" s="41">
        <f>IF(97.79062="","-",97.79062)</f>
        <v>97.79062</v>
      </c>
      <c r="D114" s="41" t="s">
        <v>105</v>
      </c>
    </row>
    <row r="115" spans="1:4" ht="15.75">
      <c r="A115" s="34" t="s">
        <v>167</v>
      </c>
      <c r="B115" s="41">
        <f>IF(-0.41185="","-",-0.41185)</f>
        <v>-0.41185</v>
      </c>
      <c r="C115" s="41">
        <f>IF(104.71299="","-",104.71299)</f>
        <v>104.71299</v>
      </c>
      <c r="D115" s="41" t="s">
        <v>22</v>
      </c>
    </row>
    <row r="116" spans="1:4" ht="15.75">
      <c r="A116" s="34" t="s">
        <v>178</v>
      </c>
      <c r="B116" s="41">
        <f>IF(146.18601="","-",146.18601)</f>
        <v>146.18601</v>
      </c>
      <c r="C116" s="41">
        <f>IF(115.06038="","-",115.06038)</f>
        <v>115.06038</v>
      </c>
      <c r="D116" s="41">
        <f>IF(OR(146.18601="",115.06038="",146.18601=0),"-",115.06038/146.18601*100)</f>
        <v>78.7082019681637</v>
      </c>
    </row>
    <row r="117" spans="1:4" ht="15.75">
      <c r="A117" s="34" t="s">
        <v>189</v>
      </c>
      <c r="B117" s="41">
        <f>IF(329.78556="","-",329.78556)</f>
        <v>329.78556</v>
      </c>
      <c r="C117" s="41">
        <f>IF(163.68732="","-",163.68732)</f>
        <v>163.68732</v>
      </c>
      <c r="D117" s="41">
        <f>IF(OR(329.78556="",163.68732="",329.78556=0),"-",163.68732/329.78556*100)</f>
        <v>49.634471563885334</v>
      </c>
    </row>
    <row r="118" spans="1:4" ht="15.75">
      <c r="A118" s="34" t="s">
        <v>38</v>
      </c>
      <c r="B118" s="41">
        <f>IF(4626.63379="","-",4626.63379)</f>
        <v>4626.63379</v>
      </c>
      <c r="C118" s="41">
        <f>IF(194.54043="","-",194.54043)</f>
        <v>194.54043</v>
      </c>
      <c r="D118" s="41">
        <f>IF(OR(4626.63379="",194.54043="",4626.63379=0),"-",194.54043/4626.63379*100)</f>
        <v>4.2047942160557294</v>
      </c>
    </row>
    <row r="119" spans="1:4" ht="15.75">
      <c r="A119" s="34" t="s">
        <v>173</v>
      </c>
      <c r="B119" s="41">
        <f>IF(149.798="","-",149.798)</f>
        <v>149.798</v>
      </c>
      <c r="C119" s="41">
        <f>IF(197.6455="","-",197.6455)</f>
        <v>197.6455</v>
      </c>
      <c r="D119" s="41">
        <f>IF(OR(149.798="",197.6455="",149.798=0),"-",197.6455/149.798*100)</f>
        <v>131.94134768154447</v>
      </c>
    </row>
    <row r="120" spans="1:4" ht="15.75">
      <c r="A120" s="34" t="s">
        <v>109</v>
      </c>
      <c r="B120" s="41">
        <f>IF(491.4964="","-",491.4964)</f>
        <v>491.4964</v>
      </c>
      <c r="C120" s="41">
        <f>IF(210.86294="","-",210.86294)</f>
        <v>210.86294</v>
      </c>
      <c r="D120" s="41">
        <f>IF(OR(491.4964="",210.86294="",491.4964=0),"-",210.86294/491.4964*100)</f>
        <v>42.90223488920773</v>
      </c>
    </row>
    <row r="121" spans="1:4" ht="15.75">
      <c r="A121" s="34" t="s">
        <v>139</v>
      </c>
      <c r="B121" s="41">
        <f>IF(409.54415="","-",409.54415)</f>
        <v>409.54415</v>
      </c>
      <c r="C121" s="41">
        <f>IF(283.14747="","-",283.14747)</f>
        <v>283.14747</v>
      </c>
      <c r="D121" s="41">
        <f>IF(OR(409.54415="",283.14747="",409.54415=0),"-",283.14747/409.54415*100)</f>
        <v>69.13722732945887</v>
      </c>
    </row>
    <row r="122" spans="1:4" ht="15.75">
      <c r="A122" s="34" t="s">
        <v>163</v>
      </c>
      <c r="B122" s="41">
        <f>IF(353.87187="","-",353.87187)</f>
        <v>353.87187</v>
      </c>
      <c r="C122" s="41">
        <f>IF(427.7973="","-",427.7973)</f>
        <v>427.7973</v>
      </c>
      <c r="D122" s="41">
        <f>IF(OR(353.87187="",427.7973="",353.87187=0),"-",427.7973/353.87187*100)</f>
        <v>120.89045111158454</v>
      </c>
    </row>
    <row r="123" spans="1:4" ht="15.75">
      <c r="A123" s="34" t="s">
        <v>149</v>
      </c>
      <c r="B123" s="41">
        <f>IF(489.70775="","-",489.70775)</f>
        <v>489.70775</v>
      </c>
      <c r="C123" s="41">
        <f>IF(434.81597="","-",434.81597)</f>
        <v>434.81597</v>
      </c>
      <c r="D123" s="41">
        <f>IF(OR(489.70775="",434.81597="",489.70775=0),"-",434.81597/489.70775*100)</f>
        <v>88.79091049712814</v>
      </c>
    </row>
    <row r="124" spans="1:4" ht="15.75">
      <c r="A124" s="34" t="s">
        <v>142</v>
      </c>
      <c r="B124" s="41">
        <f>IF(108.96629="","-",108.96629)</f>
        <v>108.96629</v>
      </c>
      <c r="C124" s="41">
        <f>IF(449.49037="","-",449.49037)</f>
        <v>449.49037</v>
      </c>
      <c r="D124" s="41" t="s">
        <v>283</v>
      </c>
    </row>
    <row r="125" spans="1:4" ht="15.75">
      <c r="A125" s="34" t="s">
        <v>148</v>
      </c>
      <c r="B125" s="41">
        <f>IF(99.62="","-",99.62)</f>
        <v>99.62</v>
      </c>
      <c r="C125" s="41">
        <f>IF(627.9078="","-",627.9078)</f>
        <v>627.9078</v>
      </c>
      <c r="D125" s="41" t="s">
        <v>301</v>
      </c>
    </row>
    <row r="126" spans="1:4" ht="15.75">
      <c r="A126" s="34" t="s">
        <v>141</v>
      </c>
      <c r="B126" s="41">
        <f>IF(51.01171="","-",51.01171)</f>
        <v>51.01171</v>
      </c>
      <c r="C126" s="41">
        <f>IF(637.32575="","-",637.32575)</f>
        <v>637.32575</v>
      </c>
      <c r="D126" s="41" t="s">
        <v>302</v>
      </c>
    </row>
    <row r="127" spans="1:4" ht="15.75">
      <c r="A127" s="34" t="s">
        <v>97</v>
      </c>
      <c r="B127" s="41">
        <f>IF(559.15902="","-",559.15902)</f>
        <v>559.15902</v>
      </c>
      <c r="C127" s="41">
        <f>IF(755.40518="","-",755.40518)</f>
        <v>755.40518</v>
      </c>
      <c r="D127" s="41">
        <f>IF(OR(559.15902="",755.40518="",559.15902=0),"-",755.40518/559.15902*100)</f>
        <v>135.0966635573544</v>
      </c>
    </row>
    <row r="128" spans="1:4" ht="15.75">
      <c r="A128" s="34" t="s">
        <v>65</v>
      </c>
      <c r="B128" s="41">
        <f>IF(2244.08248="","-",2244.08248)</f>
        <v>2244.08248</v>
      </c>
      <c r="C128" s="41">
        <f>IF(768.33603="","-",768.33603)</f>
        <v>768.33603</v>
      </c>
      <c r="D128" s="41">
        <f>IF(OR(2244.08248="",768.33603="",2244.08248=0),"-",768.33603/2244.08248*100)</f>
        <v>34.23831507298252</v>
      </c>
    </row>
    <row r="129" spans="1:4" ht="15.75">
      <c r="A129" s="34" t="s">
        <v>69</v>
      </c>
      <c r="B129" s="41">
        <f>IF(-3847.43959="","-",-3847.43959)</f>
        <v>-3847.43959</v>
      </c>
      <c r="C129" s="41">
        <f>IF(784.62311="","-",784.62311)</f>
        <v>784.62311</v>
      </c>
      <c r="D129" s="41" t="s">
        <v>22</v>
      </c>
    </row>
    <row r="130" spans="1:4" ht="15.75">
      <c r="A130" s="34" t="s">
        <v>147</v>
      </c>
      <c r="B130" s="41">
        <f>IF(1548.37333="","-",1548.37333)</f>
        <v>1548.37333</v>
      </c>
      <c r="C130" s="41">
        <f>IF(791.171="","-",791.171)</f>
        <v>791.171</v>
      </c>
      <c r="D130" s="41">
        <f>IF(OR(1548.37333="",791.171="",1548.37333=0),"-",791.171/1548.37333*100)</f>
        <v>51.0969147214645</v>
      </c>
    </row>
    <row r="131" spans="1:4" ht="15.75">
      <c r="A131" s="34" t="s">
        <v>103</v>
      </c>
      <c r="B131" s="41">
        <f>IF(-593.48565="","-",-593.48565)</f>
        <v>-593.48565</v>
      </c>
      <c r="C131" s="41">
        <f>IF(903.33578="","-",903.33578)</f>
        <v>903.33578</v>
      </c>
      <c r="D131" s="41" t="s">
        <v>22</v>
      </c>
    </row>
    <row r="132" spans="1:4" ht="15.75">
      <c r="A132" s="34" t="s">
        <v>162</v>
      </c>
      <c r="B132" s="41">
        <f>IF(69.65623="","-",69.65623)</f>
        <v>69.65623</v>
      </c>
      <c r="C132" s="41">
        <f>IF(1021.81361="","-",1021.81361)</f>
        <v>1021.81361</v>
      </c>
      <c r="D132" s="41" t="s">
        <v>303</v>
      </c>
    </row>
    <row r="133" spans="1:4" ht="15.75">
      <c r="A133" s="34" t="s">
        <v>140</v>
      </c>
      <c r="B133" s="41" t="s">
        <v>295</v>
      </c>
      <c r="C133" s="41">
        <f>IF(1061.29363="","-",1061.29363)</f>
        <v>1061.29363</v>
      </c>
      <c r="D133" s="41" t="str">
        <f>IF(OR(0="",1061.29363="",0=0),"-",1061.29363/0*100)</f>
        <v>-</v>
      </c>
    </row>
    <row r="134" spans="1:4" ht="15.75">
      <c r="A134" s="34" t="s">
        <v>188</v>
      </c>
      <c r="B134" s="41">
        <f>IF(-37.84026="","-",-37.84026)</f>
        <v>-37.84026</v>
      </c>
      <c r="C134" s="41">
        <f>IF(1164.38312="","-",1164.38312)</f>
        <v>1164.38312</v>
      </c>
      <c r="D134" s="41" t="s">
        <v>22</v>
      </c>
    </row>
    <row r="135" spans="1:4" ht="15.75">
      <c r="A135" s="34" t="s">
        <v>111</v>
      </c>
      <c r="B135" s="41">
        <f>IF(368.20709="","-",368.20709)</f>
        <v>368.20709</v>
      </c>
      <c r="C135" s="41">
        <f>IF(1176.82958="","-",1176.82958)</f>
        <v>1176.82958</v>
      </c>
      <c r="D135" s="41" t="s">
        <v>193</v>
      </c>
    </row>
    <row r="136" spans="1:4" ht="15.75">
      <c r="A136" s="34" t="s">
        <v>78</v>
      </c>
      <c r="B136" s="41">
        <f>IF(1322.32675="","-",1322.32675)</f>
        <v>1322.32675</v>
      </c>
      <c r="C136" s="41">
        <f>IF(1510.01276="","-",1510.01276)</f>
        <v>1510.01276</v>
      </c>
      <c r="D136" s="41">
        <f>IF(OR(1322.32675="",1510.01276="",1322.32675=0),"-",1510.01276/1322.32675*100)</f>
        <v>114.19361818098288</v>
      </c>
    </row>
    <row r="137" spans="1:4" ht="15.75">
      <c r="A137" s="34" t="s">
        <v>138</v>
      </c>
      <c r="B137" s="41">
        <f>IF(-102.68834="","-",-102.68834)</f>
        <v>-102.68834</v>
      </c>
      <c r="C137" s="41">
        <f>IF(3265.33867="","-",3265.33867)</f>
        <v>3265.33867</v>
      </c>
      <c r="D137" s="41" t="s">
        <v>22</v>
      </c>
    </row>
    <row r="138" spans="1:4" ht="15.75">
      <c r="A138" s="34" t="s">
        <v>66</v>
      </c>
      <c r="B138" s="41">
        <f>IF(1518.76422="","-",1518.76422)</f>
        <v>1518.76422</v>
      </c>
      <c r="C138" s="41">
        <f>IF(6021.99696="","-",6021.99696)</f>
        <v>6021.99696</v>
      </c>
      <c r="D138" s="41" t="s">
        <v>304</v>
      </c>
    </row>
    <row r="139" spans="1:4" ht="15.75">
      <c r="A139" s="34" t="s">
        <v>58</v>
      </c>
      <c r="B139" s="41">
        <f>IF(10682.42535="","-",10682.42535)</f>
        <v>10682.42535</v>
      </c>
      <c r="C139" s="41">
        <f>IF(8219.10313="","-",8219.10313)</f>
        <v>8219.10313</v>
      </c>
      <c r="D139" s="41">
        <f>IF(OR(10682.42535="",8219.10313="",10682.42535=0),"-",8219.10313/10682.42535*100)</f>
        <v>76.9404218677737</v>
      </c>
    </row>
    <row r="140" spans="1:4" ht="15.75">
      <c r="A140" s="34" t="s">
        <v>61</v>
      </c>
      <c r="B140" s="41">
        <f>IF(13373.64685="","-",13373.64685)</f>
        <v>13373.64685</v>
      </c>
      <c r="C140" s="41">
        <f>IF(11189.10323="","-",11189.10323)</f>
        <v>11189.10323</v>
      </c>
      <c r="D140" s="41">
        <f>IF(OR(13373.64685="",11189.10323="",13373.64685=0),"-",11189.10323/13373.64685*100)</f>
        <v>83.665311006773</v>
      </c>
    </row>
    <row r="141" spans="1:4" ht="15.75">
      <c r="A141" s="34" t="s">
        <v>137</v>
      </c>
      <c r="B141" s="41">
        <f>IF(3393.55846="","-",3393.55846)</f>
        <v>3393.55846</v>
      </c>
      <c r="C141" s="41">
        <f>IF(14935.83683="","-",14935.83683)</f>
        <v>14935.83683</v>
      </c>
      <c r="D141" s="41" t="s">
        <v>253</v>
      </c>
    </row>
    <row r="142" spans="1:4" ht="15.75">
      <c r="A142" s="34" t="s">
        <v>59</v>
      </c>
      <c r="B142" s="41">
        <f>IF(17138.90087="","-",17138.90087)</f>
        <v>17138.90087</v>
      </c>
      <c r="C142" s="41">
        <f>IF(16810.37786="","-",16810.37786)</f>
        <v>16810.37786</v>
      </c>
      <c r="D142" s="41">
        <f>IF(OR(17138.90087="",16810.37786="",17138.90087=0),"-",16810.37786/17138.90087*100)</f>
        <v>98.08317340480656</v>
      </c>
    </row>
    <row r="143" spans="1:4" ht="15.75">
      <c r="A143" s="44" t="s">
        <v>161</v>
      </c>
      <c r="B143" s="45">
        <f>IF(21575.27855="","-",21575.27855)</f>
        <v>21575.27855</v>
      </c>
      <c r="C143" s="45">
        <f>IF(45337.2075="","-",45337.2075)</f>
        <v>45337.2075</v>
      </c>
      <c r="D143" s="45" t="s">
        <v>186</v>
      </c>
    </row>
    <row r="144" ht="15.75">
      <c r="A144" s="30" t="s">
        <v>21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7"/>
  <sheetViews>
    <sheetView zoomScalePageLayoutView="0" workbookViewId="0" topLeftCell="A1">
      <selection activeCell="I10" sqref="I10"/>
    </sheetView>
  </sheetViews>
  <sheetFormatPr defaultColWidth="9.00390625" defaultRowHeight="15.75"/>
  <cols>
    <col min="1" max="1" width="32.625" style="0" customWidth="1"/>
    <col min="2" max="2" width="13.75390625" style="0" customWidth="1"/>
    <col min="3" max="3" width="14.625" style="0" customWidth="1"/>
    <col min="4" max="5" width="10.50390625" style="0" customWidth="1"/>
  </cols>
  <sheetData>
    <row r="1" spans="1:5" ht="15.75">
      <c r="A1" s="59" t="s">
        <v>126</v>
      </c>
      <c r="B1" s="59"/>
      <c r="C1" s="59"/>
      <c r="D1" s="59"/>
      <c r="E1" s="59"/>
    </row>
    <row r="2" spans="1:5" ht="15.75">
      <c r="A2" s="9"/>
      <c r="B2" s="9"/>
      <c r="C2" s="9"/>
      <c r="D2" s="9"/>
      <c r="E2" s="9"/>
    </row>
    <row r="3" spans="1:6" ht="15.75" customHeight="1">
      <c r="A3" s="60"/>
      <c r="B3" s="71" t="s">
        <v>271</v>
      </c>
      <c r="C3" s="71"/>
      <c r="D3" s="63" t="s">
        <v>110</v>
      </c>
      <c r="E3" s="77"/>
      <c r="F3" s="1"/>
    </row>
    <row r="4" spans="1:6" ht="18" customHeight="1">
      <c r="A4" s="61"/>
      <c r="B4" s="67" t="s">
        <v>134</v>
      </c>
      <c r="C4" s="69" t="s">
        <v>272</v>
      </c>
      <c r="D4" s="71" t="s">
        <v>273</v>
      </c>
      <c r="E4" s="63"/>
      <c r="F4" s="1"/>
    </row>
    <row r="5" spans="1:6" ht="28.5" customHeight="1">
      <c r="A5" s="62"/>
      <c r="B5" s="68"/>
      <c r="C5" s="70"/>
      <c r="D5" s="21">
        <v>2018</v>
      </c>
      <c r="E5" s="20">
        <v>2019</v>
      </c>
      <c r="F5" s="1"/>
    </row>
    <row r="6" spans="1:5" ht="15.75" customHeight="1">
      <c r="A6" s="50" t="s">
        <v>269</v>
      </c>
      <c r="B6" s="51">
        <f>IF(2560982.65919="","-",2560982.65919)</f>
        <v>2560982.65919</v>
      </c>
      <c r="C6" s="37">
        <f>IF(2487345.59713="","-",2560982.65919/2487345.59713*100)</f>
        <v>102.96046766259444</v>
      </c>
      <c r="D6" s="46">
        <v>100</v>
      </c>
      <c r="E6" s="46">
        <v>100</v>
      </c>
    </row>
    <row r="7" spans="1:5" ht="15.75" customHeight="1">
      <c r="A7" s="52" t="s">
        <v>150</v>
      </c>
      <c r="B7" s="25"/>
      <c r="C7" s="28"/>
      <c r="D7" s="25"/>
      <c r="E7" s="25"/>
    </row>
    <row r="8" spans="1:5" ht="15.75">
      <c r="A8" s="53" t="s">
        <v>116</v>
      </c>
      <c r="B8" s="41">
        <f>IF(172729.70608="","-",172729.70608)</f>
        <v>172729.70608</v>
      </c>
      <c r="C8" s="54">
        <v>103.7161</v>
      </c>
      <c r="D8" s="41">
        <f>IF(166540.8779="","-",166540.8779/2487345.59713*100)</f>
        <v>6.695526270742658</v>
      </c>
      <c r="E8" s="41">
        <f>IF(172729.70608="","-",172729.70608/2560982.65919*100)</f>
        <v>6.744665195610181</v>
      </c>
    </row>
    <row r="9" spans="1:5" ht="15.75">
      <c r="A9" s="53" t="s">
        <v>117</v>
      </c>
      <c r="B9" s="41">
        <f>IF(114884.70765="","-",114884.70765)</f>
        <v>114884.70765</v>
      </c>
      <c r="C9" s="54">
        <v>107.4459</v>
      </c>
      <c r="D9" s="41">
        <f>IF(106923.34786="","-",106923.34786/2487345.59713*100)</f>
        <v>4.298692870961417</v>
      </c>
      <c r="E9" s="41">
        <f>IF(114884.70765="","-",114884.70765/2560982.65919*100)</f>
        <v>4.485961950493499</v>
      </c>
    </row>
    <row r="10" spans="1:5" ht="15.75">
      <c r="A10" s="53" t="s">
        <v>118</v>
      </c>
      <c r="B10" s="41">
        <f>IF(2230113.62605="","-",2230113.62605)</f>
        <v>2230113.62605</v>
      </c>
      <c r="C10" s="54">
        <v>102.8135</v>
      </c>
      <c r="D10" s="41">
        <f>IF(2169087.40983="","-",2169087.40983/2487345.59713*100)</f>
        <v>87.20490680236716</v>
      </c>
      <c r="E10" s="41">
        <f>IF(2230113.62605="","-",2230113.62605/2560982.65919*100)</f>
        <v>87.08038760228666</v>
      </c>
    </row>
    <row r="11" spans="1:5" ht="15.75">
      <c r="A11" s="53" t="s">
        <v>119</v>
      </c>
      <c r="B11" s="41">
        <f>IF(40203.93289="","-",40203.93289)</f>
        <v>40203.93289</v>
      </c>
      <c r="C11" s="54">
        <v>92.4413</v>
      </c>
      <c r="D11" s="41">
        <f>IF(43491.31565="","-",43491.31565/2487345.59713*100)</f>
        <v>1.7485031312167492</v>
      </c>
      <c r="E11" s="41">
        <f>IF(40203.93289="","-",40203.93289/2560982.65919*100)</f>
        <v>1.5698635344417324</v>
      </c>
    </row>
    <row r="12" spans="1:5" ht="15.75">
      <c r="A12" s="53" t="s">
        <v>120</v>
      </c>
      <c r="B12" s="41">
        <f>IF(2537.29421="","-",2537.29421)</f>
        <v>2537.29421</v>
      </c>
      <c r="C12" s="54" t="s">
        <v>186</v>
      </c>
      <c r="D12" s="41">
        <f>IF(1186.97092="","-",1186.97092/2487345.59713*100)</f>
        <v>0.047720385995801105</v>
      </c>
      <c r="E12" s="41">
        <f>IF(2537.29421="","-",2537.29421/2560982.65919*100)</f>
        <v>0.09907502500631955</v>
      </c>
    </row>
    <row r="13" spans="1:5" ht="15.75">
      <c r="A13" s="53" t="s">
        <v>121</v>
      </c>
      <c r="B13" s="41">
        <f>IF(7.20743="","-",7.20743)</f>
        <v>7.20743</v>
      </c>
      <c r="C13" s="54">
        <v>96.7785</v>
      </c>
      <c r="D13" s="41">
        <f>IF(7.45064="","-",7.45064/2487345.59713*100)</f>
        <v>0.0002995418090914608</v>
      </c>
      <c r="E13" s="41">
        <f>IF(7.20743="","-",7.20743/2560982.65919*100)</f>
        <v>0.0002814322062719316</v>
      </c>
    </row>
    <row r="14" spans="1:5" ht="15.75">
      <c r="A14" s="53" t="s">
        <v>122</v>
      </c>
      <c r="B14" s="41">
        <f>IF(506.18488="","-",506.18488)</f>
        <v>506.18488</v>
      </c>
      <c r="C14" s="54" t="s">
        <v>291</v>
      </c>
      <c r="D14" s="41">
        <f>IF(108.22433="","-",108.22433/2487345.59713*100)</f>
        <v>0.0043509969070994236</v>
      </c>
      <c r="E14" s="41">
        <f>IF(506.18488="","-",506.18488/2560982.65919*100)</f>
        <v>0.019765259955336775</v>
      </c>
    </row>
    <row r="15" spans="1:5" ht="15.75">
      <c r="A15" s="39" t="s">
        <v>266</v>
      </c>
      <c r="B15" s="40">
        <f>IF(1683012.90451="","-",1683012.90451)</f>
        <v>1683012.90451</v>
      </c>
      <c r="C15" s="40">
        <f>IF(1725820.63225="","-",1683012.90451/1725820.63225*100)</f>
        <v>97.51957260563108</v>
      </c>
      <c r="D15" s="40">
        <f>IF(1725820.63225="","-",1725820.63225/2487345.59713*100)</f>
        <v>69.38403068079167</v>
      </c>
      <c r="E15" s="40">
        <f>IF(1683012.90451="","-",1683012.90451/2560982.65919*100)</f>
        <v>65.71746585126475</v>
      </c>
    </row>
    <row r="16" spans="1:5" ht="15.75">
      <c r="A16" s="53" t="s">
        <v>116</v>
      </c>
      <c r="B16" s="41">
        <f>IF(84328.92053="","-",84328.92053)</f>
        <v>84328.92053</v>
      </c>
      <c r="C16" s="54">
        <v>88.6337</v>
      </c>
      <c r="D16" s="41">
        <f>IF(95143.21509="","-",95143.21509/2487345.59713*100)</f>
        <v>3.8250902970532157</v>
      </c>
      <c r="E16" s="41">
        <f>IF(84328.92053="","-",84328.92053/2560982.65919*100)</f>
        <v>3.292834499577282</v>
      </c>
    </row>
    <row r="17" spans="1:5" ht="15.75">
      <c r="A17" s="53" t="s">
        <v>117</v>
      </c>
      <c r="B17" s="41">
        <f>IF(37040.78219="","-",37040.78219)</f>
        <v>37040.78219</v>
      </c>
      <c r="C17" s="54">
        <v>68.3136</v>
      </c>
      <c r="D17" s="41">
        <f>IF(54221.67896="","-",54221.67896/2487345.59713*100)</f>
        <v>2.1799012980971826</v>
      </c>
      <c r="E17" s="41">
        <f>IF(37040.78219="","-",37040.78219/2560982.65919*100)</f>
        <v>1.446350370904715</v>
      </c>
    </row>
    <row r="18" spans="1:11" ht="15.75">
      <c r="A18" s="53" t="s">
        <v>118</v>
      </c>
      <c r="B18" s="41">
        <f>IF(1555418.50186="","-",1555418.50186)</f>
        <v>1555418.50186</v>
      </c>
      <c r="C18" s="54">
        <v>99.2468</v>
      </c>
      <c r="D18" s="41">
        <f>IF(1567222.95622="","-",1567222.95622/2487345.59713*100)</f>
        <v>63.00784893053564</v>
      </c>
      <c r="E18" s="41">
        <f>IF(1555418.50186="","-",1555418.50186/2560982.65919*100)</f>
        <v>60.73522193828346</v>
      </c>
      <c r="K18" s="23"/>
    </row>
    <row r="19" spans="1:5" ht="15.75">
      <c r="A19" s="53" t="s">
        <v>119</v>
      </c>
      <c r="B19" s="41">
        <f>IF(5218.72181="","-",5218.72181)</f>
        <v>5218.72181</v>
      </c>
      <c r="C19" s="54">
        <v>61.6541</v>
      </c>
      <c r="D19" s="41">
        <f>IF(8464.51813="","-",8464.51813/2487345.59713*100)</f>
        <v>0.34030325901502</v>
      </c>
      <c r="E19" s="41">
        <f>IF(5218.72181="","-",5218.72181/2560982.65919*100)</f>
        <v>0.20377810022542686</v>
      </c>
    </row>
    <row r="20" spans="1:5" ht="15.75">
      <c r="A20" s="53" t="s">
        <v>120</v>
      </c>
      <c r="B20" s="41">
        <f>IF(627.63515="","-",627.63515)</f>
        <v>627.63515</v>
      </c>
      <c r="C20" s="55">
        <v>94.7367</v>
      </c>
      <c r="D20" s="41">
        <f>IF(662.50701="","-",662.50701/2487345.59713*100)</f>
        <v>0.02663510091900488</v>
      </c>
      <c r="E20" s="41">
        <f>IF(627.63515="","-",627.63515/2560982.65919*100)</f>
        <v>0.024507590777616255</v>
      </c>
    </row>
    <row r="21" spans="1:5" ht="15.75">
      <c r="A21" s="53" t="s">
        <v>122</v>
      </c>
      <c r="B21" s="41">
        <f>IF(378.34297="","-",378.34297)</f>
        <v>378.34297</v>
      </c>
      <c r="C21" s="55" t="s">
        <v>292</v>
      </c>
      <c r="D21" s="41">
        <f>IF(105.75684="","-",105.75684/2487345.59713*100)</f>
        <v>0.004251795171608903</v>
      </c>
      <c r="E21" s="41">
        <f>IF(378.34297="","-",378.34297/2560982.65919*100)</f>
        <v>0.014773351496244185</v>
      </c>
    </row>
    <row r="22" spans="1:5" ht="15.75">
      <c r="A22" s="39" t="s">
        <v>267</v>
      </c>
      <c r="B22" s="40">
        <f>IF(404435.05318="","-",404435.05318)</f>
        <v>404435.05318</v>
      </c>
      <c r="C22" s="40">
        <f>IF(386270.87004="","-",404435.05318/386270.87004*100)</f>
        <v>104.70244705175904</v>
      </c>
      <c r="D22" s="40">
        <f>IF(386270.87004="","-",386270.87004/2487345.59713*100)</f>
        <v>15.529441123328217</v>
      </c>
      <c r="E22" s="40">
        <f>IF(404435.05318="","-",404435.05318/2560982.65919*100)</f>
        <v>15.79218241594485</v>
      </c>
    </row>
    <row r="23" spans="1:5" ht="15.75">
      <c r="A23" s="53" t="s">
        <v>116</v>
      </c>
      <c r="B23" s="41">
        <f>IF(6797.25085="","-",6797.25085)</f>
        <v>6797.25085</v>
      </c>
      <c r="C23" s="54" t="s">
        <v>107</v>
      </c>
      <c r="D23" s="41">
        <f>IF(4219.69612="","-",4219.69612/2487345.59713*100)</f>
        <v>0.16964655514170832</v>
      </c>
      <c r="E23" s="41">
        <f>IF(6797.25085="","-",6797.25085/2560982.65919*100)</f>
        <v>0.2654157311689829</v>
      </c>
    </row>
    <row r="24" spans="1:5" ht="15.75">
      <c r="A24" s="53" t="s">
        <v>117</v>
      </c>
      <c r="B24" s="41">
        <f>IF(14894.04715="","-",14894.04715)</f>
        <v>14894.04715</v>
      </c>
      <c r="C24" s="54">
        <v>82.7514</v>
      </c>
      <c r="D24" s="41">
        <f>IF(17998.53935="","-",17998.53935/2487345.59713*100)</f>
        <v>0.7236042860617133</v>
      </c>
      <c r="E24" s="41">
        <f>IF(14894.04715="","-",14894.04715/2560982.65919*100)</f>
        <v>0.5815754783248225</v>
      </c>
    </row>
    <row r="25" spans="1:5" ht="15.75">
      <c r="A25" s="53" t="s">
        <v>118</v>
      </c>
      <c r="B25" s="41">
        <f>IF(371693.98329="","-",371693.98329)</f>
        <v>371693.98329</v>
      </c>
      <c r="C25" s="35">
        <v>105.1592</v>
      </c>
      <c r="D25" s="41">
        <f>IF(353458.22966="","-",353458.22966/2487345.59713*100)</f>
        <v>14.210258118849042</v>
      </c>
      <c r="E25" s="41">
        <f>IF(371693.98329="","-",371693.98329/2560982.65919*100)</f>
        <v>14.513725110796383</v>
      </c>
    </row>
    <row r="26" spans="1:5" ht="15.75">
      <c r="A26" s="53" t="s">
        <v>119</v>
      </c>
      <c r="B26" s="41">
        <f>IF(9531.48834999999="","-",9531.48834999999)</f>
        <v>9531.48834999999</v>
      </c>
      <c r="C26" s="35">
        <v>90.3353</v>
      </c>
      <c r="D26" s="41">
        <f>IF(10551.2367="","-",10551.2367/2487345.59713*100)</f>
        <v>0.42419665012270286</v>
      </c>
      <c r="E26" s="41">
        <f>IF(9531.48834999999="","-",9531.48834999999/2560982.65919*100)</f>
        <v>0.37218090156903505</v>
      </c>
    </row>
    <row r="27" spans="1:5" ht="15.75">
      <c r="A27" s="53" t="s">
        <v>120</v>
      </c>
      <c r="B27" s="41">
        <f>IF(1495.91867="","-",1495.91867)</f>
        <v>1495.91867</v>
      </c>
      <c r="C27" s="35" t="s">
        <v>293</v>
      </c>
      <c r="D27" s="41">
        <f>IF(33.25008="","-",33.25008/2487345.59713*100)</f>
        <v>0.00133676960846797</v>
      </c>
      <c r="E27" s="41">
        <f>IF(1495.91867="","-",1495.91867/2560982.65919*100)</f>
        <v>0.05841190156567231</v>
      </c>
    </row>
    <row r="28" spans="1:7" ht="15.75">
      <c r="A28" s="53" t="s">
        <v>121</v>
      </c>
      <c r="B28" s="41">
        <f>IF(7.20743="","-",7.20743)</f>
        <v>7.20743</v>
      </c>
      <c r="C28" s="35">
        <v>96.7785</v>
      </c>
      <c r="D28" s="41">
        <f>IF(7.45064="","-",7.45064/2487345.59713*100)</f>
        <v>0.0002995418090914608</v>
      </c>
      <c r="E28" s="41">
        <f>IF(7.20743="","-",7.20743/2560982.65919*100)</f>
        <v>0.0002814322062719316</v>
      </c>
      <c r="F28" s="1"/>
      <c r="G28" s="1"/>
    </row>
    <row r="29" spans="1:7" ht="15.75">
      <c r="A29" s="53" t="s">
        <v>122</v>
      </c>
      <c r="B29" s="41">
        <f>IF(15.15744="","-",15.15744)</f>
        <v>15.15744</v>
      </c>
      <c r="C29" s="35" t="s">
        <v>172</v>
      </c>
      <c r="D29" s="41">
        <f>IF(2.46749="","-",2.46749/2487345.59713*100)</f>
        <v>9.920173549052009E-05</v>
      </c>
      <c r="E29" s="41">
        <f>IF(15.15744="","-",15.15744/2560982.65919*100)</f>
        <v>0.0005918603136810801</v>
      </c>
      <c r="F29" s="10"/>
      <c r="G29" s="10"/>
    </row>
    <row r="30" spans="1:5" ht="15.75">
      <c r="A30" s="39" t="s">
        <v>268</v>
      </c>
      <c r="B30" s="40">
        <f>IF(473534.7015="","-",473534.7015)</f>
        <v>473534.7015</v>
      </c>
      <c r="C30" s="40">
        <f>IF(375254.09484="","-",473534.7015/375254.09484*100)</f>
        <v>126.19041551083</v>
      </c>
      <c r="D30" s="40">
        <f>IF(375254.09484="","-",375254.09484/2487345.59713*100)</f>
        <v>15.086528195880112</v>
      </c>
      <c r="E30" s="40">
        <f>IF(473534.7015="","-",473534.7015/2560982.65919*100)</f>
        <v>18.49035173279041</v>
      </c>
    </row>
    <row r="31" spans="1:5" ht="15.75">
      <c r="A31" s="53" t="s">
        <v>116</v>
      </c>
      <c r="B31" s="41">
        <f>IF(81603.5347="","-",81603.5347)</f>
        <v>81603.5347</v>
      </c>
      <c r="C31" s="54">
        <v>121.4736</v>
      </c>
      <c r="D31" s="41">
        <f>IF(67177.96669="","-",67177.96669/2487345.59713*100)</f>
        <v>2.700789418547734</v>
      </c>
      <c r="E31" s="41">
        <f>IF(81603.5347="","-",81603.5347/2560982.65919*100)</f>
        <v>3.186414964863915</v>
      </c>
    </row>
    <row r="32" spans="1:5" ht="15.75">
      <c r="A32" s="53" t="s">
        <v>117</v>
      </c>
      <c r="B32" s="41">
        <f>IF(62949.87831="","-",62949.87831)</f>
        <v>62949.87831</v>
      </c>
      <c r="C32" s="54" t="s">
        <v>105</v>
      </c>
      <c r="D32" s="41">
        <f>IF(34703.12955="","-",34703.12955/2487345.59713*100)</f>
        <v>1.3951872868025204</v>
      </c>
      <c r="E32" s="41">
        <f>IF(62949.87831="","-",62949.87831/2560982.65919*100)</f>
        <v>2.4580361012639615</v>
      </c>
    </row>
    <row r="33" spans="1:5" ht="15.75">
      <c r="A33" s="53" t="s">
        <v>118</v>
      </c>
      <c r="B33" s="41">
        <f>IF(303001.1409="","-",303001.1409)</f>
        <v>303001.1409</v>
      </c>
      <c r="C33" s="54">
        <v>121.9781</v>
      </c>
      <c r="D33" s="41">
        <f>IF(248406.22395="","-",248406.22395/2487345.59713*100)</f>
        <v>9.986799752982503</v>
      </c>
      <c r="E33" s="41">
        <f>IF(303001.1409="","-",303001.1409/2560982.65919*100)</f>
        <v>11.831440553206818</v>
      </c>
    </row>
    <row r="34" spans="1:5" ht="15.75">
      <c r="A34" s="53" t="s">
        <v>119</v>
      </c>
      <c r="B34" s="41">
        <f>IF(25453.72273="","-",25453.72273)</f>
        <v>25453.72273</v>
      </c>
      <c r="C34" s="55">
        <v>103.9965</v>
      </c>
      <c r="D34" s="41">
        <f>IF(24475.56082="","-",24475.56082/2487345.59713*100)</f>
        <v>0.9840032220790264</v>
      </c>
      <c r="E34" s="41">
        <f>IF(25453.72273="","-",25453.72273/2560982.65919*100)</f>
        <v>0.9939045326472702</v>
      </c>
    </row>
    <row r="35" spans="1:5" ht="15.75">
      <c r="A35" s="53" t="s">
        <v>120</v>
      </c>
      <c r="B35" s="41">
        <f>IF(413.74039="","-",413.74039)</f>
        <v>413.74039</v>
      </c>
      <c r="C35" s="55">
        <v>84.2287</v>
      </c>
      <c r="D35" s="41">
        <f>IF(491.21383="","-",491.21383/2487345.59713*100)</f>
        <v>0.01974851546832826</v>
      </c>
      <c r="E35" s="41">
        <f>IF(413.74039="","-",413.74039/2560982.65919*100)</f>
        <v>0.016155532663030988</v>
      </c>
    </row>
    <row r="36" spans="1:5" ht="15.75">
      <c r="A36" s="56" t="s">
        <v>122</v>
      </c>
      <c r="B36" s="45">
        <f>IF(112.68447="","-",112.68447)</f>
        <v>112.68447</v>
      </c>
      <c r="C36" s="57" t="s">
        <v>22</v>
      </c>
      <c r="D36" s="58" t="s">
        <v>115</v>
      </c>
      <c r="E36" s="45">
        <f>IF(112.68447="","-",112.68447/2560982.65919*100)</f>
        <v>0.004400048145411511</v>
      </c>
    </row>
    <row r="37" spans="1:5" ht="15.75">
      <c r="A37" s="31" t="s">
        <v>21</v>
      </c>
      <c r="B37" s="26"/>
      <c r="C37" s="26"/>
      <c r="D37" s="26"/>
      <c r="E37" s="26"/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7"/>
  <sheetViews>
    <sheetView zoomScale="99" zoomScaleNormal="99" zoomScalePageLayoutView="0" workbookViewId="0" topLeftCell="A1">
      <selection activeCell="K21" sqref="K21"/>
    </sheetView>
  </sheetViews>
  <sheetFormatPr defaultColWidth="9.00390625" defaultRowHeight="15.75"/>
  <cols>
    <col min="1" max="1" width="32.125" style="0" customWidth="1"/>
    <col min="2" max="2" width="13.25390625" style="0" customWidth="1"/>
    <col min="3" max="3" width="13.50390625" style="0" customWidth="1"/>
    <col min="4" max="5" width="11.25390625" style="0" customWidth="1"/>
  </cols>
  <sheetData>
    <row r="1" spans="1:5" ht="15.75">
      <c r="A1" s="59" t="s">
        <v>127</v>
      </c>
      <c r="B1" s="59"/>
      <c r="C1" s="59"/>
      <c r="D1" s="59"/>
      <c r="E1" s="59"/>
    </row>
    <row r="2" spans="1:5" ht="15.75">
      <c r="A2" s="9"/>
      <c r="B2" s="9"/>
      <c r="C2" s="9"/>
      <c r="D2" s="9"/>
      <c r="E2" s="9"/>
    </row>
    <row r="3" spans="1:6" ht="15.75" customHeight="1">
      <c r="A3" s="60"/>
      <c r="B3" s="71" t="s">
        <v>271</v>
      </c>
      <c r="C3" s="71"/>
      <c r="D3" s="63" t="s">
        <v>110</v>
      </c>
      <c r="E3" s="77"/>
      <c r="F3" s="1"/>
    </row>
    <row r="4" spans="1:6" ht="18" customHeight="1">
      <c r="A4" s="61"/>
      <c r="B4" s="67" t="s">
        <v>100</v>
      </c>
      <c r="C4" s="69" t="s">
        <v>272</v>
      </c>
      <c r="D4" s="71" t="s">
        <v>273</v>
      </c>
      <c r="E4" s="63"/>
      <c r="F4" s="1"/>
    </row>
    <row r="5" spans="1:6" ht="27" customHeight="1">
      <c r="A5" s="62"/>
      <c r="B5" s="68"/>
      <c r="C5" s="70"/>
      <c r="D5" s="21">
        <v>2018</v>
      </c>
      <c r="E5" s="20">
        <v>2019</v>
      </c>
      <c r="F5" s="1"/>
    </row>
    <row r="6" spans="1:5" ht="15.75" customHeight="1">
      <c r="A6" s="50" t="s">
        <v>151</v>
      </c>
      <c r="B6" s="51">
        <f>IF(5301854.22844="","-",5301854.22844)</f>
        <v>5301854.22844</v>
      </c>
      <c r="C6" s="37">
        <f>IF(5240739.99296="","-",5301854.22844/5240739.99296*100)</f>
        <v>101.16613752184034</v>
      </c>
      <c r="D6" s="46">
        <v>100</v>
      </c>
      <c r="E6" s="46">
        <v>100</v>
      </c>
    </row>
    <row r="7" spans="1:5" ht="15.75" customHeight="1">
      <c r="A7" s="52" t="s">
        <v>150</v>
      </c>
      <c r="B7" s="25"/>
      <c r="C7" s="28"/>
      <c r="D7" s="25"/>
      <c r="E7" s="25"/>
    </row>
    <row r="8" spans="1:5" ht="15.75">
      <c r="A8" s="53" t="s">
        <v>116</v>
      </c>
      <c r="B8" s="41">
        <f>IF(111438.81119="","-",111438.81119)</f>
        <v>111438.81119</v>
      </c>
      <c r="C8" s="54">
        <v>73.7246</v>
      </c>
      <c r="D8" s="41">
        <f>IF(151155.58524="","-",151155.58524/5240739.99296*100)</f>
        <v>2.8842412606435457</v>
      </c>
      <c r="E8" s="41">
        <f>IF(111438.81119="","-",111438.81119/5301854.22844*100)</f>
        <v>2.1018837257392753</v>
      </c>
    </row>
    <row r="9" spans="1:5" ht="15.75">
      <c r="A9" s="53" t="s">
        <v>117</v>
      </c>
      <c r="B9" s="41">
        <f>IF(249676.56647="","-",249676.56647)</f>
        <v>249676.56647</v>
      </c>
      <c r="C9" s="54">
        <v>81.1107</v>
      </c>
      <c r="D9" s="41">
        <f>IF(307821.83157="","-",307821.83157/5240739.99296*100)</f>
        <v>5.873632959916037</v>
      </c>
      <c r="E9" s="41">
        <f>IF(249676.56647="","-",249676.56647/5301854.22844*100)</f>
        <v>4.709231067325366</v>
      </c>
    </row>
    <row r="10" spans="1:5" ht="15.75">
      <c r="A10" s="53" t="s">
        <v>118</v>
      </c>
      <c r="B10" s="41">
        <f>IF(4500889.45484="","-",4500889.45484)</f>
        <v>4500889.45484</v>
      </c>
      <c r="C10" s="54">
        <v>103.4186</v>
      </c>
      <c r="D10" s="41">
        <f>IF(4352109.21763="","-",4352109.21763/5240739.99296*100)</f>
        <v>83.04379197358163</v>
      </c>
      <c r="E10" s="41">
        <f>IF(4500889.45484="","-",4500889.45484/5301854.22844*100)</f>
        <v>84.89274244275717</v>
      </c>
    </row>
    <row r="11" spans="1:5" ht="15.75">
      <c r="A11" s="53" t="s">
        <v>119</v>
      </c>
      <c r="B11" s="41">
        <f>IF(144235.36283="","-",144235.36283)</f>
        <v>144235.36283</v>
      </c>
      <c r="C11" s="54">
        <v>105.6551</v>
      </c>
      <c r="D11" s="41">
        <f>IF(136515.233="","-",136515.233/5240739.99296*100)</f>
        <v>2.604884676274417</v>
      </c>
      <c r="E11" s="41">
        <f>IF(144235.36283="","-",144235.36283/5301854.22844*100)</f>
        <v>2.7204701716674573</v>
      </c>
    </row>
    <row r="12" spans="1:5" ht="15.75">
      <c r="A12" s="53" t="s">
        <v>120</v>
      </c>
      <c r="B12" s="41">
        <f>IF(10000.35457="","-",10000.35457)</f>
        <v>10000.35457</v>
      </c>
      <c r="C12" s="54">
        <v>83.6934</v>
      </c>
      <c r="D12" s="41">
        <f>IF(11948.78737="","-",11948.78737/5240739.99296*100)</f>
        <v>0.2279980954226133</v>
      </c>
      <c r="E12" s="41">
        <f>IF(10000.35457="","-",10000.35457/5301854.22844*100)</f>
        <v>0.18861994576079605</v>
      </c>
    </row>
    <row r="13" spans="1:5" ht="15.75">
      <c r="A13" s="53" t="s">
        <v>121</v>
      </c>
      <c r="B13" s="41">
        <f>IF(247242.19576="","-",247242.19576)</f>
        <v>247242.19576</v>
      </c>
      <c r="C13" s="54">
        <v>99.587</v>
      </c>
      <c r="D13" s="41">
        <f>IF(248267.4951="","-",248267.4951/5240739.99296*100)</f>
        <v>4.737260299757345</v>
      </c>
      <c r="E13" s="41">
        <f>IF(247242.19576="","-",247242.19576/5301854.22844*100)</f>
        <v>4.663315608221612</v>
      </c>
    </row>
    <row r="14" spans="1:5" ht="15.75">
      <c r="A14" s="53" t="s">
        <v>122</v>
      </c>
      <c r="B14" s="41">
        <f>IF(38371.48278="","-",38371.48278)</f>
        <v>38371.48278</v>
      </c>
      <c r="C14" s="54">
        <v>116.5533</v>
      </c>
      <c r="D14" s="41">
        <f>IF(32921.84305="","-",32921.84305/5240739.99296*100)</f>
        <v>0.62819073440439</v>
      </c>
      <c r="E14" s="41">
        <f>IF(38371.48278="","-",38371.48278/5301854.22844*100)</f>
        <v>0.723737038528317</v>
      </c>
    </row>
    <row r="15" spans="1:5" ht="15.75">
      <c r="A15" s="39" t="s">
        <v>266</v>
      </c>
      <c r="B15" s="40">
        <f>IF(2641376.27049="","-",2641376.27049)</f>
        <v>2641376.27049</v>
      </c>
      <c r="C15" s="40">
        <f>IF(2613308.64531="","-",2641376.27049/2613308.64531*100)</f>
        <v>101.07402641591423</v>
      </c>
      <c r="D15" s="40">
        <f>IF(2613308.64531="","-",2613308.64531/5240739.99296*100)</f>
        <v>49.8652604178134</v>
      </c>
      <c r="E15" s="40">
        <f>IF(2641376.27049="","-",2641376.27049/5301854.22844*100)</f>
        <v>49.81985842464759</v>
      </c>
    </row>
    <row r="16" spans="1:5" ht="15.75">
      <c r="A16" s="53" t="s">
        <v>116</v>
      </c>
      <c r="B16" s="41">
        <f>IF(75627.42201="","-",75627.42201)</f>
        <v>75627.42201</v>
      </c>
      <c r="C16" s="54">
        <v>89.3257</v>
      </c>
      <c r="D16" s="41">
        <f>IF(84664.77343="","-",84664.77343/5240739.99296*100)</f>
        <v>1.615511808327298</v>
      </c>
      <c r="E16" s="41">
        <f>IF(75627.42201="","-",75627.42201/5301854.22844*100)</f>
        <v>1.4264334467047834</v>
      </c>
    </row>
    <row r="17" spans="1:5" ht="15.75">
      <c r="A17" s="53" t="s">
        <v>117</v>
      </c>
      <c r="B17" s="41">
        <f>IF(42347.1637="","-",42347.1637)</f>
        <v>42347.1637</v>
      </c>
      <c r="C17" s="54">
        <v>81.5463</v>
      </c>
      <c r="D17" s="41">
        <f>IF(51930.20102="","-",51930.20102/5240739.99296*100)</f>
        <v>0.9908944364681127</v>
      </c>
      <c r="E17" s="41">
        <f>IF(42347.1637="","-",42347.1637/5301854.22844*100)</f>
        <v>0.7987236516772377</v>
      </c>
    </row>
    <row r="18" spans="1:5" ht="15.75">
      <c r="A18" s="53" t="s">
        <v>118</v>
      </c>
      <c r="B18" s="41">
        <f>IF(2445663.69992="","-",2445663.69992)</f>
        <v>2445663.69992</v>
      </c>
      <c r="C18" s="54">
        <v>101.7281</v>
      </c>
      <c r="D18" s="41">
        <f>IF(2404118.71235="","-",2404118.71235/5240739.99296*100)</f>
        <v>45.873649820054126</v>
      </c>
      <c r="E18" s="41">
        <f>IF(2445663.69992="","-",2445663.69992/5301854.22844*100)</f>
        <v>46.12845986600435</v>
      </c>
    </row>
    <row r="19" spans="1:5" ht="15.75">
      <c r="A19" s="53" t="s">
        <v>119</v>
      </c>
      <c r="B19" s="41">
        <f>IF(41095.48197="","-",41095.48197)</f>
        <v>41095.48197</v>
      </c>
      <c r="C19" s="54">
        <v>110.8517</v>
      </c>
      <c r="D19" s="41">
        <f>IF(38460.31286="","-",38460.31286/5240739.99296*100)</f>
        <v>0.7338717988616983</v>
      </c>
      <c r="E19" s="41">
        <f>IF(41095.48197="","-",41095.48197/5301854.22844*100)</f>
        <v>0.7751152747572202</v>
      </c>
    </row>
    <row r="20" spans="1:5" ht="15.75">
      <c r="A20" s="53" t="s">
        <v>120</v>
      </c>
      <c r="B20" s="41">
        <f>IF(4450.08733="","-",4450.08733)</f>
        <v>4450.08733</v>
      </c>
      <c r="C20" s="54">
        <v>83.1399</v>
      </c>
      <c r="D20" s="41">
        <f>IF(5352.52852="","-",5352.52852/5240739.99296*100)</f>
        <v>0.10213306760476894</v>
      </c>
      <c r="E20" s="41">
        <f>IF(4450.08733="","-",4450.08733/5301854.22844*100)</f>
        <v>0.0839345470143071</v>
      </c>
    </row>
    <row r="21" spans="1:5" ht="15.75">
      <c r="A21" s="53" t="s">
        <v>122</v>
      </c>
      <c r="B21" s="41">
        <f>IF(32192.41556="","-",32192.41556)</f>
        <v>32192.41556</v>
      </c>
      <c r="C21" s="54">
        <v>111.8487</v>
      </c>
      <c r="D21" s="41">
        <f>IF(28782.11713="","-",28782.11713/5240739.99296*100)</f>
        <v>0.5491994864973961</v>
      </c>
      <c r="E21" s="41">
        <f>IF(32192.41556="","-",32192.41556/5301854.22844*100)</f>
        <v>0.6071916384896948</v>
      </c>
    </row>
    <row r="22" spans="1:5" ht="15.75">
      <c r="A22" s="39" t="s">
        <v>267</v>
      </c>
      <c r="B22" s="40">
        <f>IF(1276794.01319="","-",1276794.01319)</f>
        <v>1276794.01319</v>
      </c>
      <c r="C22" s="40">
        <f>IF(1299311.15354="","-",1276794.01319/1299311.15354*100)</f>
        <v>98.26699399226648</v>
      </c>
      <c r="D22" s="40">
        <f>IF(1299311.15354="","-",1299311.15354/5240739.99296*100)</f>
        <v>24.792513181065896</v>
      </c>
      <c r="E22" s="40">
        <f>IF(1276794.01319="","-",1276794.01319/5301854.22844*100)</f>
        <v>24.082027875098326</v>
      </c>
    </row>
    <row r="23" spans="1:5" ht="15.75">
      <c r="A23" s="53" t="s">
        <v>116</v>
      </c>
      <c r="B23" s="41">
        <f>IF(23625.22826="","-",23625.22826)</f>
        <v>23625.22826</v>
      </c>
      <c r="C23" s="54">
        <v>52.0051</v>
      </c>
      <c r="D23" s="41">
        <f>IF(45428.71514="","-",45428.71514/5240739.99296*100)</f>
        <v>0.8668377977351553</v>
      </c>
      <c r="E23" s="41">
        <f>IF(23625.22826="","-",23625.22826/5301854.22844*100)</f>
        <v>0.44560312754866915</v>
      </c>
    </row>
    <row r="24" spans="1:5" ht="15.75">
      <c r="A24" s="53" t="s">
        <v>117</v>
      </c>
      <c r="B24" s="41">
        <f>IF(206989.75701="","-",206989.75701)</f>
        <v>206989.75701</v>
      </c>
      <c r="C24" s="54">
        <v>81.1163</v>
      </c>
      <c r="D24" s="41">
        <f>IF(255176.41397="","-",255176.41397/5240739.99296*100)</f>
        <v>4.869091279338108</v>
      </c>
      <c r="E24" s="41">
        <f>IF(206989.75701="","-",206989.75701/5301854.22844*100)</f>
        <v>3.904101246308765</v>
      </c>
    </row>
    <row r="25" spans="1:5" ht="15.75">
      <c r="A25" s="53" t="s">
        <v>118</v>
      </c>
      <c r="B25" s="41">
        <f>IF(778417.24294="","-",778417.24294)</f>
        <v>778417.24294</v>
      </c>
      <c r="C25" s="54">
        <v>106.1558</v>
      </c>
      <c r="D25" s="41">
        <f>IF(733277.80425="","-",733277.80425/5240739.99296*100)</f>
        <v>13.991875293088915</v>
      </c>
      <c r="E25" s="41">
        <f>IF(778417.24294="","-",778417.24294/5301854.22844*100)</f>
        <v>14.681981235252465</v>
      </c>
    </row>
    <row r="26" spans="1:5" ht="15.75">
      <c r="A26" s="53" t="s">
        <v>119</v>
      </c>
      <c r="B26" s="41">
        <f>IF(16461.80945="","-",16461.80945)</f>
        <v>16461.80945</v>
      </c>
      <c r="C26" s="54">
        <v>115.087</v>
      </c>
      <c r="D26" s="41">
        <f>IF(14303.80049="","-",14303.80049/5240739.99296*100)</f>
        <v>0.2729347479404551</v>
      </c>
      <c r="E26" s="41">
        <f>IF(16461.80945="","-",16461.80945/5301854.22844*100)</f>
        <v>0.3104915514594159</v>
      </c>
    </row>
    <row r="27" spans="1:5" ht="15.75">
      <c r="A27" s="53" t="s">
        <v>120</v>
      </c>
      <c r="B27" s="41">
        <f>IF(590.32159="","-",590.32159)</f>
        <v>590.32159</v>
      </c>
      <c r="C27" s="54">
        <v>139.8531</v>
      </c>
      <c r="D27" s="41">
        <f>IF(422.10173="","-",422.10173/5240739.99296*100)</f>
        <v>0.00805423910682496</v>
      </c>
      <c r="E27" s="41">
        <f>IF(590.32159="","-",590.32159/5301854.22844*100)</f>
        <v>0.011134247841696965</v>
      </c>
    </row>
    <row r="28" spans="1:7" ht="15.75">
      <c r="A28" s="53" t="s">
        <v>121</v>
      </c>
      <c r="B28" s="41">
        <f>IF(247242.19576="","-",247242.19576)</f>
        <v>247242.19576</v>
      </c>
      <c r="C28" s="54">
        <v>99.587</v>
      </c>
      <c r="D28" s="41">
        <f>IF(248267.4951="","-",248267.4951/5240739.99296*100)</f>
        <v>4.737260299757345</v>
      </c>
      <c r="E28" s="41">
        <f>IF(247242.19576="","-",247242.19576/5301854.22844*100)</f>
        <v>4.663315608221612</v>
      </c>
      <c r="F28" s="1"/>
      <c r="G28" s="1"/>
    </row>
    <row r="29" spans="1:7" ht="15.75">
      <c r="A29" s="53" t="s">
        <v>122</v>
      </c>
      <c r="B29" s="41">
        <f>IF(3467.45818="","-",3467.45818)</f>
        <v>3467.45818</v>
      </c>
      <c r="C29" s="54">
        <v>142.4113</v>
      </c>
      <c r="D29" s="41">
        <f>IF(2434.82286="","-",2434.82286/5240739.99296*100)</f>
        <v>0.04645952409909193</v>
      </c>
      <c r="E29" s="41">
        <f>IF(3467.45818="","-",3467.45818/5301854.22844*100)</f>
        <v>0.06540085846570425</v>
      </c>
      <c r="F29" s="1"/>
      <c r="G29" s="1"/>
    </row>
    <row r="30" spans="1:7" ht="15.75">
      <c r="A30" s="39" t="s">
        <v>270</v>
      </c>
      <c r="B30" s="40">
        <f>IF(1383683.94476="","-",1383683.94476)</f>
        <v>1383683.94476</v>
      </c>
      <c r="C30" s="40">
        <f>IF(1328120.19411="","-",1383683.94476/1328120.19411*100)</f>
        <v>104.18363871706917</v>
      </c>
      <c r="D30" s="40">
        <f>IF(1328120.19411="","-",1328120.19411/5240739.99296*100)</f>
        <v>25.342226401120694</v>
      </c>
      <c r="E30" s="40">
        <f>IF(1383683.94476="","-",1383683.94476/5301854.22844*100)</f>
        <v>26.098113700254082</v>
      </c>
      <c r="F30" s="10"/>
      <c r="G30" s="10"/>
    </row>
    <row r="31" spans="1:5" ht="15.75">
      <c r="A31" s="53" t="s">
        <v>116</v>
      </c>
      <c r="B31" s="41">
        <f>IF(12186.16092="","-",12186.16092)</f>
        <v>12186.16092</v>
      </c>
      <c r="C31" s="54">
        <v>57.8582</v>
      </c>
      <c r="D31" s="41">
        <f>IF(21062.09667="","-",21062.09667/5240739.99296*100)</f>
        <v>0.40189165458109294</v>
      </c>
      <c r="E31" s="41">
        <f>IF(12186.16092="","-",12186.16092/5301854.22844*100)</f>
        <v>0.22984715148582305</v>
      </c>
    </row>
    <row r="32" spans="1:5" ht="15.75">
      <c r="A32" s="53" t="s">
        <v>117</v>
      </c>
      <c r="B32" s="41">
        <f>IF(339.64576="","-",339.64576)</f>
        <v>339.64576</v>
      </c>
      <c r="C32" s="54">
        <v>47.4889</v>
      </c>
      <c r="D32" s="41">
        <f>IF(715.21658="","-",715.21658/5240739.99296*100)</f>
        <v>0.013647244109815904</v>
      </c>
      <c r="E32" s="41">
        <f>IF(339.64576="","-",339.64576/5301854.22844*100)</f>
        <v>0.00640616933936217</v>
      </c>
    </row>
    <row r="33" spans="1:5" ht="15.75">
      <c r="A33" s="53" t="s">
        <v>118</v>
      </c>
      <c r="B33" s="41">
        <f>IF(1276808.51198="","-",1276808.51198)</f>
        <v>1276808.51198</v>
      </c>
      <c r="C33" s="54">
        <v>105.112</v>
      </c>
      <c r="D33" s="41">
        <f>IF(1214712.70103="","-",1214712.70103/5240739.99296*100)</f>
        <v>23.1782668604386</v>
      </c>
      <c r="E33" s="41">
        <f>IF(1276808.51198="","-",1276808.51198/5301854.22844*100)</f>
        <v>24.08230134150037</v>
      </c>
    </row>
    <row r="34" spans="1:5" ht="15.75">
      <c r="A34" s="53" t="s">
        <v>119</v>
      </c>
      <c r="B34" s="41">
        <f>IF(86678.07141="","-",86678.07141)</f>
        <v>86678.07141</v>
      </c>
      <c r="C34" s="54">
        <v>103.4948</v>
      </c>
      <c r="D34" s="41">
        <f>IF(83751.11965="","-",83751.11965/5240739.99296*100)</f>
        <v>1.598078129472263</v>
      </c>
      <c r="E34" s="41">
        <f>IF(86678.07141="","-",86678.07141/5301854.22844*100)</f>
        <v>1.6348633454508215</v>
      </c>
    </row>
    <row r="35" spans="1:5" ht="15.75">
      <c r="A35" s="38" t="s">
        <v>120</v>
      </c>
      <c r="B35" s="43">
        <f>IF(4959.94565="","-",4959.94565)</f>
        <v>4959.94565</v>
      </c>
      <c r="C35" s="55">
        <v>80.334</v>
      </c>
      <c r="D35" s="43">
        <f>IF(6174.15712="","-",6174.15712/5240739.99296*100)</f>
        <v>0.11781078871101942</v>
      </c>
      <c r="E35" s="43">
        <f>IF(4959.94565="","-",4959.94565/5301854.22844*100)</f>
        <v>0.093551150904792</v>
      </c>
    </row>
    <row r="36" spans="1:5" ht="15.75">
      <c r="A36" s="56" t="s">
        <v>122</v>
      </c>
      <c r="B36" s="45">
        <f>IF(2711.60904="","-",2711.60904)</f>
        <v>2711.60904</v>
      </c>
      <c r="C36" s="57" t="s">
        <v>107</v>
      </c>
      <c r="D36" s="45">
        <f>IF(1704.90306="","-",1704.90306/5240739.99296*100)</f>
        <v>0.032531723807901806</v>
      </c>
      <c r="E36" s="45">
        <f>IF(2711.60904="","-",2711.60904/5301854.22844*100)</f>
        <v>0.051144541572917875</v>
      </c>
    </row>
    <row r="37" ht="17.25" customHeight="1">
      <c r="A37" s="32" t="s">
        <v>21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81"/>
  <sheetViews>
    <sheetView zoomScalePageLayoutView="0" workbookViewId="0" topLeftCell="A1">
      <selection activeCell="K11" sqref="K11"/>
    </sheetView>
  </sheetViews>
  <sheetFormatPr defaultColWidth="9.00390625" defaultRowHeight="15.75"/>
  <cols>
    <col min="1" max="1" width="27.25390625" style="0" customWidth="1"/>
    <col min="2" max="2" width="12.375" style="0" customWidth="1"/>
    <col min="3" max="3" width="9.875" style="0" customWidth="1"/>
    <col min="4" max="4" width="8.50390625" style="0" customWidth="1"/>
    <col min="5" max="5" width="8.625" style="0" customWidth="1"/>
    <col min="6" max="6" width="9.375" style="0" customWidth="1"/>
    <col min="7" max="7" width="9.75390625" style="0" customWidth="1"/>
  </cols>
  <sheetData>
    <row r="1" spans="1:7" ht="15.75">
      <c r="A1" s="72" t="s">
        <v>128</v>
      </c>
      <c r="B1" s="72"/>
      <c r="C1" s="72"/>
      <c r="D1" s="72"/>
      <c r="E1" s="72"/>
      <c r="F1" s="72"/>
      <c r="G1" s="72"/>
    </row>
    <row r="2" spans="1:7" ht="15.75">
      <c r="A2" s="72" t="s">
        <v>23</v>
      </c>
      <c r="B2" s="72"/>
      <c r="C2" s="72"/>
      <c r="D2" s="72"/>
      <c r="E2" s="72"/>
      <c r="F2" s="72"/>
      <c r="G2" s="72"/>
    </row>
    <row r="3" ht="15.75">
      <c r="A3" s="6"/>
    </row>
    <row r="4" spans="1:7" ht="57" customHeight="1">
      <c r="A4" s="78"/>
      <c r="B4" s="63" t="s">
        <v>271</v>
      </c>
      <c r="C4" s="64"/>
      <c r="D4" s="81" t="s">
        <v>0</v>
      </c>
      <c r="E4" s="82"/>
      <c r="F4" s="75" t="s">
        <v>108</v>
      </c>
      <c r="G4" s="83"/>
    </row>
    <row r="5" spans="1:8" ht="26.25" customHeight="1">
      <c r="A5" s="79"/>
      <c r="B5" s="84" t="s">
        <v>113</v>
      </c>
      <c r="C5" s="69" t="s">
        <v>272</v>
      </c>
      <c r="D5" s="71" t="s">
        <v>273</v>
      </c>
      <c r="E5" s="71"/>
      <c r="F5" s="71" t="s">
        <v>273</v>
      </c>
      <c r="G5" s="63"/>
      <c r="H5" s="1"/>
    </row>
    <row r="6" spans="1:7" ht="31.5" customHeight="1">
      <c r="A6" s="80"/>
      <c r="B6" s="85"/>
      <c r="C6" s="70"/>
      <c r="D6" s="22">
        <v>2018</v>
      </c>
      <c r="E6" s="22">
        <v>2019</v>
      </c>
      <c r="F6" s="22" t="s">
        <v>112</v>
      </c>
      <c r="G6" s="18" t="s">
        <v>133</v>
      </c>
    </row>
    <row r="7" spans="1:7" ht="16.5" customHeight="1">
      <c r="A7" s="36" t="s">
        <v>101</v>
      </c>
      <c r="B7" s="37">
        <f>IF(2560982.65919="","-",2560982.65919)</f>
        <v>2560982.65919</v>
      </c>
      <c r="C7" s="37">
        <f>IF(2487345.59713="","-",2560982.65919/2487345.59713*100)</f>
        <v>102.96046766259444</v>
      </c>
      <c r="D7" s="37">
        <v>100</v>
      </c>
      <c r="E7" s="37">
        <v>100</v>
      </c>
      <c r="F7" s="37">
        <f>IF(2191887.38519="","-",(2487345.59713-2191887.38519)/2191887.38519*100)</f>
        <v>13.479625547203423</v>
      </c>
      <c r="G7" s="37">
        <f>IF(2487345.59713="","-",(2560982.65919-2487345.59713)/2487345.59713*100)</f>
        <v>2.9604676625944273</v>
      </c>
    </row>
    <row r="8" spans="1:7" ht="16.5" customHeight="1">
      <c r="A8" s="38" t="s">
        <v>150</v>
      </c>
      <c r="B8" s="33"/>
      <c r="C8" s="33"/>
      <c r="D8" s="33"/>
      <c r="E8" s="33"/>
      <c r="F8" s="33"/>
      <c r="G8" s="33"/>
    </row>
    <row r="9" spans="1:7" ht="15.75">
      <c r="A9" s="47" t="s">
        <v>195</v>
      </c>
      <c r="B9" s="40">
        <f>IF(579120.45362="","-",579120.45362)</f>
        <v>579120.45362</v>
      </c>
      <c r="C9" s="40">
        <f>IF(558557.27385="","-",579120.45362/558557.27385*100)</f>
        <v>103.68148097477328</v>
      </c>
      <c r="D9" s="40">
        <f>IF(558557.27385="","-",558557.27385/2487345.59713*100)</f>
        <v>22.455957647963594</v>
      </c>
      <c r="E9" s="40">
        <f>IF(579120.45362="","-",579120.45362/2560982.65919*100)</f>
        <v>22.613212609692837</v>
      </c>
      <c r="F9" s="40">
        <f>IF(2191887.38519="","-",(558557.27385-545327.03121)/2191887.38519*100)</f>
        <v>0.6036004737010298</v>
      </c>
      <c r="G9" s="40">
        <f>IF(2487345.59713="","-",(579120.45362-558557.27385)/2487345.59713*100)</f>
        <v>0.8267118085129253</v>
      </c>
    </row>
    <row r="10" spans="1:7" ht="13.5" customHeight="1">
      <c r="A10" s="34" t="s">
        <v>24</v>
      </c>
      <c r="B10" s="41">
        <f>IF(8973.40312="","-",8973.40312)</f>
        <v>8973.40312</v>
      </c>
      <c r="C10" s="41">
        <f>IF(OR(11656.0891="",8973.40312=""),"-",8973.40312/11656.0891*100)</f>
        <v>76.98468193761492</v>
      </c>
      <c r="D10" s="41">
        <f>IF(11656.0891="","-",11656.0891/2487345.59713*100)</f>
        <v>0.46861558415723437</v>
      </c>
      <c r="E10" s="41">
        <f>IF(8973.40312="","-",8973.40312/2560982.65919*100)</f>
        <v>0.3503890620968965</v>
      </c>
      <c r="F10" s="41">
        <f>IF(OR(2191887.38519="",7193.23845="",11656.0891=""),"-",(11656.0891-7193.23845)/2191887.38519*100)</f>
        <v>0.20360766160498456</v>
      </c>
      <c r="G10" s="41">
        <f>IF(OR(2487345.59713="",8973.40312="",11656.0891=""),"-",(8973.40312-11656.0891)/2487345.59713*100)</f>
        <v>-0.10785336718369132</v>
      </c>
    </row>
    <row r="11" spans="1:10" ht="13.5" customHeight="1">
      <c r="A11" s="34" t="s">
        <v>196</v>
      </c>
      <c r="B11" s="41">
        <f>IF(7670.71485="","-",7670.71485)</f>
        <v>7670.71485</v>
      </c>
      <c r="C11" s="41">
        <f>IF(OR(8394.10692="",7670.71485=""),"-",7670.71485/8394.10692*100)</f>
        <v>91.38214372423076</v>
      </c>
      <c r="D11" s="41">
        <f>IF(8394.10692="","-",8394.10692/2487345.59713*100)</f>
        <v>0.3374724818973873</v>
      </c>
      <c r="E11" s="41">
        <f>IF(7670.71485="","-",7670.71485/2560982.65919*100)</f>
        <v>0.29952232680974616</v>
      </c>
      <c r="F11" s="41">
        <f>IF(OR(2191887.38519="",10173.46491="",8394.10692=""),"-",(8394.10692-10173.46491)/2191887.38519*100)</f>
        <v>-0.08117926139922375</v>
      </c>
      <c r="G11" s="41">
        <f>IF(OR(2487345.59713="",7670.71485="",8394.10692=""),"-",(7670.71485-8394.10692)/2487345.59713*100)</f>
        <v>-0.0290828934601882</v>
      </c>
      <c r="J11" s="15"/>
    </row>
    <row r="12" spans="1:10" s="9" customFormat="1" ht="13.5" customHeight="1">
      <c r="A12" s="34" t="s">
        <v>197</v>
      </c>
      <c r="B12" s="41">
        <f>IF(14257.66915="","-",14257.66915)</f>
        <v>14257.66915</v>
      </c>
      <c r="C12" s="41">
        <f>IF(OR(19448.49654="",14257.66915=""),"-",14257.66915/19448.49654*100)</f>
        <v>73.30987832748947</v>
      </c>
      <c r="D12" s="41">
        <f>IF(19448.49654="","-",19448.49654/2487345.59713*100)</f>
        <v>0.7818976406994051</v>
      </c>
      <c r="E12" s="41">
        <f>IF(14257.66915="","-",14257.66915/2560982.65919*100)</f>
        <v>0.5567265010107286</v>
      </c>
      <c r="F12" s="41">
        <f>IF(OR(2191887.38519="",19068.65656="",19448.49654=""),"-",(19448.49654-19068.65656)/2191887.38519*100)</f>
        <v>0.01732935654297198</v>
      </c>
      <c r="G12" s="41">
        <f>IF(OR(2487345.59713="",14257.66915="",19448.49654=""),"-",(14257.66915-19448.49654)/2487345.59713*100)</f>
        <v>-0.20868943165716042</v>
      </c>
      <c r="J12" s="15"/>
    </row>
    <row r="13" spans="1:10" s="9" customFormat="1" ht="14.25" customHeight="1">
      <c r="A13" s="34" t="s">
        <v>198</v>
      </c>
      <c r="B13" s="41">
        <f>IF(22.41187="","-",22.41187)</f>
        <v>22.41187</v>
      </c>
      <c r="C13" s="41">
        <f>IF(OR(17.81796="",22.41187=""),"-",22.41187/17.81796*100)</f>
        <v>125.78246892461316</v>
      </c>
      <c r="D13" s="41">
        <f>IF(17.81796="","-",17.81796/2487345.59713*100)</f>
        <v>0.0007163443640706415</v>
      </c>
      <c r="E13" s="41">
        <f>IF(22.41187="","-",22.41187/2560982.65919*100)</f>
        <v>0.0008751277529965211</v>
      </c>
      <c r="F13" s="41">
        <f>IF(OR(2191887.38519="",27.61945="",17.81796=""),"-",(17.81796-27.61945)/2191887.38519*100)</f>
        <v>-0.00044717124001105455</v>
      </c>
      <c r="G13" s="41">
        <f>IF(OR(2487345.59713="",22.41187="",17.81796=""),"-",(22.41187-17.81796)/2487345.59713*100)</f>
        <v>0.00018469126305973083</v>
      </c>
      <c r="J13" s="15"/>
    </row>
    <row r="14" spans="1:10" s="9" customFormat="1" ht="15.75">
      <c r="A14" s="34" t="s">
        <v>199</v>
      </c>
      <c r="B14" s="41">
        <f>IF(232935.05612="","-",232935.05612)</f>
        <v>232935.05612</v>
      </c>
      <c r="C14" s="41">
        <f>IF(OR(215305.10447="",232935.05612=""),"-",232935.05612/215305.10447*100)</f>
        <v>108.18835749082601</v>
      </c>
      <c r="D14" s="41">
        <f>IF(215305.10447="","-",215305.10447/2487345.59713*100)</f>
        <v>8.656018878857354</v>
      </c>
      <c r="E14" s="41">
        <f>IF(232935.05612="","-",232935.05612/2560982.65919*100)</f>
        <v>9.095534297513511</v>
      </c>
      <c r="F14" s="41">
        <f>IF(OR(2191887.38519="",181821.28285="",215305.10447=""),"-",(215305.10447-181821.28285)/2191887.38519*100)</f>
        <v>1.5276250890552718</v>
      </c>
      <c r="G14" s="41">
        <f>IF(OR(2487345.59713="",232935.05612="",215305.10447=""),"-",(232935.05612-215305.10447)/2487345.59713*100)</f>
        <v>0.7087857702742294</v>
      </c>
      <c r="J14" s="15"/>
    </row>
    <row r="15" spans="1:10" s="9" customFormat="1" ht="15.75">
      <c r="A15" s="34" t="s">
        <v>200</v>
      </c>
      <c r="B15" s="41">
        <f>IF(261406.30549="","-",261406.30549)</f>
        <v>261406.30549</v>
      </c>
      <c r="C15" s="41">
        <f>IF(OR(242955.01022="",261406.30549=""),"-",261406.30549/242955.01022*100)</f>
        <v>107.59453170086594</v>
      </c>
      <c r="D15" s="41">
        <f>IF(242955.01022="","-",242955.01022/2487345.59713*100)</f>
        <v>9.767641878970549</v>
      </c>
      <c r="E15" s="41">
        <f>IF(261406.30549="","-",261406.30549/2560982.65919*100)</f>
        <v>10.207265736530948</v>
      </c>
      <c r="F15" s="41">
        <f>IF(OR(2191887.38519="",261978.57849="",242955.01022=""),"-",(242955.01022-261978.57849)/2191887.38519*100)</f>
        <v>-0.8679081050667663</v>
      </c>
      <c r="G15" s="41">
        <f>IF(OR(2487345.59713="",261406.30549="",242955.01022=""),"-",(261406.30549-242955.01022)/2487345.59713*100)</f>
        <v>0.7418066589254767</v>
      </c>
      <c r="J15" s="15"/>
    </row>
    <row r="16" spans="1:10" s="9" customFormat="1" ht="15" customHeight="1">
      <c r="A16" s="34" t="s">
        <v>201</v>
      </c>
      <c r="B16" s="41">
        <f>IF(19933.95374="","-",19933.95374)</f>
        <v>19933.95374</v>
      </c>
      <c r="C16" s="41">
        <f>IF(OR(29482.73383="",19933.95374=""),"-",19933.95374/29482.73383*100)</f>
        <v>67.612297607613</v>
      </c>
      <c r="D16" s="41">
        <f>IF(29482.73383="","-",29482.73383/2487345.59713*100)</f>
        <v>1.1853091047749205</v>
      </c>
      <c r="E16" s="41">
        <f>IF(19933.95374="","-",19933.95374/2560982.65919*100)</f>
        <v>0.778371289179475</v>
      </c>
      <c r="F16" s="41">
        <f>IF(OR(2191887.38519="",39477.08667="",29482.73383=""),"-",(29482.73383-39477.08667)/2191887.38519*100)</f>
        <v>-0.4559701792860883</v>
      </c>
      <c r="G16" s="41">
        <f>IF(OR(2487345.59713="",19933.95374="",29482.73383=""),"-",(19933.95374-29482.73383)/2487345.59713*100)</f>
        <v>-0.3838943852843677</v>
      </c>
      <c r="J16" s="15"/>
    </row>
    <row r="17" spans="1:10" s="9" customFormat="1" ht="25.5">
      <c r="A17" s="34" t="s">
        <v>202</v>
      </c>
      <c r="B17" s="41">
        <f>IF(9352.931="","-",9352.931)</f>
        <v>9352.931</v>
      </c>
      <c r="C17" s="41">
        <f>IF(OR(10441.41567="",9352.931=""),"-",9352.931/10441.41567*100)</f>
        <v>89.57531522159964</v>
      </c>
      <c r="D17" s="41">
        <f>IF(10441.41567="","-",10441.41567/2487345.59713*100)</f>
        <v>0.419781460286328</v>
      </c>
      <c r="E17" s="41">
        <f>IF(9352.931="","-",9352.931/2560982.65919*100)</f>
        <v>0.365208681380068</v>
      </c>
      <c r="F17" s="41">
        <f>IF(OR(2191887.38519="",9200.79664="",10441.41567=""),"-",(10441.41567-9200.79664)/2191887.38519*100)</f>
        <v>0.05660049135656022</v>
      </c>
      <c r="G17" s="41">
        <f>IF(OR(2487345.59713="",9352.931="",10441.41567=""),"-",(9352.931-10441.41567)/2487345.59713*100)</f>
        <v>-0.04376089399301558</v>
      </c>
      <c r="J17" s="15"/>
    </row>
    <row r="18" spans="1:10" s="9" customFormat="1" ht="25.5">
      <c r="A18" s="34" t="s">
        <v>203</v>
      </c>
      <c r="B18" s="41">
        <f>IF(21980.55006="","-",21980.55006)</f>
        <v>21980.55006</v>
      </c>
      <c r="C18" s="41">
        <f>IF(OR(18305.02557="",21980.55006=""),"-",21980.55006/18305.02557*100)</f>
        <v>120.07931906975205</v>
      </c>
      <c r="D18" s="41">
        <f>IF(18305.02557="","-",18305.02557/2487345.59713*100)</f>
        <v>0.7359261049659155</v>
      </c>
      <c r="E18" s="41">
        <f>IF(21980.55006="","-",21980.55006/2560982.65919*100)</f>
        <v>0.8582857826515747</v>
      </c>
      <c r="F18" s="41">
        <f>IF(OR(2191887.38519="",13729.97017="",18305.02557=""),"-",(18305.02557-13729.97017)/2191887.38519*100)</f>
        <v>0.20872675443603692</v>
      </c>
      <c r="G18" s="41">
        <f>IF(OR(2487345.59713="",21980.55006="",18305.02557=""),"-",(21980.55006-18305.02557)/2487345.59713*100)</f>
        <v>0.14776895073370458</v>
      </c>
      <c r="J18" s="15"/>
    </row>
    <row r="19" spans="1:10" s="9" customFormat="1" ht="15.75" customHeight="1">
      <c r="A19" s="34" t="s">
        <v>204</v>
      </c>
      <c r="B19" s="41">
        <f>IF(2587.45822="","-",2587.45822)</f>
        <v>2587.45822</v>
      </c>
      <c r="C19" s="41">
        <f>IF(OR(2551.47357="",2587.45822=""),"-",2587.45822/2551.47357*100)</f>
        <v>101.41034774661608</v>
      </c>
      <c r="D19" s="41">
        <f>IF(2551.47357="","-",2551.47357/2487345.59713*100)</f>
        <v>0.10257816899042872</v>
      </c>
      <c r="E19" s="41">
        <f>IF(2587.45822="","-",2587.45822/2560982.65919*100)</f>
        <v>0.10103380476689262</v>
      </c>
      <c r="F19" s="41">
        <f>IF(OR(2191887.38519="",2656.33702="",2551.47357=""),"-",(2551.47357-2656.33702)/2191887.38519*100)</f>
        <v>-0.004784162302704705</v>
      </c>
      <c r="G19" s="41">
        <f>IF(OR(2487345.59713="",2587.45822="",2551.47357=""),"-",(2587.45822-2551.47357)/2487345.59713*100)</f>
        <v>0.0014467088948765469</v>
      </c>
      <c r="J19" s="15"/>
    </row>
    <row r="20" spans="1:10" s="9" customFormat="1" ht="15.75">
      <c r="A20" s="47" t="s">
        <v>205</v>
      </c>
      <c r="B20" s="40">
        <f>IF(200563.87918="","-",200563.87918)</f>
        <v>200563.87918</v>
      </c>
      <c r="C20" s="40">
        <f>IF(201422.44034="","-",200563.87918/201422.44034*100)</f>
        <v>99.57375098894107</v>
      </c>
      <c r="D20" s="40">
        <f>IF(201422.44034="","-",201422.44034/2487345.59713*100)</f>
        <v>8.097887184330531</v>
      </c>
      <c r="E20" s="40">
        <f>IF(200563.87918="","-",200563.87918/2560982.65919*100)</f>
        <v>7.831520391607623</v>
      </c>
      <c r="F20" s="40">
        <f>IF(2191887.38519="","-",(201422.44034-180385.72485)/2191887.38519*100)</f>
        <v>0.9597534815036345</v>
      </c>
      <c r="G20" s="40">
        <f>IF(2487345.59713="","-",(200563.87918-201422.44034)/2487345.59713*100)</f>
        <v>-0.03451716403987667</v>
      </c>
      <c r="J20" s="15"/>
    </row>
    <row r="21" spans="1:7" s="9" customFormat="1" ht="15.75">
      <c r="A21" s="34" t="s">
        <v>206</v>
      </c>
      <c r="B21" s="41">
        <f>IF(179322.64966="","-",179322.64966)</f>
        <v>179322.64966</v>
      </c>
      <c r="C21" s="41">
        <f>IF(OR(180610.32833="",179322.64966=""),"-",179322.64966/180610.32833*100)</f>
        <v>99.2870404024474</v>
      </c>
      <c r="D21" s="41">
        <f>IF(180610.32833="","-",180610.32833/2487345.59713*100)</f>
        <v>7.261167428378086</v>
      </c>
      <c r="E21" s="41">
        <f>IF(179322.64966="","-",179322.64966/2560982.65919*100)</f>
        <v>7.002103236291222</v>
      </c>
      <c r="F21" s="41">
        <f>IF(OR(2191887.38519="",163373.06108="",180610.32833=""),"-",(180610.32833-163373.06108)/2191887.38519*100)</f>
        <v>0.7864120833245178</v>
      </c>
      <c r="G21" s="41">
        <f>IF(OR(2487345.59713="",179322.64966="",180610.32833=""),"-",(179322.64966-180610.32833)/2487345.59713*100)</f>
        <v>-0.05176919007498473</v>
      </c>
    </row>
    <row r="22" spans="1:7" s="9" customFormat="1" ht="15.75">
      <c r="A22" s="34" t="s">
        <v>207</v>
      </c>
      <c r="B22" s="41">
        <f>IF(21241.22952="","-",21241.22952)</f>
        <v>21241.22952</v>
      </c>
      <c r="C22" s="41">
        <f>IF(OR(20812.11201="",21241.22952=""),"-",21241.22952/20812.11201*100)</f>
        <v>102.06186431148272</v>
      </c>
      <c r="D22" s="41">
        <f>IF(20812.11201="","-",20812.11201/2487345.59713*100)</f>
        <v>0.8367197559524441</v>
      </c>
      <c r="E22" s="41">
        <f>IF(21241.22952="","-",21241.22952/2560982.65919*100)</f>
        <v>0.8294171553164004</v>
      </c>
      <c r="F22" s="41">
        <f>IF(OR(2191887.38519="",17012.66377="",20812.11201=""),"-",(20812.11201-17012.66377)/2191887.38519*100)</f>
        <v>0.17334139817911554</v>
      </c>
      <c r="G22" s="41">
        <f>IF(OR(2487345.59713="",21241.22952="",20812.11201=""),"-",(21241.22952-20812.11201)/2487345.59713*100)</f>
        <v>0.0172520260351088</v>
      </c>
    </row>
    <row r="23" spans="1:7" s="9" customFormat="1" ht="25.5">
      <c r="A23" s="47" t="s">
        <v>25</v>
      </c>
      <c r="B23" s="40">
        <f>IF(270368.99177="","-",270368.99177)</f>
        <v>270368.99177</v>
      </c>
      <c r="C23" s="40">
        <f>IF(251288.67762="","-",270368.99177/251288.67762*100)</f>
        <v>107.59298601541187</v>
      </c>
      <c r="D23" s="40">
        <f>IF(251288.67762="","-",251288.67762/2487345.59713*100)</f>
        <v>10.102684480594375</v>
      </c>
      <c r="E23" s="40">
        <f>IF(270368.99177="","-",270368.99177/2560982.65919*100)</f>
        <v>10.557236332694014</v>
      </c>
      <c r="F23" s="40">
        <f>IF(2191887.38519="","-",(251288.67762-241562.7016)/2191887.38519*100)</f>
        <v>0.4437260821753816</v>
      </c>
      <c r="G23" s="40">
        <f>IF(2487345.59713="","-",(270368.99177-251288.67762)/2487345.59713*100)</f>
        <v>0.7670954197927163</v>
      </c>
    </row>
    <row r="24" spans="1:7" s="9" customFormat="1" ht="15.75" customHeight="1">
      <c r="A24" s="34" t="s">
        <v>208</v>
      </c>
      <c r="B24" s="41">
        <f>IF(1467.75085="","-",1467.75085)</f>
        <v>1467.75085</v>
      </c>
      <c r="C24" s="41">
        <f>IF(OR(2757.90108="",1467.75085=""),"-",1467.75085/2757.90108*100)</f>
        <v>53.21985116304461</v>
      </c>
      <c r="D24" s="41">
        <f>IF(2757.90108="","-",2757.90108/2487345.59713*100)</f>
        <v>0.11087727749542235</v>
      </c>
      <c r="E24" s="41">
        <f>IF(1467.75085="","-",1467.75085/2560982.65919*100)</f>
        <v>0.05731201828848881</v>
      </c>
      <c r="F24" s="41">
        <f>IF(OR(2191887.38519="",3407.04319="",2757.90108=""),"-",(2757.90108-3407.04319)/2191887.38519*100)</f>
        <v>-0.02961566886994653</v>
      </c>
      <c r="G24" s="41">
        <f>IF(OR(2487345.59713="",1467.75085="",2757.90108=""),"-",(1467.75085-2757.90108)/2487345.59713*100)</f>
        <v>-0.05186855543872262</v>
      </c>
    </row>
    <row r="25" spans="1:8" s="9" customFormat="1" ht="15.75">
      <c r="A25" s="34" t="s">
        <v>209</v>
      </c>
      <c r="B25" s="41">
        <f>IF(237614.38204="","-",237614.38204)</f>
        <v>237614.38204</v>
      </c>
      <c r="C25" s="41">
        <f>IF(OR(214401.96502="",237614.38204=""),"-",237614.38204/214401.96502*100)</f>
        <v>110.82658781501125</v>
      </c>
      <c r="D25" s="41">
        <f>IF(214401.96502="","-",214401.96502/2487345.59713*100)</f>
        <v>8.619709511512418</v>
      </c>
      <c r="E25" s="41">
        <f>IF(237614.38204="","-",237614.38204/2560982.65919*100)</f>
        <v>9.278250330486573</v>
      </c>
      <c r="F25" s="41">
        <f>IF(OR(2191887.38519="",208023.7419="",214401.96502=""),"-",(214401.96502-208023.7419)/2191887.38519*100)</f>
        <v>0.2909922819528032</v>
      </c>
      <c r="G25" s="41">
        <f>IF(OR(2487345.59713="",237614.38204="",214401.96502=""),"-",(237614.38204-214401.96502)/2487345.59713*100)</f>
        <v>0.933220419662769</v>
      </c>
      <c r="H25" s="7"/>
    </row>
    <row r="26" spans="1:8" s="9" customFormat="1" ht="25.5">
      <c r="A26" s="34" t="s">
        <v>248</v>
      </c>
      <c r="B26" s="41">
        <f>IF(1.25194="","-",1.25194)</f>
        <v>1.25194</v>
      </c>
      <c r="C26" s="41">
        <f>IF(OR(1.05346="",1.25194=""),"-",1.25194/1.05346*100)</f>
        <v>118.8407723121903</v>
      </c>
      <c r="D26" s="41">
        <f>IF(1.05346="","-",1.05346/2487345.59713*100)</f>
        <v>4.2352779654565284E-05</v>
      </c>
      <c r="E26" s="41">
        <f>IF(1.25194="","-",1.25194/2560982.65919*100)</f>
        <v>4.888514162747083E-05</v>
      </c>
      <c r="F26" s="41">
        <f>IF(OR(2191887.38519="",0.46425="",1.05346=""),"-",(1.05346-0.46425)/2191887.38519*100)</f>
        <v>2.688139928999707E-05</v>
      </c>
      <c r="G26" s="41">
        <f>IF(OR(2487345.59713="",1.25194="",1.05346=""),"-",(1.25194-1.05346)/2487345.59713*100)</f>
        <v>7.979590782600305E-06</v>
      </c>
      <c r="H26" s="8"/>
    </row>
    <row r="27" spans="1:8" s="9" customFormat="1" ht="15.75">
      <c r="A27" s="34" t="s">
        <v>210</v>
      </c>
      <c r="B27" s="41">
        <f>IF(1014.16241="","-",1014.16241)</f>
        <v>1014.16241</v>
      </c>
      <c r="C27" s="41">
        <f>IF(OR(765.79885="",1014.16241=""),"-",1014.16241/765.79885*100)</f>
        <v>132.43195781764362</v>
      </c>
      <c r="D27" s="41">
        <f>IF(765.79885="","-",765.79885/2487345.59713*100)</f>
        <v>0.030787794461839546</v>
      </c>
      <c r="E27" s="41">
        <f>IF(1014.16241="","-",1014.16241/2560982.65919*100)</f>
        <v>0.03960051843227881</v>
      </c>
      <c r="F27" s="41">
        <f>IF(OR(2191887.38519="",553.14083="",765.79885=""),"-",(765.79885-553.14083)/2191887.38519*100)</f>
        <v>0.009702050453726485</v>
      </c>
      <c r="G27" s="41">
        <f>IF(OR(2487345.59713="",1014.16241="",765.79885=""),"-",(1014.16241-765.79885)/2487345.59713*100)</f>
        <v>0.009985084512846623</v>
      </c>
      <c r="H27" s="8"/>
    </row>
    <row r="28" spans="1:8" s="9" customFormat="1" ht="15.75">
      <c r="A28" s="34" t="s">
        <v>211</v>
      </c>
      <c r="B28" s="41">
        <f>IF(2456.87226="","-",2456.87226)</f>
        <v>2456.87226</v>
      </c>
      <c r="C28" s="41">
        <f>IF(OR(3037.48898="",2456.87226=""),"-",2456.87226/3037.48898*100)</f>
        <v>80.8849769061549</v>
      </c>
      <c r="D28" s="41">
        <f>IF(3037.48898="","-",3037.48898/2487345.59713*100)</f>
        <v>0.12211768977759976</v>
      </c>
      <c r="E28" s="41">
        <f>IF(2456.87226="","-",2456.87226/2560982.65919*100)</f>
        <v>0.09593474798369277</v>
      </c>
      <c r="F28" s="41">
        <f>IF(OR(2191887.38519="",2671.87132="",3037.48898=""),"-",(3037.48898-2671.87132)/2191887.38519*100)</f>
        <v>0.016680494740303777</v>
      </c>
      <c r="G28" s="41">
        <f>IF(OR(2487345.59713="",2456.87226="",3037.48898=""),"-",(2456.87226-3037.48898)/2487345.59713*100)</f>
        <v>-0.023342824602658314</v>
      </c>
      <c r="H28" s="8"/>
    </row>
    <row r="29" spans="1:8" s="9" customFormat="1" ht="38.25">
      <c r="A29" s="34" t="s">
        <v>212</v>
      </c>
      <c r="B29" s="41">
        <f>IF(334.00058="","-",334.00058)</f>
        <v>334.00058</v>
      </c>
      <c r="C29" s="41">
        <f>IF(OR(344.83315="",334.00058=""),"-",334.00058/344.83315*100)</f>
        <v>96.8586053864021</v>
      </c>
      <c r="D29" s="41">
        <f>IF(344.83315="","-",344.83315/2487345.59713*100)</f>
        <v>0.013863499724279667</v>
      </c>
      <c r="E29" s="41">
        <f>IF(334.00058="","-",334.00058/2560982.65919*100)</f>
        <v>0.013041891509942491</v>
      </c>
      <c r="F29" s="41">
        <f>IF(OR(2191887.38519="",378.634="",344.83315=""),"-",(344.83315-378.634)/2191887.38519*100)</f>
        <v>-0.0015420888056742047</v>
      </c>
      <c r="G29" s="41">
        <f>IF(OR(2487345.59713="",334.00058="",344.83315=""),"-",(334.00058-344.83315)/2487345.59713*100)</f>
        <v>-0.00043550723359468154</v>
      </c>
      <c r="H29" s="8"/>
    </row>
    <row r="30" spans="1:7" s="9" customFormat="1" ht="38.25">
      <c r="A30" s="34" t="s">
        <v>213</v>
      </c>
      <c r="B30" s="41">
        <f>IF(8971.80077="","-",8971.80077)</f>
        <v>8971.80077</v>
      </c>
      <c r="C30" s="41">
        <f>IF(OR(9982.85726="",8971.80077=""),"-",8971.80077/9982.85726*100)</f>
        <v>89.8720730581697</v>
      </c>
      <c r="D30" s="41">
        <f>IF(9982.85726="","-",9982.85726/2487345.59713*100)</f>
        <v>0.4013458070128504</v>
      </c>
      <c r="E30" s="41">
        <f>IF(8971.80077="","-",8971.80077/2560982.65919*100)</f>
        <v>0.35032649431674184</v>
      </c>
      <c r="F30" s="41">
        <f>IF(OR(2191887.38519="",9584.05158="",9982.85726=""),"-",(9982.85726-9584.05158)/2191887.38519*100)</f>
        <v>0.018194624536580904</v>
      </c>
      <c r="G30" s="41">
        <f>IF(OR(2487345.59713="",8971.80077="",9982.85726=""),"-",(8971.80077-9982.85726)/2487345.59713*100)</f>
        <v>-0.04064801011836066</v>
      </c>
    </row>
    <row r="31" spans="1:7" s="9" customFormat="1" ht="16.5" customHeight="1">
      <c r="A31" s="34" t="s">
        <v>214</v>
      </c>
      <c r="B31" s="41">
        <f>IF(14773.73287="","-",14773.73287)</f>
        <v>14773.73287</v>
      </c>
      <c r="C31" s="41">
        <f>IF(OR(15773.92399="",14773.73287=""),"-",14773.73287/15773.92399*100)</f>
        <v>93.65921174316499</v>
      </c>
      <c r="D31" s="41">
        <f>IF(15773.92399="","-",15773.92399/2487345.59713*100)</f>
        <v>0.6341669612859826</v>
      </c>
      <c r="E31" s="41">
        <f>IF(14773.73287="","-",14773.73287/2560982.65919*100)</f>
        <v>0.5768775050852046</v>
      </c>
      <c r="F31" s="41">
        <f>IF(OR(2191887.38519="",14033.65336="",15773.92399=""),"-",(15773.92399-14033.65336)/2191887.38519*100)</f>
        <v>0.07939598730110611</v>
      </c>
      <c r="G31" s="41">
        <f>IF(OR(2487345.59713="",14773.73287="",15773.92399=""),"-",(14773.73287-15773.92399)/2487345.59713*100)</f>
        <v>-0.040211184209948965</v>
      </c>
    </row>
    <row r="32" spans="1:7" s="9" customFormat="1" ht="25.5">
      <c r="A32" s="34" t="s">
        <v>215</v>
      </c>
      <c r="B32" s="41">
        <f>IF(3735.03805="","-",3735.03805)</f>
        <v>3735.03805</v>
      </c>
      <c r="C32" s="41">
        <f>IF(OR(4222.85583="",3735.03805=""),"-",3735.03805/4222.85583*100)</f>
        <v>88.44815452769079</v>
      </c>
      <c r="D32" s="41">
        <f>IF(4222.85583="","-",4222.85583/2487345.59713*100)</f>
        <v>0.1697735865443267</v>
      </c>
      <c r="E32" s="41">
        <f>IF(3735.03805="","-",3735.03805/2560982.65919*100)</f>
        <v>0.14584394144946441</v>
      </c>
      <c r="F32" s="41">
        <f>IF(OR(2191887.38519="",2910.10117="",4222.85583=""),"-",(4222.85583-2910.10117)/2191887.38519*100)</f>
        <v>0.059891519467192275</v>
      </c>
      <c r="G32" s="41">
        <f>IF(OR(2487345.59713="",3735.03805="",4222.85583=""),"-",(3735.03805-4222.85583)/2487345.59713*100)</f>
        <v>-0.019611982370397754</v>
      </c>
    </row>
    <row r="33" spans="1:7" s="9" customFormat="1" ht="25.5">
      <c r="A33" s="47" t="s">
        <v>216</v>
      </c>
      <c r="B33" s="40">
        <f>IF(9709.00796="","-",9709.00796)</f>
        <v>9709.00796</v>
      </c>
      <c r="C33" s="40">
        <f>IF(16606.81361="","-",9709.00796/16606.81361*100)</f>
        <v>58.464002716051446</v>
      </c>
      <c r="D33" s="40">
        <f>IF(16606.81361="","-",16606.81361/2487345.59713*100)</f>
        <v>0.6676520395541984</v>
      </c>
      <c r="E33" s="40">
        <f>IF(9709.00796="","-",9709.00796/2560982.65919*100)</f>
        <v>0.37911260059335244</v>
      </c>
      <c r="F33" s="40">
        <f>IF(2191887.38519="","-",(16606.81361-16663.55014)/2191887.38519*100)</f>
        <v>-0.0025884783307460026</v>
      </c>
      <c r="G33" s="40">
        <f>IF(2487345.59713="","-",(9709.00796-16606.81361)/2487345.59713*100)</f>
        <v>-0.27731593301545904</v>
      </c>
    </row>
    <row r="34" spans="1:7" s="9" customFormat="1" ht="15.75">
      <c r="A34" s="34" t="s">
        <v>249</v>
      </c>
      <c r="B34" s="41">
        <f>IF(3.98403="","-",3.98403)</f>
        <v>3.98403</v>
      </c>
      <c r="C34" s="41">
        <f>IF(OR(18.25726="",3.98403=""),"-",3.98403/18.25726*100)</f>
        <v>21.8216205498525</v>
      </c>
      <c r="D34" s="41">
        <f>IF(18.25726="","-",18.25726/2487345.59713*100)</f>
        <v>0.0007340057618477289</v>
      </c>
      <c r="E34" s="41">
        <f>IF(3.98403="","-",3.98403/2560982.65919*100)</f>
        <v>0.00015556645749643962</v>
      </c>
      <c r="F34" s="41">
        <f>IF(OR(2191887.38519="",13.8022="",18.25726=""),"-",(18.25726-13.8022)/2191887.38519*100)</f>
        <v>0.00020325223047961568</v>
      </c>
      <c r="G34" s="41">
        <f>IF(OR(2487345.59713="",3.98403="",18.25726=""),"-",(3.98403-18.25726)/2487345.59713*100)</f>
        <v>-0.0005738338096832635</v>
      </c>
    </row>
    <row r="35" spans="1:7" s="9" customFormat="1" ht="25.5">
      <c r="A35" s="34" t="s">
        <v>217</v>
      </c>
      <c r="B35" s="41">
        <f>IF(9671.70526="","-",9671.70526)</f>
        <v>9671.70526</v>
      </c>
      <c r="C35" s="41">
        <f>IF(OR(16571.72434="",9671.70526=""),"-",9671.70526/16571.72434*100)</f>
        <v>58.36269697447791</v>
      </c>
      <c r="D35" s="41">
        <f>IF(16571.72434="","-",16571.72434/2487345.59713*100)</f>
        <v>0.6662413280696147</v>
      </c>
      <c r="E35" s="41">
        <f>IF(9671.70526="","-",9671.70526/2560982.65919*100)</f>
        <v>0.3776560229837329</v>
      </c>
      <c r="F35" s="41">
        <f>IF(OR(2191887.38519="",16643.21771="",16571.72434=""),"-",(16571.72434-16643.21771)/2191887.38519*100)</f>
        <v>-0.0032617264227652308</v>
      </c>
      <c r="G35" s="41">
        <f>IF(OR(2487345.59713="",9671.70526="",16571.72434=""),"-",(9671.70526-16571.72434)/2487345.59713*100)</f>
        <v>-0.2774049206496082</v>
      </c>
    </row>
    <row r="36" spans="1:7" s="9" customFormat="1" ht="25.5">
      <c r="A36" s="34" t="s">
        <v>250</v>
      </c>
      <c r="B36" s="41">
        <f>IF(26.11124="","-",26.11124)</f>
        <v>26.11124</v>
      </c>
      <c r="C36" s="41" t="s">
        <v>166</v>
      </c>
      <c r="D36" s="41">
        <f>IF(9.38137="","-",9.38137/2487345.59713*100)</f>
        <v>0.0003771639136445134</v>
      </c>
      <c r="E36" s="41">
        <f>IF(26.11124="","-",26.11124/2560982.65919*100)</f>
        <v>0.0010195789458511439</v>
      </c>
      <c r="F36" s="41" t="str">
        <f>IF(OR(2191887.38519="",""="",9.38137=""),"-",(9.38137-"")/2191887.38519*100)</f>
        <v>-</v>
      </c>
      <c r="G36" s="41">
        <f>IF(OR(2487345.59713="",26.11124="",9.38137=""),"-",(26.11124-9.38137)/2487345.59713*100)</f>
        <v>0.0006725993371931748</v>
      </c>
    </row>
    <row r="37" spans="1:7" s="9" customFormat="1" ht="15.75">
      <c r="A37" s="34" t="s">
        <v>218</v>
      </c>
      <c r="B37" s="41">
        <f>IF(7.20743="","-",7.20743)</f>
        <v>7.20743</v>
      </c>
      <c r="C37" s="41">
        <f>IF(OR(7.45064="",7.20743=""),"-",7.20743/7.45064*100)</f>
        <v>96.7357166632665</v>
      </c>
      <c r="D37" s="41">
        <f>IF(7.45064="","-",7.45064/2487345.59713*100)</f>
        <v>0.0002995418090914608</v>
      </c>
      <c r="E37" s="41">
        <f>IF(7.20743="","-",7.20743/2560982.65919*100)</f>
        <v>0.0002814322062719316</v>
      </c>
      <c r="F37" s="41">
        <f>IF(OR(2191887.38519="",6.53023="",7.45064=""),"-",(7.45064-6.53023)/2191887.38519*100)</f>
        <v>4.199166463655775E-05</v>
      </c>
      <c r="G37" s="41">
        <f>IF(OR(2487345.59713="",7.20743="",7.45064=""),"-",(7.20743-7.45064)/2487345.59713*100)</f>
        <v>-9.777893360722607E-06</v>
      </c>
    </row>
    <row r="38" spans="1:7" s="9" customFormat="1" ht="25.5">
      <c r="A38" s="47" t="s">
        <v>219</v>
      </c>
      <c r="B38" s="40">
        <f>IF(57370.79503="","-",57370.79503)</f>
        <v>57370.79503</v>
      </c>
      <c r="C38" s="40">
        <f>IF(63184.3760699999="","-",57370.79503/63184.3760699999*100)</f>
        <v>90.79902121125764</v>
      </c>
      <c r="D38" s="40">
        <f>IF(63184.3760699999="","-",63184.3760699999/2487345.59713*100)</f>
        <v>2.5402330959921526</v>
      </c>
      <c r="E38" s="40">
        <f>IF(57370.79503="","-",57370.79503/2560982.65919*100)</f>
        <v>2.240186782371479</v>
      </c>
      <c r="F38" s="40">
        <f>IF(2191887.38519="","-",(63184.3760699999-43924.6032)/2191887.38519*100)</f>
        <v>0.8786844160029873</v>
      </c>
      <c r="G38" s="40">
        <f>IF(2487345.59713="","-",(57370.79503-63184.3760699999)/2487345.59713*100)</f>
        <v>-0.23372630834685137</v>
      </c>
    </row>
    <row r="39" spans="1:7" s="9" customFormat="1" ht="25.5">
      <c r="A39" s="34" t="s">
        <v>220</v>
      </c>
      <c r="B39" s="41">
        <f>IF(57344.39581="","-",57344.39581)</f>
        <v>57344.39581</v>
      </c>
      <c r="C39" s="41">
        <f>IF(OR(63010.61314="",57344.39581=""),"-",57344.39581/63010.61314*100)</f>
        <v>91.00751913425992</v>
      </c>
      <c r="D39" s="41">
        <f>IF(63010.61314="","-",63010.61314/2487345.59713*100)</f>
        <v>2.5332472179460783</v>
      </c>
      <c r="E39" s="41">
        <f>IF(57344.39581="","-",57344.39581/2560982.65919*100)</f>
        <v>2.2391559585232477</v>
      </c>
      <c r="F39" s="41">
        <f>IF(OR(2191887.38519="",43802.77186="",63010.61314=""),"-",(63010.61314-43802.77186)/2191887.38519*100)</f>
        <v>0.8763151524016368</v>
      </c>
      <c r="G39" s="41">
        <f>IF(OR(2487345.59713="",57344.39581="",63010.61314=""),"-",(57344.39581-63010.61314)/2487345.59713*100)</f>
        <v>-0.22780177135569382</v>
      </c>
    </row>
    <row r="40" spans="1:7" s="9" customFormat="1" ht="63.75">
      <c r="A40" s="34" t="s">
        <v>221</v>
      </c>
      <c r="B40" s="41">
        <f>IF(26.39922="","-",26.39922)</f>
        <v>26.39922</v>
      </c>
      <c r="C40" s="41">
        <f>IF(OR(173.74538="",26.39922=""),"-",26.39922/173.74538*100)</f>
        <v>15.194199696130047</v>
      </c>
      <c r="D40" s="41">
        <f>IF(173.74538="","-",173.74538/2487345.59713*100)</f>
        <v>0.006985172474644233</v>
      </c>
      <c r="E40" s="41">
        <f>IF(26.39922="","-",26.39922/2560982.65919*100)</f>
        <v>0.0010308238482313534</v>
      </c>
      <c r="F40" s="41">
        <f>IF(OR(2191887.38519="",121.83134="",173.74538=""),"-",(173.74538-121.83134)/2191887.38519*100)</f>
        <v>0.002368462921533715</v>
      </c>
      <c r="G40" s="41">
        <f>IF(OR(2487345.59713="",26.39922="",173.74538=""),"-",(26.39922-173.74538)/2487345.59713*100)</f>
        <v>-0.005923831419727679</v>
      </c>
    </row>
    <row r="41" spans="1:7" s="9" customFormat="1" ht="25.5">
      <c r="A41" s="47" t="s">
        <v>222</v>
      </c>
      <c r="B41" s="40">
        <f>IF(139067.63868="","-",139067.63868)</f>
        <v>139067.63868</v>
      </c>
      <c r="C41" s="40">
        <f>IF(118474.70679="","-",139067.63868/118474.70679*100)</f>
        <v>117.38171163107549</v>
      </c>
      <c r="D41" s="40">
        <f>IF(118474.70679="","-",118474.70679/2487345.59713*100)</f>
        <v>4.763097935674918</v>
      </c>
      <c r="E41" s="40">
        <f>IF(139067.63868="","-",139067.63868/2560982.65919*100)</f>
        <v>5.430245229539547</v>
      </c>
      <c r="F41" s="40">
        <f>IF(2191887.38519="","-",(118474.70679-119464.29129)/2191887.38519*100)</f>
        <v>-0.04514759775918947</v>
      </c>
      <c r="G41" s="40">
        <f>IF(2487345.59713="","-",(139067.63868-118474.70679)/2487345.59713*100)</f>
        <v>0.8279079478847237</v>
      </c>
    </row>
    <row r="42" spans="1:7" s="9" customFormat="1" ht="15.75">
      <c r="A42" s="34" t="s">
        <v>26</v>
      </c>
      <c r="B42" s="41">
        <f>IF(21997.82235="","-",21997.82235)</f>
        <v>21997.82235</v>
      </c>
      <c r="C42" s="41">
        <f>IF(OR(23821.88014="",21997.82235=""),"-",21997.82235/23821.88014*100)</f>
        <v>92.34293103953128</v>
      </c>
      <c r="D42" s="41">
        <f>IF(23821.88014="","-",23821.88014/2487345.59713*100)</f>
        <v>0.9577229705227391</v>
      </c>
      <c r="E42" s="41">
        <f>IF(21997.82235="","-",21997.82235/2560982.65919*100)</f>
        <v>0.8589602225950869</v>
      </c>
      <c r="F42" s="41">
        <f>IF(OR(2191887.38519="",21170.53227="",23821.88014=""),"-",(23821.88014-21170.53227)/2191887.38519*100)</f>
        <v>0.12096186546418644</v>
      </c>
      <c r="G42" s="41">
        <f>IF(OR(2487345.59713="",21997.82235="",23821.88014=""),"-",(21997.82235-23821.88014)/2487345.59713*100)</f>
        <v>-0.07333350830317564</v>
      </c>
    </row>
    <row r="43" spans="1:7" s="9" customFormat="1" ht="15.75">
      <c r="A43" s="34" t="s">
        <v>27</v>
      </c>
      <c r="B43" s="41">
        <f>IF(1250.60035="","-",1250.60035)</f>
        <v>1250.60035</v>
      </c>
      <c r="C43" s="41">
        <f>IF(OR(1013.60972="",1250.60035=""),"-",1250.60035/1013.60972*100)</f>
        <v>123.38085609518423</v>
      </c>
      <c r="D43" s="41">
        <f>IF(1013.60972="","-",1013.60972/2487345.59713*100)</f>
        <v>0.040750658901985475</v>
      </c>
      <c r="E43" s="41">
        <f>IF(1250.60035="","-",1250.60035/2560982.65919*100)</f>
        <v>0.048832831628604065</v>
      </c>
      <c r="F43" s="41">
        <f>IF(OR(2191887.38519="",1071.69393="",1013.60972=""),"-",(1013.60972-1071.69393)/2191887.38519*100)</f>
        <v>-0.0026499632413808953</v>
      </c>
      <c r="G43" s="41">
        <f>IF(OR(2487345.59713="",1250.60035="",1013.60972=""),"-",(1250.60035-1013.60972)/2487345.59713*100)</f>
        <v>0.009527852915712608</v>
      </c>
    </row>
    <row r="44" spans="1:7" s="9" customFormat="1" ht="15.75">
      <c r="A44" s="34" t="s">
        <v>223</v>
      </c>
      <c r="B44" s="41">
        <f>IF(854.96682="","-",854.96682)</f>
        <v>854.96682</v>
      </c>
      <c r="C44" s="41">
        <f>IF(OR(2700.8668="",854.96682=""),"-",854.96682/2700.8668*100)</f>
        <v>31.655275262001076</v>
      </c>
      <c r="D44" s="41">
        <f>IF(2700.8668="","-",2700.8668/2487345.59713*100)</f>
        <v>0.10858429978995959</v>
      </c>
      <c r="E44" s="41">
        <f>IF(854.96682="","-",854.96682/2560982.65919*100)</f>
        <v>0.033384326790811346</v>
      </c>
      <c r="F44" s="41">
        <f>IF(OR(2191887.38519="",1095.10871="",2700.8668=""),"-",(2700.8668-1095.10871)/2191887.38519*100)</f>
        <v>0.07325915103347372</v>
      </c>
      <c r="G44" s="41">
        <f>IF(OR(2487345.59713="",854.96682="",2700.8668=""),"-",(854.96682-2700.8668)/2487345.59713*100)</f>
        <v>-0.07421164080013141</v>
      </c>
    </row>
    <row r="45" spans="1:7" s="9" customFormat="1" ht="15.75">
      <c r="A45" s="34" t="s">
        <v>224</v>
      </c>
      <c r="B45" s="41">
        <f>IF(94283.50734="","-",94283.50734)</f>
        <v>94283.50734</v>
      </c>
      <c r="C45" s="41">
        <f>IF(OR(64424.6354="",94283.50734=""),"-",94283.50734/64424.6354*100)</f>
        <v>146.34697853486028</v>
      </c>
      <c r="D45" s="41">
        <f>IF(64424.6354="","-",64424.6354/2487345.59713*100)</f>
        <v>2.5900958626069395</v>
      </c>
      <c r="E45" s="41">
        <f>IF(94283.50734="","-",94283.50734/2560982.65919*100)</f>
        <v>3.68153634315589</v>
      </c>
      <c r="F45" s="41">
        <f>IF(OR(2191887.38519="",58159.12429="",64424.6354=""),"-",(64424.6354-58159.12429)/2191887.38519*100)</f>
        <v>0.2858500465094325</v>
      </c>
      <c r="G45" s="41">
        <f>IF(OR(2487345.59713="",94283.50734="",64424.6354=""),"-",(94283.50734-64424.6354)/2487345.59713*100)</f>
        <v>1.2004311734747424</v>
      </c>
    </row>
    <row r="46" spans="1:7" ht="38.25">
      <c r="A46" s="34" t="s">
        <v>225</v>
      </c>
      <c r="B46" s="41">
        <f>IF(14312.83726="","-",14312.83726)</f>
        <v>14312.83726</v>
      </c>
      <c r="C46" s="41">
        <f>IF(OR(20171.71918="",14312.83726=""),"-",14312.83726/20171.71918*100)</f>
        <v>70.95496983812365</v>
      </c>
      <c r="D46" s="41">
        <f>IF(20171.71918="","-",20171.71918/2487345.59713*100)</f>
        <v>0.8109737224805007</v>
      </c>
      <c r="E46" s="41">
        <f>IF(14312.83726="","-",14312.83726/2560982.65919*100)</f>
        <v>0.5588806784239193</v>
      </c>
      <c r="F46" s="41">
        <f>IF(OR(2191887.38519="",26891.21844="",20171.71918=""),"-",(20171.71918-26891.21844)/2191887.38519*100)</f>
        <v>-0.3065622488364078</v>
      </c>
      <c r="G46" s="41">
        <f>IF(OR(2487345.59713="",14312.83726="",20171.71918=""),"-",(14312.83726-20171.71918)/2487345.59713*100)</f>
        <v>-0.23554756229935297</v>
      </c>
    </row>
    <row r="47" spans="1:7" ht="15.75">
      <c r="A47" s="34" t="s">
        <v>227</v>
      </c>
      <c r="B47" s="41">
        <f>IF(45.66446="","-",45.66446)</f>
        <v>45.66446</v>
      </c>
      <c r="C47" s="41">
        <f>IF(OR(36.52661="",45.66446=""),"-",45.66446/36.52661*100)</f>
        <v>125.01696708235448</v>
      </c>
      <c r="D47" s="41">
        <f>IF(36.52661="","-",36.52661/2487345.59713*100)</f>
        <v>0.0014684975840167074</v>
      </c>
      <c r="E47" s="41">
        <f>IF(45.66446="","-",45.66446/2560982.65919*100)</f>
        <v>0.0017830835299151525</v>
      </c>
      <c r="F47" s="41">
        <f>IF(OR(2191887.38519="",54.51003="",36.52661=""),"-",(36.52661-54.51003)/2191887.38519*100)</f>
        <v>-0.0008204536474596821</v>
      </c>
      <c r="G47" s="41">
        <f>IF(OR(2487345.59713="",45.66446="",36.52661=""),"-",(45.66446-36.52661)/2487345.59713*100)</f>
        <v>0.0003673735571986306</v>
      </c>
    </row>
    <row r="48" spans="1:7" ht="14.25" customHeight="1">
      <c r="A48" s="34" t="s">
        <v>28</v>
      </c>
      <c r="B48" s="41">
        <f>IF(1940.30912="","-",1940.30912)</f>
        <v>1940.30912</v>
      </c>
      <c r="C48" s="41">
        <f>IF(OR(2086.66137="",1940.30912=""),"-",1940.30912/2086.66137*100)</f>
        <v>92.98629609460782</v>
      </c>
      <c r="D48" s="41">
        <f>IF(2086.66137="","-",2086.66137/2487345.59713*100)</f>
        <v>0.08389109146745326</v>
      </c>
      <c r="E48" s="41">
        <f>IF(1940.30912="","-",1940.30912/2560982.65919*100)</f>
        <v>0.07576424280099148</v>
      </c>
      <c r="F48" s="41">
        <f>IF(OR(2191887.38519="",3275.82415="",2086.66137=""),"-",(2086.66137-3275.82415)/2191887.38519*100)</f>
        <v>-0.05425291408832666</v>
      </c>
      <c r="G48" s="41">
        <f>IF(OR(2487345.59713="",1940.30912="",2086.66137=""),"-",(1940.30912-2086.66137)/2487345.59713*100)</f>
        <v>-0.005883872758528893</v>
      </c>
    </row>
    <row r="49" spans="1:7" ht="15.75">
      <c r="A49" s="34" t="s">
        <v>29</v>
      </c>
      <c r="B49" s="41">
        <f>IF(2329.72048="","-",2329.72048)</f>
        <v>2329.72048</v>
      </c>
      <c r="C49" s="41">
        <f>IF(OR(1797.80298="",2329.72048=""),"-",2329.72048/1797.80298*100)</f>
        <v>129.5870852322205</v>
      </c>
      <c r="D49" s="41">
        <f>IF(1797.80298="","-",1797.80298/2487345.59713*100)</f>
        <v>0.07227797303576865</v>
      </c>
      <c r="E49" s="41">
        <f>IF(2329.72048="","-",2329.72048/2560982.65919*100)</f>
        <v>0.09096978738375586</v>
      </c>
      <c r="F49" s="41">
        <f>IF(OR(2191887.38519="",3156.73742="",1797.80298=""),"-",(1797.80298-3156.73742)/2191887.38519*100)</f>
        <v>-0.06199836949571218</v>
      </c>
      <c r="G49" s="41">
        <f>IF(OR(2487345.59713="",2329.72048="",1797.80298=""),"-",(2329.72048-1797.80298)/2487345.59713*100)</f>
        <v>0.021384945486214217</v>
      </c>
    </row>
    <row r="50" spans="1:7" ht="15.75">
      <c r="A50" s="34" t="s">
        <v>226</v>
      </c>
      <c r="B50" s="41">
        <f>IF(2052.2105="","-",2052.2105)</f>
        <v>2052.2105</v>
      </c>
      <c r="C50" s="41">
        <f>IF(OR(2421.00459="",2052.2105=""),"-",2052.2105/2421.00459*100)</f>
        <v>84.76689835602501</v>
      </c>
      <c r="D50" s="41">
        <f>IF(2421.00459="","-",2421.00459/2487345.59713*100)</f>
        <v>0.09733285928555536</v>
      </c>
      <c r="E50" s="41">
        <f>IF(2052.2105="","-",2052.2105/2560982.65919*100)</f>
        <v>0.08013371323057233</v>
      </c>
      <c r="F50" s="41">
        <f>IF(OR(2191887.38519="",4589.54205="",2421.00459=""),"-",(2421.00459-4589.54205)/2191887.38519*100)</f>
        <v>-0.09893471145699506</v>
      </c>
      <c r="G50" s="41">
        <f>IF(OR(2487345.59713="",2052.2105="",2421.00459=""),"-",(2052.2105-2421.00459)/2487345.59713*100)</f>
        <v>-0.014826813387955795</v>
      </c>
    </row>
    <row r="51" spans="1:7" ht="25.5">
      <c r="A51" s="47" t="s">
        <v>228</v>
      </c>
      <c r="B51" s="40">
        <f>IF(162116.81164="","-",162116.81164)</f>
        <v>162116.81164</v>
      </c>
      <c r="C51" s="40">
        <f>IF(168355.168="","-",162116.81164/168355.168*100)</f>
        <v>96.2945263670195</v>
      </c>
      <c r="D51" s="40">
        <f>IF(168355.168="","-",168355.168/2487345.59713*100)</f>
        <v>6.768467083715869</v>
      </c>
      <c r="E51" s="40">
        <f>IF(162116.81164="","-",162116.81164/2560982.65919*100)</f>
        <v>6.330258077236457</v>
      </c>
      <c r="F51" s="40">
        <f>IF(2191887.38519="","-",(168355.168-156782.75674)/2191887.38519*100)</f>
        <v>0.5279655943180156</v>
      </c>
      <c r="G51" s="40">
        <f>IF(2487345.59713="","-",(162116.81164-168355.168)/2487345.59713*100)</f>
        <v>-0.250803763144055</v>
      </c>
    </row>
    <row r="52" spans="1:7" ht="15.75">
      <c r="A52" s="34" t="s">
        <v>229</v>
      </c>
      <c r="B52" s="41">
        <f>IF(539.44117="","-",539.44117)</f>
        <v>539.44117</v>
      </c>
      <c r="C52" s="41">
        <f>IF(OR(1309.80634="",539.44117=""),"-",539.44117/1309.80634*100)</f>
        <v>41.18480370159149</v>
      </c>
      <c r="D52" s="41">
        <f>IF(1309.80634="","-",1309.80634/2487345.59713*100)</f>
        <v>0.05265879986726845</v>
      </c>
      <c r="E52" s="41">
        <f>IF(539.44117="","-",539.44117/2560982.65919*100)</f>
        <v>0.021063835323688492</v>
      </c>
      <c r="F52" s="41">
        <f>IF(OR(2191887.38519="",2202.48558="",1309.80634=""),"-",(1309.80634-2202.48558)/2191887.38519*100)</f>
        <v>-0.04072651022272386</v>
      </c>
      <c r="G52" s="41">
        <f>IF(OR(2487345.59713="",539.44117="",1309.80634=""),"-",(539.44117-1309.80634)/2487345.59713*100)</f>
        <v>-0.030971376510320017</v>
      </c>
    </row>
    <row r="53" spans="1:7" ht="15.75">
      <c r="A53" s="34" t="s">
        <v>30</v>
      </c>
      <c r="B53" s="41">
        <f>IF(2321.82569="","-",2321.82569)</f>
        <v>2321.82569</v>
      </c>
      <c r="C53" s="41">
        <f>IF(OR(1268.70077="",2321.82569=""),"-",2321.82569/1268.70077*100)</f>
        <v>183.00814068237702</v>
      </c>
      <c r="D53" s="41">
        <f>IF(1268.70077="","-",1268.70077/2487345.59713*100)</f>
        <v>0.05100621206252474</v>
      </c>
      <c r="E53" s="41">
        <f>IF(2321.82569="","-",2321.82569/2560982.65919*100)</f>
        <v>0.09066151547993528</v>
      </c>
      <c r="F53" s="41">
        <f>IF(OR(2191887.38519="",2025.76551="",1268.70077=""),"-",(1268.70077-2025.76551)/2191887.38519*100)</f>
        <v>-0.034539399474411196</v>
      </c>
      <c r="G53" s="41">
        <f>IF(OR(2487345.59713="",2321.82569="",1268.70077=""),"-",(2321.82569-1268.70077)/2487345.59713*100)</f>
        <v>0.04233930826561207</v>
      </c>
    </row>
    <row r="54" spans="1:7" ht="15.75">
      <c r="A54" s="34" t="s">
        <v>230</v>
      </c>
      <c r="B54" s="41">
        <f>IF(18922.47142="","-",18922.47142)</f>
        <v>18922.47142</v>
      </c>
      <c r="C54" s="41">
        <f>IF(OR(15686.07491="",18922.47142=""),"-",18922.47142/15686.07491*100)</f>
        <v>120.63229028656986</v>
      </c>
      <c r="D54" s="41">
        <f>IF(15686.07491="","-",15686.07491/2487345.59713*100)</f>
        <v>0.6306351207527907</v>
      </c>
      <c r="E54" s="41">
        <f>IF(18922.47142="","-",18922.47142/2560982.65919*100)</f>
        <v>0.7388754215924638</v>
      </c>
      <c r="F54" s="41">
        <f>IF(OR(2191887.38519="",9075.89054="",15686.07491=""),"-",(15686.07491-9075.89054)/2191887.38519*100)</f>
        <v>0.3015749994576937</v>
      </c>
      <c r="G54" s="41">
        <f>IF(OR(2487345.59713="",18922.47142="",15686.07491=""),"-",(18922.47142-15686.07491)/2487345.59713*100)</f>
        <v>0.1301144687627762</v>
      </c>
    </row>
    <row r="55" spans="1:7" ht="27" customHeight="1">
      <c r="A55" s="34" t="s">
        <v>231</v>
      </c>
      <c r="B55" s="41">
        <f>IF(9980.17483="","-",9980.17483)</f>
        <v>9980.17483</v>
      </c>
      <c r="C55" s="41">
        <f>IF(OR(8861.63766="",9980.17483=""),"-",9980.17483/8861.63766*100)</f>
        <v>112.6222399619079</v>
      </c>
      <c r="D55" s="41">
        <f>IF(8861.63766="","-",8861.63766/2487345.59713*100)</f>
        <v>0.3562688542446581</v>
      </c>
      <c r="E55" s="41">
        <f>IF(9980.17483="","-",9980.17483/2560982.65919*100)</f>
        <v>0.38970099208545905</v>
      </c>
      <c r="F55" s="41">
        <f>IF(OR(2191887.38519="",6728.42943="",8861.63766=""),"-",(8861.63766-6728.42943)/2191887.38519*100)</f>
        <v>0.09732289370400692</v>
      </c>
      <c r="G55" s="41">
        <f>IF(OR(2487345.59713="",9980.17483="",8861.63766=""),"-",(9980.17483-8861.63766)/2487345.59713*100)</f>
        <v>0.04496910969230062</v>
      </c>
    </row>
    <row r="56" spans="1:7" ht="27" customHeight="1">
      <c r="A56" s="34" t="s">
        <v>256</v>
      </c>
      <c r="B56" s="41">
        <f>IF(58202.3163="","-",58202.3163)</f>
        <v>58202.3163</v>
      </c>
      <c r="C56" s="41">
        <f>IF(OR(66549.61408="",58202.3163=""),"-",58202.3163/66549.61408*100)</f>
        <v>87.45703052467648</v>
      </c>
      <c r="D56" s="41">
        <f>IF(66549.61408="","-",66549.61408/2487345.59713*100)</f>
        <v>2.675527444066785</v>
      </c>
      <c r="E56" s="41">
        <f>IF(58202.3163="","-",58202.3163/2560982.65919*100)</f>
        <v>2.27265561877754</v>
      </c>
      <c r="F56" s="41">
        <f>IF(OR(2191887.38519="",74807.26763="",66549.61408=""),"-",(66549.61408-74807.26763)/2191887.38519*100)</f>
        <v>-0.3767371264506914</v>
      </c>
      <c r="G56" s="41">
        <f>IF(OR(2487345.59713="",58202.3163="",66549.61408=""),"-",(58202.3163-66549.61408)/2487345.59713*100)</f>
        <v>-0.3355905906132003</v>
      </c>
    </row>
    <row r="57" spans="1:7" ht="15.75">
      <c r="A57" s="34" t="s">
        <v>31</v>
      </c>
      <c r="B57" s="41">
        <f>IF(45277.87629="","-",45277.87629)</f>
        <v>45277.87629</v>
      </c>
      <c r="C57" s="41">
        <f>IF(OR(46770.60573="",45277.87629=""),"-",45277.87629/46770.60573*100)</f>
        <v>96.80840259239464</v>
      </c>
      <c r="D57" s="41">
        <f>IF(46770.60573="","-",46770.60573/2487345.59713*100)</f>
        <v>1.8803420716431933</v>
      </c>
      <c r="E57" s="41">
        <f>IF(45277.87629="","-",45277.87629/2560982.65919*100)</f>
        <v>1.7679883980284625</v>
      </c>
      <c r="F57" s="41">
        <f>IF(OR(2191887.38519="",30680.02655="",46770.60573=""),"-",(46770.60573-30680.02655)/2191887.38519*100)</f>
        <v>0.7340969836643876</v>
      </c>
      <c r="G57" s="41">
        <f>IF(OR(2487345.59713="",45277.87629="",46770.60573=""),"-",(45277.87629-46770.60573)/2487345.59713*100)</f>
        <v>-0.060012948812677026</v>
      </c>
    </row>
    <row r="58" spans="1:7" ht="15.75">
      <c r="A58" s="34" t="s">
        <v>232</v>
      </c>
      <c r="B58" s="41">
        <f>IF(3346.79368="","-",3346.79368)</f>
        <v>3346.79368</v>
      </c>
      <c r="C58" s="41">
        <f>IF(OR(3615.68751="",3346.79368=""),"-",3346.79368/3615.68751*100)</f>
        <v>92.56313414098112</v>
      </c>
      <c r="D58" s="41">
        <f>IF(3615.68751="","-",3615.68751/2487345.59713*100)</f>
        <v>0.14536329467734305</v>
      </c>
      <c r="E58" s="41">
        <f>IF(3346.79368="","-",3346.79368/2560982.65919*100)</f>
        <v>0.13068396492222015</v>
      </c>
      <c r="F58" s="41">
        <f>IF(OR(2191887.38519="",2890.6091="",3615.68751=""),"-",(3615.68751-2890.6091)/2191887.38519*100)</f>
        <v>0.033080094118847624</v>
      </c>
      <c r="G58" s="41">
        <f>IF(OR(2487345.59713="",3346.79368="",3615.68751=""),"-",(3346.79368-3615.68751)/2487345.59713*100)</f>
        <v>-0.010810473233404339</v>
      </c>
    </row>
    <row r="59" spans="1:7" ht="15.75">
      <c r="A59" s="34" t="s">
        <v>32</v>
      </c>
      <c r="B59" s="41">
        <f>IF(1572.06977="","-",1572.06977)</f>
        <v>1572.06977</v>
      </c>
      <c r="C59" s="41">
        <f>IF(OR(2050.04294="",1572.06977=""),"-",1572.06977/2050.04294*100)</f>
        <v>76.68472397948895</v>
      </c>
      <c r="D59" s="41">
        <f>IF(2050.04294="","-",2050.04294/2487345.59713*100)</f>
        <v>0.08241890239801909</v>
      </c>
      <c r="E59" s="41">
        <f>IF(1572.06977="","-",1572.06977/2560982.65919*100)</f>
        <v>0.06138541252353586</v>
      </c>
      <c r="F59" s="41">
        <f>IF(OR(2191887.38519="",3252.1219="",2050.04294=""),"-",(2050.04294-3252.1219)/2191887.38519*100)</f>
        <v>-0.05484218615071779</v>
      </c>
      <c r="G59" s="41">
        <f>IF(OR(2487345.59713="",1572.06977="",2050.04294=""),"-",(1572.06977-2050.04294)/2487345.59713*100)</f>
        <v>-0.019216194587173753</v>
      </c>
    </row>
    <row r="60" spans="1:7" ht="15.75">
      <c r="A60" s="34" t="s">
        <v>33</v>
      </c>
      <c r="B60" s="41">
        <f>IF(21953.84249="","-",21953.84249)</f>
        <v>21953.84249</v>
      </c>
      <c r="C60" s="41">
        <f>IF(OR(22242.99806="",21953.84249=""),"-",21953.84249/22242.99806*100)</f>
        <v>98.7000153071991</v>
      </c>
      <c r="D60" s="41">
        <f>IF(22242.99806="","-",22242.99806/2487345.59713*100)</f>
        <v>0.8942463840032875</v>
      </c>
      <c r="E60" s="41">
        <f>IF(21953.84249="","-",21953.84249/2560982.65919*100)</f>
        <v>0.8572429185031525</v>
      </c>
      <c r="F60" s="41">
        <f>IF(OR(2191887.38519="",25120.1605="",22242.99806=""),"-",(22242.99806-25120.1605)/2191887.38519*100)</f>
        <v>-0.1312641543283757</v>
      </c>
      <c r="G60" s="41">
        <f>IF(OR(2487345.59713="",21953.84249="",22242.99806=""),"-",(21953.84249-22242.99806)/2487345.59713*100)</f>
        <v>-0.01162506610796835</v>
      </c>
    </row>
    <row r="61" spans="1:7" ht="25.5">
      <c r="A61" s="47" t="s">
        <v>233</v>
      </c>
      <c r="B61" s="40">
        <f>IF(604580.05577="","-",604580.05577)</f>
        <v>604580.05577</v>
      </c>
      <c r="C61" s="40">
        <f>IF(539764.72903="","-",604580.05577/539764.72903*100)</f>
        <v>112.00807004497648</v>
      </c>
      <c r="D61" s="40">
        <f>IF(539764.72903="","-",539764.72903/2487345.59713*100)</f>
        <v>21.70043156257829</v>
      </c>
      <c r="E61" s="40">
        <f>IF(604580.05577="","-",604580.05577/2560982.65919*100)</f>
        <v>23.607346719060544</v>
      </c>
      <c r="F61" s="40">
        <f>IF(2191887.38519="","-",(539764.72903-397893.57305)/2191887.38519*100)</f>
        <v>6.472556799157918</v>
      </c>
      <c r="G61" s="40">
        <f>IF(2487345.59713="","-",(604580.05577-539764.72903)/2487345.59713*100)</f>
        <v>2.6058030220965867</v>
      </c>
    </row>
    <row r="62" spans="1:7" ht="25.5">
      <c r="A62" s="34" t="s">
        <v>234</v>
      </c>
      <c r="B62" s="41">
        <f>IF(3978.77624="","-",3978.77624)</f>
        <v>3978.77624</v>
      </c>
      <c r="C62" s="41">
        <f>IF(OR(2825.24086="",3978.77624=""),"-",3978.77624/2825.24086*100)</f>
        <v>140.8296296550093</v>
      </c>
      <c r="D62" s="41">
        <f>IF(2825.24086="","-",2825.24086/2487345.59713*100)</f>
        <v>0.1135845723754623</v>
      </c>
      <c r="E62" s="41">
        <f>IF(3978.77624="","-",3978.77624/2560982.65919*100)</f>
        <v>0.15536131124208497</v>
      </c>
      <c r="F62" s="41">
        <f>IF(OR(2191887.38519="",2965.17733="",2825.24086=""),"-",(2825.24086-2965.17733)/2191887.38519*100)</f>
        <v>-0.00638429104275674</v>
      </c>
      <c r="G62" s="41">
        <f>IF(OR(2487345.59713="",3978.77624="",2825.24086=""),"-",(3978.77624-2825.24086)/2487345.59713*100)</f>
        <v>0.04637616024612728</v>
      </c>
    </row>
    <row r="63" spans="1:7" ht="25.5">
      <c r="A63" s="34" t="s">
        <v>235</v>
      </c>
      <c r="B63" s="41">
        <f>IF(12925.32073="","-",12925.32073)</f>
        <v>12925.32073</v>
      </c>
      <c r="C63" s="41">
        <f>IF(OR(12350.67161="",12925.32073=""),"-",12925.32073/12350.67161*100)</f>
        <v>104.65277628736176</v>
      </c>
      <c r="D63" s="41">
        <f>IF(12350.67161="","-",12350.67161/2487345.59713*100)</f>
        <v>0.49654023245707</v>
      </c>
      <c r="E63" s="41">
        <f>IF(12925.32073="","-",12925.32073/2560982.65919*100)</f>
        <v>0.5047016106734624</v>
      </c>
      <c r="F63" s="41">
        <f>IF(OR(2191887.38519="",9539.20034="",12350.67161=""),"-",(12350.67161-9539.20034)/2191887.38519*100)</f>
        <v>0.1282671404104227</v>
      </c>
      <c r="G63" s="41">
        <f>IF(OR(2487345.59713="",12925.32073="",12350.67161=""),"-",(12925.32073-12350.67161)/2487345.59713*100)</f>
        <v>0.023102906192973484</v>
      </c>
    </row>
    <row r="64" spans="1:7" ht="25.5">
      <c r="A64" s="34" t="s">
        <v>236</v>
      </c>
      <c r="B64" s="41">
        <f>IF(2450.69577="","-",2450.69577)</f>
        <v>2450.69577</v>
      </c>
      <c r="C64" s="41">
        <f>IF(OR(2122.58906="",2450.69577=""),"-",2450.69577/2122.58906*100)</f>
        <v>115.45785362711707</v>
      </c>
      <c r="D64" s="41">
        <f>IF(2122.58906="","-",2122.58906/2487345.59713*100)</f>
        <v>0.08533551037094037</v>
      </c>
      <c r="E64" s="41">
        <f>IF(2450.69577="","-",2450.69577/2560982.65919*100)</f>
        <v>0.09569357141899265</v>
      </c>
      <c r="F64" s="41">
        <f>IF(OR(2191887.38519="",1468.2329="",2122.58906=""),"-",(2122.58906-1468.2329)/2191887.38519*100)</f>
        <v>0.029853548335617527</v>
      </c>
      <c r="G64" s="41">
        <f>IF(OR(2487345.59713="",2450.69577="",2122.58906=""),"-",(2450.69577-2122.58906)/2487345.59713*100)</f>
        <v>0.013191038285093265</v>
      </c>
    </row>
    <row r="65" spans="1:7" ht="38.25">
      <c r="A65" s="34" t="s">
        <v>237</v>
      </c>
      <c r="B65" s="41">
        <f>IF(21543.51639="","-",21543.51639)</f>
        <v>21543.51639</v>
      </c>
      <c r="C65" s="41">
        <f>IF(OR(18998.14976="",21543.51639=""),"-",21543.51639/18998.14976*100)</f>
        <v>113.39797118222106</v>
      </c>
      <c r="D65" s="41">
        <f>IF(18998.14976="","-",18998.14976/2487345.59713*100)</f>
        <v>0.7637921236968772</v>
      </c>
      <c r="E65" s="41">
        <f>IF(21543.51639="","-",21543.51639/2560982.65919*100)</f>
        <v>0.8412207053683795</v>
      </c>
      <c r="F65" s="41">
        <f>IF(OR(2191887.38519="",26922.69959="",18998.14976=""),"-",(18998.14976-26922.69959)/2191887.38519*100)</f>
        <v>-0.3615400081018795</v>
      </c>
      <c r="G65" s="41">
        <f>IF(OR(2487345.59713="",21543.51639="",18998.14976=""),"-",(21543.51639-18998.14976)/2487345.59713*100)</f>
        <v>0.10233264862498188</v>
      </c>
    </row>
    <row r="66" spans="1:7" ht="25.5">
      <c r="A66" s="34" t="s">
        <v>238</v>
      </c>
      <c r="B66" s="41">
        <f>IF(1150.4835="","-",1150.4835)</f>
        <v>1150.4835</v>
      </c>
      <c r="C66" s="41">
        <f>IF(OR(1081.50733="",1150.4835=""),"-",1150.4835/1081.50733*100)</f>
        <v>106.37778109187666</v>
      </c>
      <c r="D66" s="41">
        <f>IF(1081.50733="","-",1081.50733/2487345.59713*100)</f>
        <v>0.04348038050071879</v>
      </c>
      <c r="E66" s="41">
        <f>IF(1150.4835="","-",1150.4835/2560982.65919*100)</f>
        <v>0.04492351777047489</v>
      </c>
      <c r="F66" s="41">
        <f>IF(OR(2191887.38519="",892.36161="",1081.50733=""),"-",(1081.50733-892.36161)/2191887.38519*100)</f>
        <v>0.008629353920188017</v>
      </c>
      <c r="G66" s="41">
        <f>IF(OR(2487345.59713="",1150.4835="",1081.50733=""),"-",(1150.4835-1081.50733)/2487345.59713*100)</f>
        <v>0.0027730834862508707</v>
      </c>
    </row>
    <row r="67" spans="1:7" ht="38.25">
      <c r="A67" s="34" t="s">
        <v>239</v>
      </c>
      <c r="B67" s="41">
        <f>IF(3970.17343="","-",3970.17343)</f>
        <v>3970.17343</v>
      </c>
      <c r="C67" s="41">
        <f>IF(OR(3497.46305="",3970.17343=""),"-",3970.17343/3497.46305*100)</f>
        <v>113.51580769380823</v>
      </c>
      <c r="D67" s="41">
        <f>IF(3497.46305="","-",3497.46305/2487345.59713*100)</f>
        <v>0.14061025753861925</v>
      </c>
      <c r="E67" s="41">
        <f>IF(3970.17343="","-",3970.17343/2560982.65919*100)</f>
        <v>0.15502539291912681</v>
      </c>
      <c r="F67" s="41">
        <f>IF(OR(2191887.38519="",3536.96559="",3497.46305=""),"-",(3497.46305-3536.96559)/2191887.38519*100)</f>
        <v>-0.0018022157646833553</v>
      </c>
      <c r="G67" s="41">
        <f>IF(OR(2487345.59713="",3970.17343="",3497.46305=""),"-",(3970.17343-3497.46305)/2487345.59713*100)</f>
        <v>0.01900461200668827</v>
      </c>
    </row>
    <row r="68" spans="1:7" ht="51">
      <c r="A68" s="34" t="s">
        <v>240</v>
      </c>
      <c r="B68" s="41">
        <f>IF(533786.4026="","-",533786.4026)</f>
        <v>533786.4026</v>
      </c>
      <c r="C68" s="41">
        <f>IF(OR(479711.6336="",533786.4026=""),"-",533786.4026/479711.6336*100)</f>
        <v>111.27234888889299</v>
      </c>
      <c r="D68" s="41">
        <f>IF(479711.6336="","-",479711.6336/2487345.59713*100)</f>
        <v>19.286086909415026</v>
      </c>
      <c r="E68" s="41">
        <f>IF(533786.4026="","-",533786.4026/2560982.65919*100)</f>
        <v>20.843030728245093</v>
      </c>
      <c r="F68" s="41">
        <f>IF(OR(2191887.38519="",314346.51055="",479711.6336=""),"-",(479711.6336-314346.51055)/2191887.38519*100)</f>
        <v>7.544416933430438</v>
      </c>
      <c r="G68" s="41">
        <f>IF(OR(2487345.59713="",533786.4026="",479711.6336=""),"-",(533786.4026-479711.6336)/2487345.59713*100)</f>
        <v>2.1739950034443822</v>
      </c>
    </row>
    <row r="69" spans="1:7" ht="25.5">
      <c r="A69" s="34" t="s">
        <v>241</v>
      </c>
      <c r="B69" s="41">
        <f>IF(21731.61323="","-",21731.61323)</f>
        <v>21731.61323</v>
      </c>
      <c r="C69" s="41">
        <f>IF(OR(18702.6779="",21731.61323=""),"-",21731.61323/18702.6779*100)</f>
        <v>116.19519592966951</v>
      </c>
      <c r="D69" s="41">
        <f>IF(18702.6779="","-",18702.6779/2487345.59713*100)</f>
        <v>0.7519131206206289</v>
      </c>
      <c r="E69" s="41">
        <f>IF(21731.61323="","-",21731.61323/2560982.65919*100)</f>
        <v>0.8485654189034368</v>
      </c>
      <c r="F69" s="41">
        <f>IF(OR(2191887.38519="",22678.03104="",18702.6779=""),"-",(18702.6779-22678.03104)/2191887.38519*100)</f>
        <v>-0.18136666905701485</v>
      </c>
      <c r="G69" s="41">
        <f>IF(OR(2487345.59713="",21731.61323="",18702.6779=""),"-",(21731.61323-18702.6779)/2487345.59713*100)</f>
        <v>0.12177380310540314</v>
      </c>
    </row>
    <row r="70" spans="1:7" ht="15.75">
      <c r="A70" s="34" t="s">
        <v>34</v>
      </c>
      <c r="B70" s="41">
        <f>IF(3043.07388="","-",3043.07388)</f>
        <v>3043.07388</v>
      </c>
      <c r="C70" s="41" t="s">
        <v>282</v>
      </c>
      <c r="D70" s="41">
        <f>IF(474.79586="","-",474.79586/2487345.59713*100)</f>
        <v>0.019088455602946315</v>
      </c>
      <c r="E70" s="41">
        <f>IF(3043.07388="","-",3043.07388/2560982.65919*100)</f>
        <v>0.11882446251949547</v>
      </c>
      <c r="F70" s="41">
        <f>IF(OR(2191887.38519="",15544.3941="",474.79586=""),"-",(474.79586-15544.3941)/2191887.38519*100)</f>
        <v>-0.6875169929724159</v>
      </c>
      <c r="G70" s="41">
        <f>IF(OR(2487345.59713="",3043.07388="",474.79586=""),"-",(3043.07388-474.79586)/2487345.59713*100)</f>
        <v>0.10325376670469046</v>
      </c>
    </row>
    <row r="71" spans="1:7" ht="15.75">
      <c r="A71" s="47" t="s">
        <v>35</v>
      </c>
      <c r="B71" s="40">
        <f>IF(537205.69583="","-",537205.69583)</f>
        <v>537205.69583</v>
      </c>
      <c r="C71" s="40">
        <f>IF(568620.06527="","-",537205.69583/568620.06527*100)</f>
        <v>94.47533223698615</v>
      </c>
      <c r="D71" s="40">
        <f>IF(568620.06527="","-",568620.06527/2487345.59713*100)</f>
        <v>22.860517088019325</v>
      </c>
      <c r="E71" s="40">
        <f>IF(537205.69583="","-",537205.69583/2560982.65919*100)</f>
        <v>20.97654562018432</v>
      </c>
      <c r="F71" s="40">
        <f>IF(2191887.38519="","-",(568620.06527-489255.22231)/2191887.38519*100)</f>
        <v>3.6208449164061607</v>
      </c>
      <c r="G71" s="40">
        <f>IF(2487345.59713="","-",(537205.69583-568620.06527)/2487345.59713*100)</f>
        <v>-1.2629676180200775</v>
      </c>
    </row>
    <row r="72" spans="1:7" ht="38.25">
      <c r="A72" s="34" t="s">
        <v>289</v>
      </c>
      <c r="B72" s="41">
        <f>IF(8442.4265="","-",8442.4265)</f>
        <v>8442.4265</v>
      </c>
      <c r="C72" s="41">
        <f>IF(OR(7564.01841="",8442.4265=""),"-",8442.4265/7564.01841*100)</f>
        <v>111.61298191499245</v>
      </c>
      <c r="D72" s="41">
        <f>IF(7564.01841="","-",7564.01841/2487345.59713*100)</f>
        <v>0.3041000180565045</v>
      </c>
      <c r="E72" s="41">
        <f>IF(8442.4265="","-",8442.4265/2560982.65919*100)</f>
        <v>0.3296557463872173</v>
      </c>
      <c r="F72" s="41">
        <f>IF(OR(2191887.38519="",8404.90611="",7564.01841=""),"-",(7564.01841-8404.90611)/2191887.38519*100)</f>
        <v>-0.03836363609196598</v>
      </c>
      <c r="G72" s="41">
        <f>IF(OR(2487345.59713="",8442.4265="",7564.01841=""),"-",(8442.4265-7564.01841)/2487345.59713*100)</f>
        <v>0.03531508010039066</v>
      </c>
    </row>
    <row r="73" spans="1:7" ht="15.75">
      <c r="A73" s="34" t="s">
        <v>242</v>
      </c>
      <c r="B73" s="41">
        <f>IF(135595.72903="","-",135595.72903)</f>
        <v>135595.72903</v>
      </c>
      <c r="C73" s="41">
        <f>IF(OR(147768.41897="",135595.72903=""),"-",135595.72903/147768.41897*100)</f>
        <v>91.76231969939982</v>
      </c>
      <c r="D73" s="41">
        <f>IF(147768.41897="","-",147768.41897/2487345.59713*100)</f>
        <v>5.940807708446353</v>
      </c>
      <c r="E73" s="41">
        <f>IF(135595.72903="","-",135595.72903/2560982.65919*100)</f>
        <v>5.294675797331906</v>
      </c>
      <c r="F73" s="41">
        <f>IF(OR(2191887.38519="",122407.01715="",147768.41897=""),"-",(147768.41897-122407.01715)/2191887.38519*100)</f>
        <v>1.157057702478706</v>
      </c>
      <c r="G73" s="41">
        <f>IF(OR(2487345.59713="",135595.72903="",147768.41897=""),"-",(135595.72903-147768.41897)/2487345.59713*100)</f>
        <v>-0.4893847462952214</v>
      </c>
    </row>
    <row r="74" spans="1:7" ht="15.75">
      <c r="A74" s="34" t="s">
        <v>243</v>
      </c>
      <c r="B74" s="41">
        <f>IF(13156.41275="","-",13156.41275)</f>
        <v>13156.41275</v>
      </c>
      <c r="C74" s="41">
        <f>IF(OR(15459.20991="",13156.41275=""),"-",13156.41275/15459.20991*100)</f>
        <v>85.10404365160728</v>
      </c>
      <c r="D74" s="41">
        <f>IF(15459.20991="","-",15459.20991/2487345.59713*100)</f>
        <v>0.6215143536080173</v>
      </c>
      <c r="E74" s="41">
        <f>IF(13156.41275="","-",13156.41275/2560982.65919*100)</f>
        <v>0.5137251789967674</v>
      </c>
      <c r="F74" s="41">
        <f>IF(OR(2191887.38519="",11107.94423="",15459.20991=""),"-",(15459.20991-11107.94423)/2191887.38519*100)</f>
        <v>0.19851684486166332</v>
      </c>
      <c r="G74" s="41">
        <f>IF(OR(2487345.59713="",13156.41275="",15459.20991=""),"-",(13156.41275-15459.20991)/2487345.59713*100)</f>
        <v>-0.09258050681244538</v>
      </c>
    </row>
    <row r="75" spans="1:7" ht="15.75">
      <c r="A75" s="34" t="s">
        <v>244</v>
      </c>
      <c r="B75" s="41">
        <f>IF(256563.24319="","-",256563.24319)</f>
        <v>256563.24319</v>
      </c>
      <c r="C75" s="41">
        <f>IF(OR(286179.90664="",256563.24319=""),"-",256563.24319/286179.90664*100)</f>
        <v>89.65103322671207</v>
      </c>
      <c r="D75" s="41">
        <f>IF(286179.90664="","-",286179.90664/2487345.59713*100)</f>
        <v>11.505434024536275</v>
      </c>
      <c r="E75" s="41">
        <f>IF(256563.24319="","-",256563.24319/2560982.65919*100)</f>
        <v>10.018156205366385</v>
      </c>
      <c r="F75" s="41">
        <f>IF(OR(2191887.38519="",253784.81353="",286179.90664=""),"-",(286179.90664-253784.81353)/2191887.38519*100)</f>
        <v>1.4779542657567635</v>
      </c>
      <c r="G75" s="41">
        <f>IF(OR(2487345.59713="",256563.24319="",286179.90664=""),"-",(256563.24319-286179.90664)/2487345.59713*100)</f>
        <v>-1.1906935443218223</v>
      </c>
    </row>
    <row r="76" spans="1:7" ht="15.75">
      <c r="A76" s="34" t="s">
        <v>252</v>
      </c>
      <c r="B76" s="41">
        <f>IF(32756.20943="","-",32756.20943)</f>
        <v>32756.20943</v>
      </c>
      <c r="C76" s="41">
        <f>IF(OR(33684.38994="",32756.20943=""),"-",32756.20943/33684.38994*100)</f>
        <v>97.24447878779068</v>
      </c>
      <c r="D76" s="41">
        <f>IF(33684.38994="","-",33684.38994/2487345.59713*100)</f>
        <v>1.3542303883652682</v>
      </c>
      <c r="E76" s="41">
        <f>IF(32756.20943="","-",32756.20943/2560982.65919*100)</f>
        <v>1.2790484665116901</v>
      </c>
      <c r="F76" s="41">
        <f>IF(OR(2191887.38519="",30361.8205="",33684.38994=""),"-",(33684.38994-30361.8205)/2191887.38519*100)</f>
        <v>0.15158486072093472</v>
      </c>
      <c r="G76" s="41">
        <f>IF(OR(2487345.59713="",32756.20943="",33684.38994=""),"-",(32756.20943-33684.38994)/2487345.59713*100)</f>
        <v>-0.03731610561358961</v>
      </c>
    </row>
    <row r="77" spans="1:7" ht="25.5">
      <c r="A77" s="34" t="s">
        <v>290</v>
      </c>
      <c r="B77" s="41">
        <f>IF(25129.14159="","-",25129.14159)</f>
        <v>25129.14159</v>
      </c>
      <c r="C77" s="41">
        <f>IF(OR(21164.21479="",25129.14159=""),"-",25129.14159/21164.21479*100)</f>
        <v>118.73410773487996</v>
      </c>
      <c r="D77" s="41">
        <f>IF(21164.21479="","-",21164.21479/2487345.59713*100)</f>
        <v>0.8508755202501868</v>
      </c>
      <c r="E77" s="41">
        <f>IF(25129.14159="","-",25129.14159/2560982.65919*100)</f>
        <v>0.9812304468296543</v>
      </c>
      <c r="F77" s="41">
        <f>IF(OR(2191887.38519="",21571.93192="",21164.21479=""),"-",(21164.21479-21571.93192)/2191887.38519*100)</f>
        <v>-0.018601189675839805</v>
      </c>
      <c r="G77" s="41">
        <f>IF(OR(2487345.59713="",25129.14159="",21164.21479=""),"-",(25129.14159-21164.21479)/2487345.59713*100)</f>
        <v>0.15940393665339028</v>
      </c>
    </row>
    <row r="78" spans="1:7" ht="25.5">
      <c r="A78" s="34" t="s">
        <v>246</v>
      </c>
      <c r="B78" s="41">
        <f>IF(3913.67998="","-",3913.67998)</f>
        <v>3913.67998</v>
      </c>
      <c r="C78" s="41">
        <f>IF(OR(3432.51429="",3913.67998=""),"-",3913.67998/3432.51429*100)</f>
        <v>114.01787871362366</v>
      </c>
      <c r="D78" s="41">
        <f>IF(3432.51429="","-",3432.51429/2487345.59713*100)</f>
        <v>0.13799909003238528</v>
      </c>
      <c r="E78" s="41">
        <f>IF(3913.67998="","-",3913.67998/2560982.65919*100)</f>
        <v>0.15281946427695992</v>
      </c>
      <c r="F78" s="41">
        <f>IF(OR(2191887.38519="",2729.64561="",3432.51429=""),"-",(3432.51429-2729.64561)/2191887.38519*100)</f>
        <v>0.03206682445225502</v>
      </c>
      <c r="G78" s="41">
        <f>IF(OR(2487345.59713="",3913.67998="",3432.51429=""),"-",(3913.67998-3432.51429)/2487345.59713*100)</f>
        <v>0.019344545066644066</v>
      </c>
    </row>
    <row r="79" spans="1:7" ht="15.75">
      <c r="A79" s="42" t="s">
        <v>36</v>
      </c>
      <c r="B79" s="43">
        <f>IF(61648.85336="","-",61648.85336)</f>
        <v>61648.85336</v>
      </c>
      <c r="C79" s="43">
        <f>IF(OR(53367.39232="",61648.85336=""),"-",61648.85336/53367.39232*100)</f>
        <v>115.51782967086521</v>
      </c>
      <c r="D79" s="43">
        <f>IF(53367.39232="","-",53367.39232/2487345.59713*100)</f>
        <v>2.1455559847243366</v>
      </c>
      <c r="E79" s="43">
        <f>IF(61648.85336="","-",61648.85336/2560982.65919*100)</f>
        <v>2.4072343144837456</v>
      </c>
      <c r="F79" s="43">
        <f>IF(OR(2191887.38519="",38887.14326="",53367.39232=""),"-",(53367.39232-38887.14326)/2191887.38519*100)</f>
        <v>0.6606292439036419</v>
      </c>
      <c r="G79" s="43">
        <f>IF(OR(2487345.59713="",61648.85336="",53367.39232=""),"-",(61648.85336-53367.39232)/2487345.59713*100)</f>
        <v>0.3329437232025773</v>
      </c>
    </row>
    <row r="80" spans="1:7" ht="25.5">
      <c r="A80" s="48" t="s">
        <v>247</v>
      </c>
      <c r="B80" s="49">
        <f>IF(879.32971="","-",879.32971)</f>
        <v>879.32971</v>
      </c>
      <c r="C80" s="49">
        <f>IF(1071.34655="","-",879.32971/1071.34655*100)</f>
        <v>82.07705620557606</v>
      </c>
      <c r="D80" s="49">
        <f>IF(1071.34655="","-",1071.34655/2487345.59713*100)</f>
        <v>0.04307188157673638</v>
      </c>
      <c r="E80" s="49">
        <f>IF(879.32971="","-",879.32971/2560982.65919*100)</f>
        <v>0.034335637019819516</v>
      </c>
      <c r="F80" s="49">
        <f>IF(2191887.38519="","-",(1071.34655-627.9308)/2191887.38519*100)</f>
        <v>0.020229860028213233</v>
      </c>
      <c r="G80" s="49">
        <f>IF(2487345.59713="","-",(879.32971-1071.34655)/2487345.59713*100)</f>
        <v>-0.0077197491261993025</v>
      </c>
    </row>
    <row r="81" ht="15.75">
      <c r="A81" s="29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82"/>
  <sheetViews>
    <sheetView zoomScalePageLayoutView="0" workbookViewId="0" topLeftCell="A1">
      <selection activeCell="L17" sqref="L17"/>
    </sheetView>
  </sheetViews>
  <sheetFormatPr defaultColWidth="9.00390625" defaultRowHeight="15.75"/>
  <cols>
    <col min="1" max="1" width="28.625" style="0" customWidth="1"/>
    <col min="2" max="2" width="12.00390625" style="0" customWidth="1"/>
    <col min="3" max="3" width="10.125" style="0" customWidth="1"/>
    <col min="4" max="5" width="8.125" style="0" customWidth="1"/>
    <col min="6" max="6" width="9.875" style="0" customWidth="1"/>
    <col min="7" max="7" width="9.25390625" style="0" customWidth="1"/>
  </cols>
  <sheetData>
    <row r="1" spans="1:7" ht="15.75">
      <c r="A1" s="72" t="s">
        <v>129</v>
      </c>
      <c r="B1" s="72"/>
      <c r="C1" s="72"/>
      <c r="D1" s="72"/>
      <c r="E1" s="72"/>
      <c r="F1" s="72"/>
      <c r="G1" s="72"/>
    </row>
    <row r="2" spans="1:7" ht="15.75">
      <c r="A2" s="72" t="s">
        <v>23</v>
      </c>
      <c r="B2" s="72"/>
      <c r="C2" s="72"/>
      <c r="D2" s="72"/>
      <c r="E2" s="72"/>
      <c r="F2" s="72"/>
      <c r="G2" s="72"/>
    </row>
    <row r="3" ht="12" customHeight="1">
      <c r="A3" s="5"/>
    </row>
    <row r="4" spans="1:7" ht="57" customHeight="1">
      <c r="A4" s="78"/>
      <c r="B4" s="63" t="s">
        <v>271</v>
      </c>
      <c r="C4" s="64"/>
      <c r="D4" s="81" t="s">
        <v>0</v>
      </c>
      <c r="E4" s="82"/>
      <c r="F4" s="75" t="s">
        <v>131</v>
      </c>
      <c r="G4" s="83"/>
    </row>
    <row r="5" spans="1:8" ht="26.25" customHeight="1">
      <c r="A5" s="79"/>
      <c r="B5" s="84" t="s">
        <v>113</v>
      </c>
      <c r="C5" s="69" t="s">
        <v>272</v>
      </c>
      <c r="D5" s="71" t="s">
        <v>273</v>
      </c>
      <c r="E5" s="71"/>
      <c r="F5" s="71" t="s">
        <v>273</v>
      </c>
      <c r="G5" s="63"/>
      <c r="H5" s="1"/>
    </row>
    <row r="6" spans="1:7" ht="31.5" customHeight="1">
      <c r="A6" s="80"/>
      <c r="B6" s="85"/>
      <c r="C6" s="70"/>
      <c r="D6" s="22">
        <v>2018</v>
      </c>
      <c r="E6" s="22">
        <v>2019</v>
      </c>
      <c r="F6" s="22" t="s">
        <v>112</v>
      </c>
      <c r="G6" s="18" t="s">
        <v>133</v>
      </c>
    </row>
    <row r="7" spans="1:7" ht="15.75">
      <c r="A7" s="36" t="s">
        <v>143</v>
      </c>
      <c r="B7" s="37">
        <f>IF(5301854.22844="","-",5301854.22844)</f>
        <v>5301854.22844</v>
      </c>
      <c r="C7" s="37">
        <f>IF(5240739.99296="","-",5301854.22844/5240739.99296*100)</f>
        <v>101.16613752184034</v>
      </c>
      <c r="D7" s="37">
        <v>100</v>
      </c>
      <c r="E7" s="37">
        <v>100</v>
      </c>
      <c r="F7" s="37">
        <f>IF(4359960.60099="","-",(5240739.99296-4359960.60099)/4359960.60099*100)</f>
        <v>20.201544751803606</v>
      </c>
      <c r="G7" s="37">
        <f>IF(5240739.99296="","-",(5301854.22844-5240739.99296)/5240739.99296*100)</f>
        <v>1.1661375218403396</v>
      </c>
    </row>
    <row r="8" spans="1:7" ht="13.5" customHeight="1">
      <c r="A8" s="38" t="s">
        <v>150</v>
      </c>
      <c r="B8" s="33"/>
      <c r="C8" s="33"/>
      <c r="D8" s="33"/>
      <c r="E8" s="33"/>
      <c r="F8" s="33"/>
      <c r="G8" s="33"/>
    </row>
    <row r="9" spans="1:7" ht="13.5" customHeight="1">
      <c r="A9" s="47" t="s">
        <v>195</v>
      </c>
      <c r="B9" s="40">
        <f>IF(538560.20946="","-",538560.20946)</f>
        <v>538560.20946</v>
      </c>
      <c r="C9" s="40">
        <f>IF(502868.05602="","-",538560.20946/502868.05602*100)</f>
        <v>107.09771738584652</v>
      </c>
      <c r="D9" s="40">
        <f>IF(502868.05602="","-",502868.05602/5240739.99296*100)</f>
        <v>9.595363568799703</v>
      </c>
      <c r="E9" s="40">
        <f>IF(538560.20946="","-",538560.20946/5301854.22844*100)</f>
        <v>10.157959578954026</v>
      </c>
      <c r="F9" s="40">
        <f>IF(4359960.60099="","-",(502868.05602-453073.18789)/4359960.60099*100)</f>
        <v>1.1420944519244802</v>
      </c>
      <c r="G9" s="40">
        <f>IF(5240739.99296="","-",(538560.20946-502868.05602)/5240739.99296*100)</f>
        <v>0.6810517882578809</v>
      </c>
    </row>
    <row r="10" spans="1:7" ht="12" customHeight="1">
      <c r="A10" s="34" t="s">
        <v>24</v>
      </c>
      <c r="B10" s="41">
        <f>IF(5039.97461="","-",5039.97461)</f>
        <v>5039.97461</v>
      </c>
      <c r="C10" s="41">
        <f>IF(OR(4447.82647="",5039.97461=""),"-",5039.97461/4447.82647*100)</f>
        <v>113.31320239208884</v>
      </c>
      <c r="D10" s="41">
        <f>IF(4447.82647="","-",4447.82647/5240739.99296*100)</f>
        <v>0.0848701991698665</v>
      </c>
      <c r="E10" s="41">
        <f>IF(5039.97461="","-",5039.97461/5301854.22844*100)</f>
        <v>0.0950606031935915</v>
      </c>
      <c r="F10" s="41">
        <f>IF(OR(4359960.60099="",6073.31632="",4447.82647=""),"-",(4447.82647-6073.31632)/4359960.60099*100)</f>
        <v>-0.037282214193194906</v>
      </c>
      <c r="G10" s="41">
        <f>IF(OR(5240739.99296="",5039.97461="",4447.82647=""),"-",(5039.97461-4447.82647)/5240739.99296*100)</f>
        <v>0.011298941386053222</v>
      </c>
    </row>
    <row r="11" spans="1:7" ht="12.75" customHeight="1">
      <c r="A11" s="34" t="s">
        <v>196</v>
      </c>
      <c r="B11" s="41">
        <f>IF(41873.79633="","-",41873.79633)</f>
        <v>41873.79633</v>
      </c>
      <c r="C11" s="41">
        <f>IF(OR(37480.86013="",41873.79633=""),"-",41873.79633/37480.86013*100)</f>
        <v>111.72047862499252</v>
      </c>
      <c r="D11" s="41">
        <f>IF(37480.86013="","-",37480.86013/5240739.99296*100)</f>
        <v>0.7151825921596731</v>
      </c>
      <c r="E11" s="41">
        <f>IF(41873.79633="","-",41873.79633/5301854.22844*100)</f>
        <v>0.7897953154838209</v>
      </c>
      <c r="F11" s="41">
        <f>IF(OR(4359960.60099="",33840.99998="",37480.86013=""),"-",(37480.86013-33840.99998)/4359960.60099*100)</f>
        <v>0.08348378536203999</v>
      </c>
      <c r="G11" s="41">
        <f>IF(OR(5240739.99296="",41873.79633="",37480.86013=""),"-",(41873.79633-37480.86013)/5240739.99296*100)</f>
        <v>0.08382282284374197</v>
      </c>
    </row>
    <row r="12" spans="1:7" ht="14.25" customHeight="1">
      <c r="A12" s="34" t="s">
        <v>197</v>
      </c>
      <c r="B12" s="41">
        <f>IF(60380.38482="","-",60380.38482)</f>
        <v>60380.38482</v>
      </c>
      <c r="C12" s="41">
        <f>IF(OR(52235.5627="",60380.38482=""),"-",60380.38482/52235.5627*100)</f>
        <v>115.59248469625464</v>
      </c>
      <c r="D12" s="41">
        <f>IF(52235.5627="","-",52235.5627/5240739.99296*100)</f>
        <v>0.9967211265998536</v>
      </c>
      <c r="E12" s="41">
        <f>IF(60380.38482="","-",60380.38482/5301854.22844*100)</f>
        <v>1.138854110626239</v>
      </c>
      <c r="F12" s="41">
        <f>IF(OR(4359960.60099="",46012.68183="",52235.5627=""),"-",(52235.5627-46012.68183)/4359960.60099*100)</f>
        <v>0.14272791521526582</v>
      </c>
      <c r="G12" s="41">
        <f>IF(OR(5240739.99296="",60380.38482="",52235.5627=""),"-",(60380.38482-52235.5627)/5240739.99296*100)</f>
        <v>0.155413589129419</v>
      </c>
    </row>
    <row r="13" spans="1:7" s="9" customFormat="1" ht="13.5" customHeight="1">
      <c r="A13" s="34" t="s">
        <v>198</v>
      </c>
      <c r="B13" s="41">
        <f>IF(51393.98875="","-",51393.98875)</f>
        <v>51393.98875</v>
      </c>
      <c r="C13" s="41">
        <f>IF(OR(46122.04275="",51393.98875=""),"-",51393.98875/46122.04275*100)</f>
        <v>111.43042607322504</v>
      </c>
      <c r="D13" s="41">
        <f>IF(46122.04275="","-",46122.04275/5240739.99296*100)</f>
        <v>0.8800673723931495</v>
      </c>
      <c r="E13" s="41">
        <f>IF(51393.98875="","-",51393.98875/5301854.22844*100)</f>
        <v>0.9693587664918127</v>
      </c>
      <c r="F13" s="41">
        <f>IF(OR(4359960.60099="",41655.32543="",46122.04275=""),"-",(46122.04275-41655.32543)/4359960.60099*100)</f>
        <v>0.10244857072758325</v>
      </c>
      <c r="G13" s="41">
        <f>IF(OR(5240739.99296="",51393.98875="",46122.04275=""),"-",(51393.98875-46122.04275)/5240739.99296*100)</f>
        <v>0.100595450395973</v>
      </c>
    </row>
    <row r="14" spans="1:7" s="9" customFormat="1" ht="13.5" customHeight="1">
      <c r="A14" s="34" t="s">
        <v>199</v>
      </c>
      <c r="B14" s="41">
        <f>IF(73024.58174="","-",73024.58174)</f>
        <v>73024.58174</v>
      </c>
      <c r="C14" s="41">
        <f>IF(OR(68318.27121="",73024.58174=""),"-",73024.58174/68318.27121*100)</f>
        <v>106.88880214128005</v>
      </c>
      <c r="D14" s="41">
        <f>IF(68318.27121="","-",68318.27121/5240739.99296*100)</f>
        <v>1.303599707327084</v>
      </c>
      <c r="E14" s="41">
        <f>IF(73024.58174="","-",73024.58174/5301854.22844*100)</f>
        <v>1.3773404283407942</v>
      </c>
      <c r="F14" s="41">
        <f>IF(OR(4359960.60099="",59554.93819="",68318.27121=""),"-",(68318.27121-59554.93819)/4359960.60099*100)</f>
        <v>0.20099569289709057</v>
      </c>
      <c r="G14" s="41">
        <f>IF(OR(5240739.99296="",73024.58174="",68318.27121=""),"-",(73024.58174-68318.27121)/5240739.99296*100)</f>
        <v>0.08980240455206855</v>
      </c>
    </row>
    <row r="15" spans="1:7" s="9" customFormat="1" ht="14.25" customHeight="1">
      <c r="A15" s="34" t="s">
        <v>200</v>
      </c>
      <c r="B15" s="41">
        <f>IF(142935.50458="","-",142935.50458)</f>
        <v>142935.50458</v>
      </c>
      <c r="C15" s="41">
        <f>IF(OR(131973.06632="",142935.50458=""),"-",142935.50458/131973.06632*100)</f>
        <v>108.30657236789433</v>
      </c>
      <c r="D15" s="41">
        <f>IF(131973.06632="","-",131973.06632/5240739.99296*100)</f>
        <v>2.518214345632149</v>
      </c>
      <c r="E15" s="41">
        <f>IF(142935.50458="","-",142935.50458/5301854.22844*100)</f>
        <v>2.6959531217073254</v>
      </c>
      <c r="F15" s="41">
        <f>IF(OR(4359960.60099="",93345.73909="",131973.06632=""),"-",(131973.06632-93345.73909)/4359960.60099*100)</f>
        <v>0.8859558781615835</v>
      </c>
      <c r="G15" s="41">
        <f>IF(OR(5240739.99296="",142935.50458="",131973.06632=""),"-",(142935.50458-131973.06632)/5240739.99296*100)</f>
        <v>0.20917729699863144</v>
      </c>
    </row>
    <row r="16" spans="1:7" s="9" customFormat="1" ht="15.75">
      <c r="A16" s="34" t="s">
        <v>201</v>
      </c>
      <c r="B16" s="41">
        <f>IF(14377.80616="","-",14377.80616)</f>
        <v>14377.80616</v>
      </c>
      <c r="C16" s="41">
        <f>IF(OR(15282.12738="",14377.80616=""),"-",14377.80616/15282.12738*100)</f>
        <v>94.0824912820482</v>
      </c>
      <c r="D16" s="41">
        <f>IF(15282.12738="","-",15282.12738/5240739.99296*100)</f>
        <v>0.29160247218005114</v>
      </c>
      <c r="E16" s="41">
        <f>IF(14377.80616="","-",14377.80616/5301854.22844*100)</f>
        <v>0.27118448641750903</v>
      </c>
      <c r="F16" s="41">
        <f>IF(OR(4359960.60099="",33032.15513="",15282.12738=""),"-",(15282.12738-33032.15513)/4359960.60099*100)</f>
        <v>-0.4071144070882101</v>
      </c>
      <c r="G16" s="41">
        <f>IF(OR(5240739.99296="",14377.80616="",15282.12738=""),"-",(14377.80616-15282.12738)/5240739.99296*100)</f>
        <v>-0.017255601713017515</v>
      </c>
    </row>
    <row r="17" spans="1:7" s="9" customFormat="1" ht="25.5">
      <c r="A17" s="34" t="s">
        <v>202</v>
      </c>
      <c r="B17" s="41">
        <f>IF(49362.7366="","-",49362.7366)</f>
        <v>49362.7366</v>
      </c>
      <c r="C17" s="41">
        <f>IF(OR(49626.42544="",49362.7366=""),"-",49362.7366/49626.42544*100)</f>
        <v>99.46865236078949</v>
      </c>
      <c r="D17" s="41">
        <f>IF(49626.42544="","-",49626.42544/5240739.99296*100)</f>
        <v>0.9469354615314679</v>
      </c>
      <c r="E17" s="41">
        <f>IF(49362.7366="","-",49362.7366/5301854.22844*100)</f>
        <v>0.9310466578882974</v>
      </c>
      <c r="F17" s="41">
        <f>IF(OR(4359960.60099="",46568.90815="",49626.42544=""),"-",(49626.42544-46568.90815)/4359960.60099*100)</f>
        <v>0.07012717705076824</v>
      </c>
      <c r="G17" s="41">
        <f>IF(OR(5240739.99296="",49362.7366="",49626.42544=""),"-",(49362.7366-49626.42544)/5240739.99296*100)</f>
        <v>-0.005031519219694575</v>
      </c>
    </row>
    <row r="18" spans="1:7" s="9" customFormat="1" ht="25.5">
      <c r="A18" s="34" t="s">
        <v>203</v>
      </c>
      <c r="B18" s="41">
        <f>IF(28861.43293="","-",28861.43293)</f>
        <v>28861.43293</v>
      </c>
      <c r="C18" s="41">
        <f>IF(OR(32398.70914="",28861.43293=""),"-",28861.43293/32398.70914*100)</f>
        <v>89.08204584721304</v>
      </c>
      <c r="D18" s="41">
        <f>IF(32398.70914="","-",32398.70914/5240739.99296*100)</f>
        <v>0.6182086725065904</v>
      </c>
      <c r="E18" s="41">
        <f>IF(28861.43293="","-",28861.43293/5301854.22844*100)</f>
        <v>0.5443648898376463</v>
      </c>
      <c r="F18" s="41">
        <f>IF(OR(4359960.60099="",28649.36096="",32398.70914=""),"-",(32398.70914-28649.36096)/4359960.60099*100)</f>
        <v>0.08599500140319265</v>
      </c>
      <c r="G18" s="41">
        <f>IF(OR(5240739.99296="",28861.43293="",32398.70914=""),"-",(28861.43293-32398.70914)/5240739.99296*100)</f>
        <v>-0.06749573943282246</v>
      </c>
    </row>
    <row r="19" spans="1:7" s="9" customFormat="1" ht="15.75">
      <c r="A19" s="34" t="s">
        <v>204</v>
      </c>
      <c r="B19" s="41">
        <f>IF(71310.00294="","-",71310.00294)</f>
        <v>71310.00294</v>
      </c>
      <c r="C19" s="41">
        <f>IF(OR(64983.16448="",71310.00294=""),"-",71310.00294/64983.16448*100)</f>
        <v>109.73611936357337</v>
      </c>
      <c r="D19" s="41">
        <f>IF(64983.16448="","-",64983.16448/5240739.99296*100)</f>
        <v>1.2399616192998182</v>
      </c>
      <c r="E19" s="41">
        <f>IF(71310.00294="","-",71310.00294/5301854.22844*100)</f>
        <v>1.345001198966989</v>
      </c>
      <c r="F19" s="41">
        <f>IF(OR(4359960.60099="",64339.76281="",64983.16448=""),"-",(64983.16448-64339.76281)/4359960.60099*100)</f>
        <v>0.014757052388361135</v>
      </c>
      <c r="G19" s="41">
        <f>IF(OR(5240739.99296="",71310.00294="",64983.16448=""),"-",(71310.00294-64983.16448)/5240739.99296*100)</f>
        <v>0.1207241433175274</v>
      </c>
    </row>
    <row r="20" spans="1:7" s="9" customFormat="1" ht="15.75">
      <c r="A20" s="47" t="s">
        <v>205</v>
      </c>
      <c r="B20" s="40">
        <f>IF(113562.85251="","-",113562.85251)</f>
        <v>113562.85251</v>
      </c>
      <c r="C20" s="40">
        <f>IF(109156.62032="","-",113562.85251/109156.62032*100)</f>
        <v>104.03661470745689</v>
      </c>
      <c r="D20" s="40">
        <f>IF(109156.62032="","-",109156.62032/5240739.99296*100)</f>
        <v>2.0828474693770813</v>
      </c>
      <c r="E20" s="40">
        <f>IF(113562.85251="","-",113562.85251/5301854.22844*100)</f>
        <v>2.1419459611098053</v>
      </c>
      <c r="F20" s="40">
        <f>IF(4359960.60099="","-",(109156.62032-106000.7433)/4359960.60099*100)</f>
        <v>0.07238315454693343</v>
      </c>
      <c r="G20" s="40">
        <f>IF(5240739.99296="","-",(113562.85251-109156.62032)/5240739.99296*100)</f>
        <v>0.08407652728276889</v>
      </c>
    </row>
    <row r="21" spans="1:7" s="9" customFormat="1" ht="13.5" customHeight="1">
      <c r="A21" s="34" t="s">
        <v>206</v>
      </c>
      <c r="B21" s="41">
        <f>IF(56615.14494="","-",56615.14494)</f>
        <v>56615.14494</v>
      </c>
      <c r="C21" s="41">
        <f>IF(OR(54817.6863="",56615.14494=""),"-",56615.14494/54817.6863*100)</f>
        <v>103.27897574910965</v>
      </c>
      <c r="D21" s="41">
        <f>IF(54817.6863="","-",54817.6863/5240739.99296*100)</f>
        <v>1.0459913365982243</v>
      </c>
      <c r="E21" s="41">
        <f>IF(56615.14494="","-",56615.14494/5301854.22844*100)</f>
        <v>1.067836694496564</v>
      </c>
      <c r="F21" s="41">
        <f>IF(OR(4359960.60099="",49455.86361="",54817.6863=""),"-",(54817.6863-49455.86361)/4359960.60099*100)</f>
        <v>0.12297869592634647</v>
      </c>
      <c r="G21" s="41">
        <f>IF(OR(5240739.99296="",56615.14494="",54817.6863=""),"-",(56615.14494-54817.6863)/5240739.99296*100)</f>
        <v>0.03429780226484356</v>
      </c>
    </row>
    <row r="22" spans="1:7" s="9" customFormat="1" ht="13.5" customHeight="1">
      <c r="A22" s="34" t="s">
        <v>207</v>
      </c>
      <c r="B22" s="41">
        <f>IF(56947.70757="","-",56947.70757)</f>
        <v>56947.70757</v>
      </c>
      <c r="C22" s="41">
        <f>IF(OR(54338.93402="",56947.70757=""),"-",56947.70757/54338.93402*100)</f>
        <v>104.80092883132343</v>
      </c>
      <c r="D22" s="41">
        <f>IF(54338.93402="","-",54338.93402/5240739.99296*100)</f>
        <v>1.0368561327788568</v>
      </c>
      <c r="E22" s="41">
        <f>IF(56947.70757="","-",56947.70757/5301854.22844*100)</f>
        <v>1.0741092666132412</v>
      </c>
      <c r="F22" s="41">
        <f>IF(OR(4359960.60099="",56544.87969="",54338.93402=""),"-",(54338.93402-56544.87969)/4359960.60099*100)</f>
        <v>-0.05059554137941304</v>
      </c>
      <c r="G22" s="41">
        <f>IF(OR(5240739.99296="",56947.70757="",54338.93402=""),"-",(56947.70757-54338.93402)/5240739.99296*100)</f>
        <v>0.04977872501792534</v>
      </c>
    </row>
    <row r="23" spans="1:7" s="9" customFormat="1" ht="25.5">
      <c r="A23" s="47" t="s">
        <v>25</v>
      </c>
      <c r="B23" s="40">
        <f>IF(129523.14149="","-",129523.14149)</f>
        <v>129523.14149</v>
      </c>
      <c r="C23" s="40">
        <f>IF(126026.53698="","-",129523.14149/126026.53698*100)</f>
        <v>102.77449860465093</v>
      </c>
      <c r="D23" s="40">
        <f>IF(126026.53698="","-",126026.53698/5240739.99296*100)</f>
        <v>2.4047469851451164</v>
      </c>
      <c r="E23" s="40">
        <f>IF(129523.14149="","-",129523.14149/5301854.22844*100)</f>
        <v>2.4429781715841417</v>
      </c>
      <c r="F23" s="40">
        <f>IF(4359960.60099="","-",(126026.53698-101450.51297)/4359960.60099*100)</f>
        <v>0.5636753690943818</v>
      </c>
      <c r="G23" s="40">
        <f>IF(5240739.99296="","-",(129523.14149-126026.53698)/5240739.99296*100)</f>
        <v>0.06671967154823659</v>
      </c>
    </row>
    <row r="24" spans="1:7" s="9" customFormat="1" ht="15.75">
      <c r="A24" s="34" t="s">
        <v>208</v>
      </c>
      <c r="B24" s="41">
        <f>IF(18.14="","-",18.14)</f>
        <v>18.14</v>
      </c>
      <c r="C24" s="41">
        <f>IF(OR(39.57298="",18.14=""),"-",18.14/39.57298*100)</f>
        <v>45.83935806704474</v>
      </c>
      <c r="D24" s="41">
        <f>IF(39.57298="","-",39.57298/5240739.99296*100)</f>
        <v>0.0007551029063292444</v>
      </c>
      <c r="E24" s="41">
        <f>IF(18.14="","-",18.14/5301854.22844*100)</f>
        <v>0.00034214445019431353</v>
      </c>
      <c r="F24" s="41">
        <f>IF(OR(4359960.60099="",60.70645="",39.57298=""),"-",(39.57298-60.70645)/4359960.60099*100)</f>
        <v>-0.00048471699480957</v>
      </c>
      <c r="G24" s="41">
        <f>IF(OR(5240739.99296="",18.14="",39.57298=""),"-",(18.14-39.57298)/5240739.99296*100)</f>
        <v>-0.0004089685813223207</v>
      </c>
    </row>
    <row r="25" spans="1:7" s="9" customFormat="1" ht="15.75">
      <c r="A25" s="34" t="s">
        <v>209</v>
      </c>
      <c r="B25" s="41">
        <f>IF(30412.18229="","-",30412.18229)</f>
        <v>30412.18229</v>
      </c>
      <c r="C25" s="41">
        <f>IF(OR(34642.53514="",30412.18229=""),"-",30412.18229/34642.53514*100)</f>
        <v>87.7885586811012</v>
      </c>
      <c r="D25" s="41">
        <f>IF(34642.53514="","-",34642.53514/5240739.99296*100)</f>
        <v>0.6610237330326646</v>
      </c>
      <c r="E25" s="41">
        <f>IF(30412.18229="","-",30412.18229/5301854.22844*100)</f>
        <v>0.5736140787663334</v>
      </c>
      <c r="F25" s="41">
        <f>IF(OR(4359960.60099="",26181.9193="",34642.53514=""),"-",(34642.53514-26181.9193)/4359960.60099*100)</f>
        <v>0.19405257556866173</v>
      </c>
      <c r="G25" s="41">
        <f>IF(OR(5240739.99296="",30412.18229="",34642.53514=""),"-",(30412.18229-34642.53514)/5240739.99296*100)</f>
        <v>-0.08072052526327816</v>
      </c>
    </row>
    <row r="26" spans="1:7" s="9" customFormat="1" ht="25.5">
      <c r="A26" s="34" t="s">
        <v>248</v>
      </c>
      <c r="B26" s="41">
        <f>IF(1444.9346="","-",1444.9346)</f>
        <v>1444.9346</v>
      </c>
      <c r="C26" s="41" t="s">
        <v>106</v>
      </c>
      <c r="D26" s="41">
        <f>IF(856.78098="","-",856.78098/5240739.99296*100)</f>
        <v>0.016348473329165968</v>
      </c>
      <c r="E26" s="41">
        <f>IF(1444.9346="","-",1444.9346/5301854.22844*100)</f>
        <v>0.027253382264814795</v>
      </c>
      <c r="F26" s="41">
        <f>IF(OR(4359960.60099="",690.21058="",856.78098=""),"-",(856.78098-690.21058)/4359960.60099*100)</f>
        <v>0.0038204565417902497</v>
      </c>
      <c r="G26" s="41">
        <f>IF(OR(5240739.99296="",1444.9346="",856.78098=""),"-",(1444.9346-856.78098)/5240739.99296*100)</f>
        <v>0.011222720852209411</v>
      </c>
    </row>
    <row r="27" spans="1:7" s="9" customFormat="1" ht="15.75">
      <c r="A27" s="34" t="s">
        <v>210</v>
      </c>
      <c r="B27" s="41">
        <f>IF(36043.47363="","-",36043.47363)</f>
        <v>36043.47363</v>
      </c>
      <c r="C27" s="41">
        <f>IF(OR(32865.83355="",36043.47363=""),"-",36043.47363/32865.83355*100)</f>
        <v>109.66852118679947</v>
      </c>
      <c r="D27" s="41">
        <f>IF(32865.83355="","-",32865.83355/5240739.99296*100)</f>
        <v>0.6271220017430629</v>
      </c>
      <c r="E27" s="41">
        <f>IF(36043.47363="","-",36043.47363/5301854.22844*100)</f>
        <v>0.6798276994613885</v>
      </c>
      <c r="F27" s="41">
        <f>IF(OR(4359960.60099="",30670.43819="",32865.83355=""),"-",(32865.83355-30670.43819)/4359960.60099*100)</f>
        <v>0.05035355960559602</v>
      </c>
      <c r="G27" s="41">
        <f>IF(OR(5240739.99296="",36043.47363="",32865.83355=""),"-",(36043.47363-32865.83355)/5240739.99296*100)</f>
        <v>0.060633423605608944</v>
      </c>
    </row>
    <row r="28" spans="1:7" s="9" customFormat="1" ht="15.75">
      <c r="A28" s="34" t="s">
        <v>211</v>
      </c>
      <c r="B28" s="41">
        <f>IF(429.1599="","-",429.1599)</f>
        <v>429.1599</v>
      </c>
      <c r="C28" s="41">
        <f>IF(OR(498.99399="",429.1599=""),"-",429.1599/498.99399*100)</f>
        <v>86.0050238280425</v>
      </c>
      <c r="D28" s="41">
        <f>IF(498.99399="","-",498.99399/5240739.99296*100)</f>
        <v>0.009521441450449926</v>
      </c>
      <c r="E28" s="41">
        <f>IF(429.1599="","-",429.1599/5301854.22844*100)</f>
        <v>0.00809452469850863</v>
      </c>
      <c r="F28" s="41">
        <f>IF(OR(4359960.60099="",518.29186="",498.99399=""),"-",(498.99399-518.29186)/4359960.60099*100)</f>
        <v>-0.00044261569693125553</v>
      </c>
      <c r="G28" s="41">
        <f>IF(OR(5240739.99296="",429.1599="",498.99399=""),"-",(429.1599-498.99399)/5240739.99296*100)</f>
        <v>-0.001332523462217352</v>
      </c>
    </row>
    <row r="29" spans="1:7" s="9" customFormat="1" ht="38.25">
      <c r="A29" s="34" t="s">
        <v>212</v>
      </c>
      <c r="B29" s="41">
        <f>IF(7427.75588="","-",7427.75588)</f>
        <v>7427.75588</v>
      </c>
      <c r="C29" s="41">
        <f>IF(OR(7978.64967="",7427.75588=""),"-",7427.75588/7978.64967*100)</f>
        <v>93.0954006907788</v>
      </c>
      <c r="D29" s="41">
        <f>IF(7978.64967="","-",7978.64967/5240739.99296*100)</f>
        <v>0.15224280694554382</v>
      </c>
      <c r="E29" s="41">
        <f>IF(7427.75588="","-",7427.75588/5301854.22844*100)</f>
        <v>0.1400973236901973</v>
      </c>
      <c r="F29" s="41">
        <f>IF(OR(4359960.60099="",8204.97293="",7978.64967=""),"-",(7978.64967-8204.97293)/4359960.60099*100)</f>
        <v>-0.005190947366556701</v>
      </c>
      <c r="G29" s="41">
        <f>IF(OR(5240739.99296="",7427.75588="",7978.64967=""),"-",(7427.75588-7978.64967)/5240739.99296*100)</f>
        <v>-0.010511755796700993</v>
      </c>
    </row>
    <row r="30" spans="1:7" s="9" customFormat="1" ht="38.25">
      <c r="A30" s="34" t="s">
        <v>213</v>
      </c>
      <c r="B30" s="41">
        <f>IF(22429.61158="","-",22429.61158)</f>
        <v>22429.61158</v>
      </c>
      <c r="C30" s="41" t="s">
        <v>107</v>
      </c>
      <c r="D30" s="41">
        <f>IF(14454.60072="","-",14454.60072/5240739.99296*100)</f>
        <v>0.27581220857010996</v>
      </c>
      <c r="E30" s="41">
        <f>IF(22429.61158="","-",22429.61158/5301854.22844*100)</f>
        <v>0.4230522118032584</v>
      </c>
      <c r="F30" s="41">
        <f>IF(OR(4359960.60099="",9746.84899="",14454.60072=""),"-",(14454.60072-9746.84899)/4359960.60099*100)</f>
        <v>0.10797693284042587</v>
      </c>
      <c r="G30" s="41">
        <f>IF(OR(5240739.99296="",22429.61158="",14454.60072=""),"-",(22429.61158-14454.60072)/5240739.99296*100)</f>
        <v>0.15217337381196178</v>
      </c>
    </row>
    <row r="31" spans="1:7" s="9" customFormat="1" ht="15.75">
      <c r="A31" s="34" t="s">
        <v>214</v>
      </c>
      <c r="B31" s="41">
        <f>IF(1377.58838="","-",1377.58838)</f>
        <v>1377.58838</v>
      </c>
      <c r="C31" s="41">
        <f>IF(OR(3659.46623="",1377.58838=""),"-",1377.58838/3659.46623*100)</f>
        <v>37.644516807031714</v>
      </c>
      <c r="D31" s="41">
        <f>IF(3659.46623="","-",3659.46623/5240739.99296*100)</f>
        <v>0.0698272807831688</v>
      </c>
      <c r="E31" s="41">
        <f>IF(1377.58838="","-",1377.58838/5301854.22844*100)</f>
        <v>0.025983143267319462</v>
      </c>
      <c r="F31" s="41">
        <f>IF(OR(4359960.60099="",1082.75834="",3659.46623=""),"-",(3659.46623-1082.75834)/4359960.60099*100)</f>
        <v>0.059099338865927276</v>
      </c>
      <c r="G31" s="41">
        <f>IF(OR(5240739.99296="",1377.58838="",3659.46623=""),"-",(1377.58838-3659.46623)/5240739.99296*100)</f>
        <v>-0.04354113833285559</v>
      </c>
    </row>
    <row r="32" spans="1:7" s="9" customFormat="1" ht="25.5">
      <c r="A32" s="34" t="s">
        <v>215</v>
      </c>
      <c r="B32" s="41">
        <f>IF(29940.29523="","-",29940.29523)</f>
        <v>29940.29523</v>
      </c>
      <c r="C32" s="41">
        <f>IF(OR(31030.10372="",29940.29523=""),"-",29940.29523/31030.10372*100)</f>
        <v>96.48789929987383</v>
      </c>
      <c r="D32" s="41">
        <f>IF(31030.10372="","-",31030.10372/5240739.99296*100)</f>
        <v>0.5920939363846215</v>
      </c>
      <c r="E32" s="41">
        <f>IF(29940.29523="","-",29940.29523/5301854.22844*100)</f>
        <v>0.5647136631821267</v>
      </c>
      <c r="F32" s="41">
        <f>IF(OR(4359960.60099="",24294.36633="",31030.10372=""),"-",(31030.10372-24294.36633)/4359960.60099*100)</f>
        <v>0.1544907857302779</v>
      </c>
      <c r="G32" s="41">
        <f>IF(OR(5240739.99296="",29940.29523="",31030.10372=""),"-",(29940.29523-31030.10372)/5240739.99296*100)</f>
        <v>-0.02079493528516894</v>
      </c>
    </row>
    <row r="33" spans="1:7" s="9" customFormat="1" ht="25.5">
      <c r="A33" s="47" t="s">
        <v>216</v>
      </c>
      <c r="B33" s="40">
        <f>IF(828046.68231="","-",828046.68231)</f>
        <v>828046.68231</v>
      </c>
      <c r="C33" s="40">
        <f>IF(889354.67636="","-",828046.68231/889354.67636*100)</f>
        <v>93.10646295795904</v>
      </c>
      <c r="D33" s="40">
        <f>IF(889354.67636="","-",889354.67636/5240739.99296*100)</f>
        <v>16.97002098090517</v>
      </c>
      <c r="E33" s="40">
        <f>IF(828046.68231="","-",828046.68231/5301854.22844*100)</f>
        <v>15.618058260980172</v>
      </c>
      <c r="F33" s="40">
        <f>IF(4359960.60099="","-",(889354.67636-682996.46261)/4359960.60099*100)</f>
        <v>4.733029323777444</v>
      </c>
      <c r="G33" s="40">
        <f>IF(5240739.99296="","-",(828046.68231-889354.67636)/5240739.99296*100)</f>
        <v>-1.1698346823608203</v>
      </c>
    </row>
    <row r="34" spans="1:7" s="9" customFormat="1" ht="15.75">
      <c r="A34" s="34" t="s">
        <v>249</v>
      </c>
      <c r="B34" s="41">
        <f>IF(17331.08281="","-",17331.08281)</f>
        <v>17331.08281</v>
      </c>
      <c r="C34" s="41">
        <f>IF(OR(16237.6439="",17331.08281=""),"-",17331.08281/16237.6439*100)</f>
        <v>106.73397517973653</v>
      </c>
      <c r="D34" s="41">
        <f>IF(16237.6439="","-",16237.6439/5240739.99296*100)</f>
        <v>0.30983494548121787</v>
      </c>
      <c r="E34" s="41">
        <f>IF(17331.08281="","-",17331.08281/5301854.22844*100)</f>
        <v>0.3268871995203731</v>
      </c>
      <c r="F34" s="41">
        <f>IF(OR(4359960.60099="",22460.60911="",16237.6439=""),"-",(16237.6439-22460.60911)/4359960.60099*100)</f>
        <v>-0.1427298496364159</v>
      </c>
      <c r="G34" s="41">
        <f>IF(OR(5240739.99296="",17331.08281="",16237.6439=""),"-",(17331.08281-16237.6439)/5240739.99296*100)</f>
        <v>0.020864208326855385</v>
      </c>
    </row>
    <row r="35" spans="1:7" s="9" customFormat="1" ht="25.5">
      <c r="A35" s="34" t="s">
        <v>217</v>
      </c>
      <c r="B35" s="41">
        <f>IF(537758.53437="","-",537758.53437)</f>
        <v>537758.53437</v>
      </c>
      <c r="C35" s="41">
        <f>IF(OR(588886.08632="",537758.53437=""),"-",537758.53437/588886.08632*100)</f>
        <v>91.31792155771578</v>
      </c>
      <c r="D35" s="41">
        <f>IF(588886.08632="","-",588886.08632/5240739.99296*100)</f>
        <v>11.236697243348525</v>
      </c>
      <c r="E35" s="41">
        <f>IF(537758.53437="","-",537758.53437/5301854.22844*100)</f>
        <v>10.142838923887734</v>
      </c>
      <c r="F35" s="41">
        <f>IF(OR(4359960.60099="",434056.49186="",588886.08632=""),"-",(588886.08632-434056.49186)/4359960.60099*100)</f>
        <v>3.5511695776526837</v>
      </c>
      <c r="G35" s="41">
        <f>IF(OR(5240739.99296="",537758.53437="",588886.08632=""),"-",(537758.53437-588886.08632)/5240739.99296*100)</f>
        <v>-0.975578868989508</v>
      </c>
    </row>
    <row r="36" spans="1:7" s="9" customFormat="1" ht="25.5">
      <c r="A36" s="34" t="s">
        <v>250</v>
      </c>
      <c r="B36" s="41">
        <f>IF(236026.68838="","-",236026.68838)</f>
        <v>236026.68838</v>
      </c>
      <c r="C36" s="41">
        <f>IF(OR(233896.51134="",236026.68838=""),"-",236026.68838/233896.51134*100)</f>
        <v>100.91073484926996</v>
      </c>
      <c r="D36" s="41">
        <f>IF(233896.51134="","-",233896.51134/5240739.99296*100)</f>
        <v>4.463043609379557</v>
      </c>
      <c r="E36" s="41">
        <f>IF(236026.68838="","-",236026.68838/5301854.22844*100)</f>
        <v>4.451776269402407</v>
      </c>
      <c r="F36" s="41">
        <f>IF(OR(4359960.60099="",172309.18926="",233896.51134=""),"-",(233896.51134-172309.18926)/4359960.60099*100)</f>
        <v>1.412566023326348</v>
      </c>
      <c r="G36" s="41">
        <f>IF(OR(5240739.99296="",236026.68838="",233896.51134=""),"-",(236026.68838-233896.51134)/5240739.99296*100)</f>
        <v>0.04064649348873484</v>
      </c>
    </row>
    <row r="37" spans="1:7" s="9" customFormat="1" ht="15.75">
      <c r="A37" s="34" t="s">
        <v>218</v>
      </c>
      <c r="B37" s="41">
        <f>IF(36930.37675="","-",36930.37675)</f>
        <v>36930.37675</v>
      </c>
      <c r="C37" s="41">
        <f>IF(OR(50334.4348="",36930.37675=""),"-",36930.37675/50334.4348*100)</f>
        <v>73.37000384873697</v>
      </c>
      <c r="D37" s="41">
        <f>IF(50334.4348="","-",50334.4348/5240739.99296*100)</f>
        <v>0.9604451826958663</v>
      </c>
      <c r="E37" s="41">
        <f>IF(36930.37675="","-",36930.37675/5301854.22844*100)</f>
        <v>0.6965558681696588</v>
      </c>
      <c r="F37" s="41">
        <f>IF(OR(4359960.60099="",54170.17238="",50334.4348=""),"-",(50334.4348-54170.17238)/4359960.60099*100)</f>
        <v>-0.0879764275651719</v>
      </c>
      <c r="G37" s="41">
        <f>IF(OR(5240739.99296="",36930.37675="",50334.4348=""),"-",(36930.37675-50334.4348)/5240739.99296*100)</f>
        <v>-0.25576651518690036</v>
      </c>
    </row>
    <row r="38" spans="1:7" s="9" customFormat="1" ht="25.5">
      <c r="A38" s="47" t="s">
        <v>219</v>
      </c>
      <c r="B38" s="40">
        <f>IF(10414.19056="","-",10414.19056)</f>
        <v>10414.19056</v>
      </c>
      <c r="C38" s="40">
        <f>IF(10481.57587="","-",10414.19056/10481.57587*100)</f>
        <v>99.35710707210669</v>
      </c>
      <c r="D38" s="40">
        <f>IF(10481.57587="","-",10481.57587/5240739.99296*100)</f>
        <v>0.20000182959048013</v>
      </c>
      <c r="E38" s="40">
        <f>IF(10414.19056="","-",10414.19056/5301854.22844*100)</f>
        <v>0.1964254412001108</v>
      </c>
      <c r="F38" s="40">
        <f>IF(4359960.60099="","-",(10481.57587-14465.88428)/4359960.60099*100)</f>
        <v>-0.09138404620205279</v>
      </c>
      <c r="G38" s="40">
        <f>IF(5240739.99296="","-",(10414.19056-10481.57587)/5240739.99296*100)</f>
        <v>-0.0012857976180944224</v>
      </c>
    </row>
    <row r="39" spans="1:7" s="9" customFormat="1" ht="15.75">
      <c r="A39" s="34" t="s">
        <v>251</v>
      </c>
      <c r="B39" s="41">
        <f>IF(1673.43429="","-",1673.43429)</f>
        <v>1673.43429</v>
      </c>
      <c r="C39" s="41">
        <f>IF(OR(1430.10911="",1673.43429=""),"-",1673.43429/1430.10911*100)</f>
        <v>117.0144486388175</v>
      </c>
      <c r="D39" s="41">
        <f>IF(1430.10911="","-",1430.10911/5240739.99296*100)</f>
        <v>0.027288304932530455</v>
      </c>
      <c r="E39" s="41">
        <f>IF(1673.43429="","-",1673.43429/5301854.22844*100)</f>
        <v>0.0315631893654003</v>
      </c>
      <c r="F39" s="41">
        <f>IF(OR(4359960.60099="",1204.32457="",1430.10911=""),"-",(1430.10911-1204.32457)/4359960.60099*100)</f>
        <v>0.005178591291598645</v>
      </c>
      <c r="G39" s="41">
        <f>IF(OR(5240739.99296="",1673.43429="",1430.10911=""),"-",(1673.43429-1430.10911)/5240739.99296*100)</f>
        <v>0.004642954627149292</v>
      </c>
    </row>
    <row r="40" spans="1:7" s="9" customFormat="1" ht="25.5">
      <c r="A40" s="34" t="s">
        <v>220</v>
      </c>
      <c r="B40" s="41">
        <f>IF(6408.50662="","-",6408.50662)</f>
        <v>6408.50662</v>
      </c>
      <c r="C40" s="41">
        <f>IF(OR(6507.58478="",6408.50662=""),"-",6408.50662/6507.58478*100)</f>
        <v>98.477497207497</v>
      </c>
      <c r="D40" s="41">
        <f>IF(6507.58478="","-",6507.58478/5240739.99296*100)</f>
        <v>0.12417301351988039</v>
      </c>
      <c r="E40" s="41">
        <f>IF(6408.50662="","-",6408.50662/5301854.22844*100)</f>
        <v>0.12087293131568459</v>
      </c>
      <c r="F40" s="41">
        <f>IF(OR(4359960.60099="",10812.23949="",6507.58478=""),"-",(6507.58478-10812.23949)/4359960.60099*100)</f>
        <v>-0.09873150479897817</v>
      </c>
      <c r="G40" s="41">
        <f>IF(OR(5240739.99296="",6408.50662="",6507.58478=""),"-",(6408.50662-6507.58478)/5240739.99296*100)</f>
        <v>-0.0018905375983753032</v>
      </c>
    </row>
    <row r="41" spans="1:7" s="9" customFormat="1" ht="63.75">
      <c r="A41" s="34" t="s">
        <v>221</v>
      </c>
      <c r="B41" s="41">
        <f>IF(2332.24965="","-",2332.24965)</f>
        <v>2332.24965</v>
      </c>
      <c r="C41" s="41">
        <f>IF(OR(2543.88198="",2332.24965=""),"-",2332.24965/2543.88198*100)</f>
        <v>91.68073316042752</v>
      </c>
      <c r="D41" s="41">
        <f>IF(2543.88198="","-",2543.88198/5240739.99296*100)</f>
        <v>0.04854051113806927</v>
      </c>
      <c r="E41" s="41">
        <f>IF(2332.24965="","-",2332.24965/5301854.22844*100)</f>
        <v>0.043989320519025925</v>
      </c>
      <c r="F41" s="41">
        <f>IF(OR(4359960.60099="",2449.32022="",2543.88198=""),"-",(2543.88198-2449.32022)/4359960.60099*100)</f>
        <v>0.0021688673053267557</v>
      </c>
      <c r="G41" s="41">
        <f>IF(OR(5240739.99296="",2332.24965="",2543.88198=""),"-",(2332.24965-2543.88198)/5240739.99296*100)</f>
        <v>-0.004038214646868384</v>
      </c>
    </row>
    <row r="42" spans="1:7" s="9" customFormat="1" ht="14.25" customHeight="1">
      <c r="A42" s="47" t="s">
        <v>222</v>
      </c>
      <c r="B42" s="40">
        <f>IF(777818.29391="","-",777818.29391)</f>
        <v>777818.29391</v>
      </c>
      <c r="C42" s="40">
        <f>IF(746297.58969="","-",777818.29391/746297.58969*100)</f>
        <v>104.22361061531676</v>
      </c>
      <c r="D42" s="40">
        <f>IF(746297.58969="","-",746297.58969/5240739.99296*100)</f>
        <v>14.240309397003434</v>
      </c>
      <c r="E42" s="40">
        <f>IF(777818.29391="","-",777818.29391/5301854.22844*100)</f>
        <v>14.67068426245402</v>
      </c>
      <c r="F42" s="40">
        <f>IF(4359960.60099="","-",(746297.58969-657740.34163)/4359960.60099*100)</f>
        <v>2.0311478970679606</v>
      </c>
      <c r="G42" s="40">
        <f>IF(5240739.99296="","-",(777818.29391-746297.58969)/5240739.99296*100)</f>
        <v>0.601455219345787</v>
      </c>
    </row>
    <row r="43" spans="1:7" s="9" customFormat="1" ht="15" customHeight="1">
      <c r="A43" s="34" t="s">
        <v>26</v>
      </c>
      <c r="B43" s="41">
        <f>IF(21368.42751="","-",21368.42751)</f>
        <v>21368.42751</v>
      </c>
      <c r="C43" s="41">
        <f>IF(OR(20297.31227="",21368.42751=""),"-",21368.42751/20297.31227*100)</f>
        <v>105.27712844810068</v>
      </c>
      <c r="D43" s="41">
        <f>IF(20297.31227="","-",20297.31227/5240739.99296*100)</f>
        <v>0.38729859327625143</v>
      </c>
      <c r="E43" s="41">
        <f>IF(21368.42751="","-",21368.42751/5301854.22844*100)</f>
        <v>0.4030368733145532</v>
      </c>
      <c r="F43" s="41">
        <f>IF(OR(4359960.60099="",19200.07538="",20297.31227=""),"-",(20297.31227-19200.07538)/4359960.60099*100)</f>
        <v>0.025166211129312836</v>
      </c>
      <c r="G43" s="41">
        <f>IF(OR(5240739.99296="",21368.42751="",20297.31227=""),"-",(21368.42751-20297.31227)/5240739.99296*100)</f>
        <v>0.020438244244874868</v>
      </c>
    </row>
    <row r="44" spans="1:7" s="9" customFormat="1" ht="15.75">
      <c r="A44" s="34" t="s">
        <v>27</v>
      </c>
      <c r="B44" s="41">
        <f>IF(16117.8345="","-",16117.8345)</f>
        <v>16117.8345</v>
      </c>
      <c r="C44" s="41">
        <f>IF(OR(14939.32531="",16117.8345=""),"-",16117.8345/14939.32531*100)</f>
        <v>107.88863730821323</v>
      </c>
      <c r="D44" s="41">
        <f>IF(14939.32531="","-",14939.32531/5240739.99296*100)</f>
        <v>0.2850613716778226</v>
      </c>
      <c r="E44" s="41">
        <f>IF(16117.8345="","-",16117.8345/5301854.22844*100)</f>
        <v>0.30400372785697016</v>
      </c>
      <c r="F44" s="41">
        <f>IF(OR(4359960.60099="",12612.53237="",14939.32531=""),"-",(14939.32531-12612.53237)/4359960.60099*100)</f>
        <v>0.05336729280240888</v>
      </c>
      <c r="G44" s="41">
        <f>IF(OR(5240739.99296="",16117.8345="",14939.32531=""),"-",(16117.8345-14939.32531)/5240739.99296*100)</f>
        <v>0.022487457717481073</v>
      </c>
    </row>
    <row r="45" spans="1:7" s="9" customFormat="1" ht="15.75">
      <c r="A45" s="34" t="s">
        <v>223</v>
      </c>
      <c r="B45" s="41">
        <f>IF(36276.32151="","-",36276.32151)</f>
        <v>36276.32151</v>
      </c>
      <c r="C45" s="41">
        <f>IF(OR(34645.11888="",36276.32151=""),"-",36276.32151/34645.11888*100)</f>
        <v>104.70831875523355</v>
      </c>
      <c r="D45" s="41">
        <f>IF(34645.11888="","-",34645.11888/5240739.99296*100)</f>
        <v>0.6610730340856357</v>
      </c>
      <c r="E45" s="41">
        <f>IF(36276.32151="","-",36276.32151/5301854.22844*100)</f>
        <v>0.684219519190248</v>
      </c>
      <c r="F45" s="41">
        <f>IF(OR(4359960.60099="",30595.46406="",34645.11888=""),"-",(34645.11888-30595.46406)/4359960.60099*100)</f>
        <v>0.09288283061733317</v>
      </c>
      <c r="G45" s="41">
        <f>IF(OR(5240739.99296="",36276.32151="",34645.11888=""),"-",(36276.32151-34645.11888)/5240739.99296*100)</f>
        <v>0.03112542564964546</v>
      </c>
    </row>
    <row r="46" spans="1:7" s="9" customFormat="1" ht="15.75">
      <c r="A46" s="34" t="s">
        <v>224</v>
      </c>
      <c r="B46" s="41">
        <f>IF(249331.96252="","-",249331.96252)</f>
        <v>249331.96252</v>
      </c>
      <c r="C46" s="41">
        <f>IF(OR(214047.9327="",249331.96252=""),"-",249331.96252/214047.9327*100)</f>
        <v>116.4841722014912</v>
      </c>
      <c r="D46" s="41">
        <f>IF(214047.9327="","-",214047.9327/5240739.99296*100)</f>
        <v>4.084307425812676</v>
      </c>
      <c r="E46" s="41">
        <f>IF(249331.96252="","-",249331.96252/5301854.22844*100)</f>
        <v>4.702731379948985</v>
      </c>
      <c r="F46" s="41">
        <f>IF(OR(4359960.60099="",197894.06188="",214047.9327=""),"-",(214047.9327-197894.06188)/4359960.60099*100)</f>
        <v>0.3705049723690625</v>
      </c>
      <c r="G46" s="41">
        <f>IF(OR(5240739.99296="",249331.96252="",214047.9327=""),"-",(249331.96252-214047.9327)/5240739.99296*100)</f>
        <v>0.673264269309254</v>
      </c>
    </row>
    <row r="47" spans="1:7" s="9" customFormat="1" ht="38.25">
      <c r="A47" s="34" t="s">
        <v>225</v>
      </c>
      <c r="B47" s="41">
        <f>IF(105124.7819="","-",105124.7819)</f>
        <v>105124.7819</v>
      </c>
      <c r="C47" s="41">
        <f>IF(OR(103224.30803="",105124.7819=""),"-",105124.7819/103224.30803*100)</f>
        <v>101.84111078705189</v>
      </c>
      <c r="D47" s="41">
        <f>IF(103224.30803="","-",103224.30803/5240739.99296*100)</f>
        <v>1.96965138832805</v>
      </c>
      <c r="E47" s="41">
        <f>IF(105124.7819="","-",105124.7819/5301854.22844*100)</f>
        <v>1.9827927621263848</v>
      </c>
      <c r="F47" s="41">
        <f>IF(OR(4359960.60099="",100943.53799="",103224.30803=""),"-",(103224.30803-100943.53799)/4359960.60099*100)</f>
        <v>0.05231171216276856</v>
      </c>
      <c r="G47" s="41">
        <f>IF(OR(5240739.99296="",105124.7819="",103224.30803=""),"-",(105124.7819-103224.30803)/5240739.99296*100)</f>
        <v>0.03626346417782507</v>
      </c>
    </row>
    <row r="48" spans="1:7" s="9" customFormat="1" ht="13.5" customHeight="1">
      <c r="A48" s="34" t="s">
        <v>227</v>
      </c>
      <c r="B48" s="41">
        <f>IF(78703.20669="","-",78703.20669)</f>
        <v>78703.20669</v>
      </c>
      <c r="C48" s="41">
        <f>IF(OR(82141.85589="",78703.20669=""),"-",78703.20669/82141.85589*100)</f>
        <v>95.81376733853584</v>
      </c>
      <c r="D48" s="41">
        <f>IF(82141.85589="","-",82141.85589/5240739.99296*100)</f>
        <v>1.5673713254300528</v>
      </c>
      <c r="E48" s="41">
        <f>IF(78703.20669="","-",78703.20669/5301854.22844*100)</f>
        <v>1.484446823675825</v>
      </c>
      <c r="F48" s="41">
        <f>IF(OR(4359960.60099="",59102.42155="",82141.85589=""),"-",(82141.85589-59102.42155)/4359960.60099*100)</f>
        <v>0.5284321682807989</v>
      </c>
      <c r="G48" s="41">
        <f>IF(OR(5240739.99296="",78703.20669="",82141.85589=""),"-",(78703.20669-82141.85589)/5240739.99296*100)</f>
        <v>-0.06561381035157653</v>
      </c>
    </row>
    <row r="49" spans="1:7" s="9" customFormat="1" ht="15.75">
      <c r="A49" s="34" t="s">
        <v>28</v>
      </c>
      <c r="B49" s="41">
        <f>IF(49032.21466="","-",49032.21466)</f>
        <v>49032.21466</v>
      </c>
      <c r="C49" s="41">
        <f>IF(OR(54898.74064="",49032.21466=""),"-",49032.21466/54898.74064*100)</f>
        <v>89.31391519803722</v>
      </c>
      <c r="D49" s="41">
        <f>IF(54898.74064="","-",54898.74064/5240739.99296*100)</f>
        <v>1.0475379567341</v>
      </c>
      <c r="E49" s="41">
        <f>IF(49032.21466="","-",49032.21466/5301854.22844*100)</f>
        <v>0.9248125758905875</v>
      </c>
      <c r="F49" s="41">
        <f>IF(OR(4359960.60099="",47864.17261="",54898.74064=""),"-",(54898.74064-47864.17261)/4359960.60099*100)</f>
        <v>0.1613447614274929</v>
      </c>
      <c r="G49" s="41">
        <f>IF(OR(5240739.99296="",49032.21466="",54898.74064=""),"-",(49032.21466-54898.74064)/5240739.99296*100)</f>
        <v>-0.11194079438935413</v>
      </c>
    </row>
    <row r="50" spans="1:7" s="9" customFormat="1" ht="15.75">
      <c r="A50" s="34" t="s">
        <v>29</v>
      </c>
      <c r="B50" s="41">
        <f>IF(105695.25795="","-",105695.25795)</f>
        <v>105695.25795</v>
      </c>
      <c r="C50" s="41">
        <f>IF(OR(103487.60034="",105695.25795=""),"-",105695.25795/103487.60034*100)</f>
        <v>102.13325809347876</v>
      </c>
      <c r="D50" s="41">
        <f>IF(103487.60034="","-",103487.60034/5240739.99296*100)</f>
        <v>1.974675341249845</v>
      </c>
      <c r="E50" s="41">
        <f>IF(105695.25795="","-",105695.25795/5301854.22844*100)</f>
        <v>1.9935526967722654</v>
      </c>
      <c r="F50" s="41">
        <f>IF(OR(4359960.60099="",90364.00955="",103487.60034=""),"-",(103487.60034-90364.00955)/4359960.60099*100)</f>
        <v>0.3010025087616635</v>
      </c>
      <c r="G50" s="41">
        <f>IF(OR(5240739.99296="",105695.25795="",103487.60034=""),"-",(105695.25795-103487.60034)/5240739.99296*100)</f>
        <v>0.042124921537141494</v>
      </c>
    </row>
    <row r="51" spans="1:7" s="9" customFormat="1" ht="15.75">
      <c r="A51" s="34" t="s">
        <v>226</v>
      </c>
      <c r="B51" s="41">
        <f>IF(116168.28667="","-",116168.28667)</f>
        <v>116168.28667</v>
      </c>
      <c r="C51" s="41">
        <f>IF(OR(118615.39563="",116168.28667=""),"-",116168.28667/118615.39563*100)</f>
        <v>97.93693816304139</v>
      </c>
      <c r="D51" s="41">
        <f>IF(118615.39563="","-",118615.39563/5240739.99296*100)</f>
        <v>2.263332960409</v>
      </c>
      <c r="E51" s="41">
        <f>IF(116168.28667="","-",116168.28667/5301854.22844*100)</f>
        <v>2.1910879036782003</v>
      </c>
      <c r="F51" s="41">
        <f>IF(OR(4359960.60099="",99164.06624="",118615.39563=""),"-",(118615.39563-99164.06624)/4359960.60099*100)</f>
        <v>0.44613543951711987</v>
      </c>
      <c r="G51" s="41">
        <f>IF(OR(5240739.99296="",116168.28667="",118615.39563=""),"-",(116168.28667-118615.39563)/5240739.99296*100)</f>
        <v>-0.04669395854950355</v>
      </c>
    </row>
    <row r="52" spans="1:7" s="9" customFormat="1" ht="25.5">
      <c r="A52" s="47" t="s">
        <v>228</v>
      </c>
      <c r="B52" s="40">
        <f>IF(1041877.43882="","-",1041877.43882)</f>
        <v>1041877.43882</v>
      </c>
      <c r="C52" s="40">
        <f>IF(1058117.03963="","-",1041877.43882/1058117.03963*100)</f>
        <v>98.46523586694354</v>
      </c>
      <c r="D52" s="40">
        <f>IF(1058117.03963="","-",1058117.03963/5240739.99296*100)</f>
        <v>20.1902220116127</v>
      </c>
      <c r="E52" s="40">
        <f>IF(1041877.43882="","-",1041877.43882/5301854.22844*100)</f>
        <v>19.65118982772483</v>
      </c>
      <c r="F52" s="40">
        <f>IF(4359960.60099="","-",(1058117.03963-906660.41189)/4359960.60099*100)</f>
        <v>3.473807256552028</v>
      </c>
      <c r="G52" s="40">
        <f>IF(5240739.99296="","-",(1041877.43882-1058117.03963)/5240739.99296*100)</f>
        <v>-0.30987228581870085</v>
      </c>
    </row>
    <row r="53" spans="1:7" s="9" customFormat="1" ht="15.75">
      <c r="A53" s="34" t="s">
        <v>229</v>
      </c>
      <c r="B53" s="41">
        <f>IF(50482.91658="","-",50482.91658)</f>
        <v>50482.91658</v>
      </c>
      <c r="C53" s="41">
        <f>IF(OR(51678.40148="",50482.91658=""),"-",50482.91658/51678.40148*100)</f>
        <v>97.68668367100584</v>
      </c>
      <c r="D53" s="41">
        <f>IF(51678.40148="","-",51678.40148/5240739.99296*100)</f>
        <v>0.9860897802489862</v>
      </c>
      <c r="E53" s="41">
        <f>IF(50482.91658="","-",50482.91658/5301854.22844*100)</f>
        <v>0.9521747374569731</v>
      </c>
      <c r="F53" s="41">
        <f>IF(OR(4359960.60099="",41337.22026="",51678.40148=""),"-",(51678.40148-41337.22026)/4359960.60099*100)</f>
        <v>0.23718519882156425</v>
      </c>
      <c r="G53" s="41">
        <f>IF(OR(5240739.99296="",50482.91658="",51678.40148=""),"-",(50482.91658-51678.40148)/5240739.99296*100)</f>
        <v>-0.02281137590504249</v>
      </c>
    </row>
    <row r="54" spans="1:7" s="9" customFormat="1" ht="15.75">
      <c r="A54" s="34" t="s">
        <v>30</v>
      </c>
      <c r="B54" s="41">
        <f>IF(62868.02874="","-",62868.02874)</f>
        <v>62868.02874</v>
      </c>
      <c r="C54" s="41">
        <f>IF(OR(63255.46129="",62868.02874=""),"-",62868.02874/63255.46129*100)</f>
        <v>99.38751130400618</v>
      </c>
      <c r="D54" s="41">
        <f>IF(63255.46129="","-",63255.46129/5240739.99296*100)</f>
        <v>1.206994839945741</v>
      </c>
      <c r="E54" s="41">
        <f>IF(62868.02874="","-",62868.02874/5301854.22844*100)</f>
        <v>1.1857743731007497</v>
      </c>
      <c r="F54" s="41">
        <f>IF(OR(4359960.60099="",53496.88307="",63255.46129=""),"-",(63255.46129-53496.88307)/4359960.60099*100)</f>
        <v>0.22382262394261432</v>
      </c>
      <c r="G54" s="41">
        <f>IF(OR(5240739.99296="",62868.02874="",63255.46129=""),"-",(62868.02874-63255.46129)/5240739.99296*100)</f>
        <v>-0.007392706955896385</v>
      </c>
    </row>
    <row r="55" spans="1:7" s="9" customFormat="1" ht="15.75">
      <c r="A55" s="34" t="s">
        <v>230</v>
      </c>
      <c r="B55" s="41">
        <f>IF(84460.89723="","-",84460.89723)</f>
        <v>84460.89723</v>
      </c>
      <c r="C55" s="41">
        <f>IF(OR(81100.81716="",84460.89723=""),"-",84460.89723/81100.81716*100)</f>
        <v>104.14309027660109</v>
      </c>
      <c r="D55" s="41">
        <f>IF(81100.81716="","-",81100.81716/5240739.99296*100)</f>
        <v>1.5475069793377365</v>
      </c>
      <c r="E55" s="41">
        <f>IF(84460.89723="","-",84460.89723/5301854.22844*100)</f>
        <v>1.5930445008642098</v>
      </c>
      <c r="F55" s="41">
        <f>IF(OR(4359960.60099="",65365.42343="",81100.81716=""),"-",(81100.81716-65365.42343)/4359960.60099*100)</f>
        <v>0.3609067872408532</v>
      </c>
      <c r="G55" s="41">
        <f>IF(OR(5240739.99296="",84460.89723="",81100.81716=""),"-",(84460.89723-81100.81716)/5240739.99296*100)</f>
        <v>0.06411461119066515</v>
      </c>
    </row>
    <row r="56" spans="1:7" s="9" customFormat="1" ht="25.5">
      <c r="A56" s="34" t="s">
        <v>231</v>
      </c>
      <c r="B56" s="41">
        <f>IF(95847.34245="","-",95847.34245)</f>
        <v>95847.34245</v>
      </c>
      <c r="C56" s="41">
        <f>IF(OR(91185.38211="",95847.34245=""),"-",95847.34245/91185.38211*100)</f>
        <v>105.11261808869332</v>
      </c>
      <c r="D56" s="41">
        <f>IF(91185.38211="","-",91185.38211/5240739.99296*100)</f>
        <v>1.7399333344621428</v>
      </c>
      <c r="E56" s="41">
        <f>IF(95847.34245="","-",95847.34245/5301854.22844*100)</f>
        <v>1.8078079539769203</v>
      </c>
      <c r="F56" s="41">
        <f>IF(OR(4359960.60099="",79823.27925="",91185.38211=""),"-",(91185.38211-79823.27925)/4359960.60099*100)</f>
        <v>0.26060104436310844</v>
      </c>
      <c r="G56" s="41">
        <f>IF(OR(5240739.99296="",95847.34245="",91185.38211=""),"-",(95847.34245-91185.38211)/5240739.99296*100)</f>
        <v>0.0889561463889165</v>
      </c>
    </row>
    <row r="57" spans="1:7" s="9" customFormat="1" ht="25.5">
      <c r="A57" s="34" t="s">
        <v>256</v>
      </c>
      <c r="B57" s="41">
        <f>IF(250366.53531="","-",250366.53531)</f>
        <v>250366.53531</v>
      </c>
      <c r="C57" s="41">
        <f>IF(OR(272886.23472="",250366.53531=""),"-",250366.53531/272886.23472*100)</f>
        <v>91.74758688978696</v>
      </c>
      <c r="D57" s="41">
        <f>IF(272886.23472="","-",272886.23472/5240739.99296*100)</f>
        <v>5.207017235859325</v>
      </c>
      <c r="E57" s="41">
        <f>IF(250366.53531="","-",250366.53531/5301854.22844*100)</f>
        <v>4.722244794415388</v>
      </c>
      <c r="F57" s="41">
        <f>IF(OR(4359960.60099="",252951.60983="",272886.23472=""),"-",(272886.23472-252951.60983)/4359960.60099*100)</f>
        <v>0.4572202988594329</v>
      </c>
      <c r="G57" s="41">
        <f>IF(OR(5240739.99296="",250366.53531="",272886.23472=""),"-",(250366.53531-272886.23472)/5240739.99296*100)</f>
        <v>-0.42970457302310744</v>
      </c>
    </row>
    <row r="58" spans="1:7" s="9" customFormat="1" ht="14.25" customHeight="1">
      <c r="A58" s="34" t="s">
        <v>31</v>
      </c>
      <c r="B58" s="41">
        <f>IF(120149.82444="","-",120149.82444)</f>
        <v>120149.82444</v>
      </c>
      <c r="C58" s="41">
        <f>IF(OR(119168.07566="",120149.82444=""),"-",120149.82444/119168.07566*100)</f>
        <v>100.82383538927073</v>
      </c>
      <c r="D58" s="41">
        <f>IF(119168.07566="","-",119168.07566/5240739.99296*100)</f>
        <v>2.273878799942013</v>
      </c>
      <c r="E58" s="41">
        <f>IF(120149.82444="","-",120149.82444/5301854.22844*100)</f>
        <v>2.2661849847831914</v>
      </c>
      <c r="F58" s="41">
        <f>IF(OR(4359960.60099="",107002.97816="",119168.07566=""),"-",(119168.07566-107002.97816)/4359960.60099*100)</f>
        <v>0.2790185190489501</v>
      </c>
      <c r="G58" s="41">
        <f>IF(OR(5240739.99296="",120149.82444="",119168.07566=""),"-",(120149.82444-119168.07566)/5240739.99296*100)</f>
        <v>0.0187330182630468</v>
      </c>
    </row>
    <row r="59" spans="1:7" s="9" customFormat="1" ht="15" customHeight="1">
      <c r="A59" s="34" t="s">
        <v>232</v>
      </c>
      <c r="B59" s="41">
        <f>IF(133718.03727="","-",133718.03727)</f>
        <v>133718.03727</v>
      </c>
      <c r="C59" s="41">
        <f>IF(OR(127203.39897="",133718.03727=""),"-",133718.03727/127203.39897*100)</f>
        <v>105.12143413835697</v>
      </c>
      <c r="D59" s="41">
        <f>IF(127203.39897="","-",127203.39897/5240739.99296*100)</f>
        <v>2.4272030121867347</v>
      </c>
      <c r="E59" s="41">
        <f>IF(133718.03727="","-",133718.03727/5301854.22844*100)</f>
        <v>2.522099467629927</v>
      </c>
      <c r="F59" s="41">
        <f>IF(OR(4359960.60099="",101806.49932="",127203.39897=""),"-",(127203.39897-101806.49932)/4359960.60099*100)</f>
        <v>0.5825029621651446</v>
      </c>
      <c r="G59" s="41">
        <f>IF(OR(5240739.99296="",133718.03727="",127203.39897=""),"-",(133718.03727-127203.39897)/5240739.99296*100)</f>
        <v>0.12430760367336026</v>
      </c>
    </row>
    <row r="60" spans="1:7" s="9" customFormat="1" ht="15.75">
      <c r="A60" s="34" t="s">
        <v>32</v>
      </c>
      <c r="B60" s="41">
        <f>IF(85584.13585="","-",85584.13585)</f>
        <v>85584.13585</v>
      </c>
      <c r="C60" s="41">
        <f>IF(OR(98990.32968="",85584.13585=""),"-",85584.13585/98990.32968*100)</f>
        <v>86.4570671970309</v>
      </c>
      <c r="D60" s="41">
        <f>IF(98990.32968="","-",98990.32968/5240739.99296*100)</f>
        <v>1.8888616839029575</v>
      </c>
      <c r="E60" s="41">
        <f>IF(85584.13585="","-",85584.13585/5301854.22844*100)</f>
        <v>1.6142302704384615</v>
      </c>
      <c r="F60" s="41">
        <f>IF(OR(4359960.60099="",77987.64983="",98990.32968=""),"-",(98990.32968-77987.64983)/4359960.60099*100)</f>
        <v>0.48171719361938725</v>
      </c>
      <c r="G60" s="41">
        <f>IF(OR(5240739.99296="",85584.13585="",98990.32968=""),"-",(85584.13585-98990.32968)/5240739.99296*100)</f>
        <v>-0.2558072685920084</v>
      </c>
    </row>
    <row r="61" spans="1:7" s="9" customFormat="1" ht="15" customHeight="1">
      <c r="A61" s="34" t="s">
        <v>33</v>
      </c>
      <c r="B61" s="41">
        <f>IF(158399.72095="","-",158399.72095)</f>
        <v>158399.72095</v>
      </c>
      <c r="C61" s="41">
        <f>IF(OR(152648.93856="",158399.72095=""),"-",158399.72095/152648.93856*100)</f>
        <v>103.76732550140831</v>
      </c>
      <c r="D61" s="41">
        <f>IF(152648.93856="","-",152648.93856/5240739.99296*100)</f>
        <v>2.912736345727066</v>
      </c>
      <c r="E61" s="41">
        <f>IF(158399.72095="","-",158399.72095/5301854.22844*100)</f>
        <v>2.9876287450590095</v>
      </c>
      <c r="F61" s="41">
        <f>IF(OR(4359960.60099="",126888.86874="",152648.93856=""),"-",(152648.93856-126888.86874)/4359960.60099*100)</f>
        <v>0.5908326284909722</v>
      </c>
      <c r="G61" s="41">
        <f>IF(OR(5240739.99296="",158399.72095="",152648.93856=""),"-",(158399.72095-152648.93856)/5240739.99296*100)</f>
        <v>0.10973225914136418</v>
      </c>
    </row>
    <row r="62" spans="1:7" s="9" customFormat="1" ht="15.75">
      <c r="A62" s="47" t="s">
        <v>233</v>
      </c>
      <c r="B62" s="40">
        <f>IF(1288462.42429="","-",1288462.42429)</f>
        <v>1288462.42429</v>
      </c>
      <c r="C62" s="40">
        <f>IF(1259427.00723="","-",1288462.42429/1259427.00723*100)</f>
        <v>102.30544659542127</v>
      </c>
      <c r="D62" s="40">
        <f>IF(1259427.00723="","-",1259427.00723/5240739.99296*100)</f>
        <v>24.03147282486473</v>
      </c>
      <c r="E62" s="40">
        <f>IF(1288462.42429="","-",1288462.42429/5301854.22844*100)</f>
        <v>24.302109578541035</v>
      </c>
      <c r="F62" s="40">
        <f>IF(4359960.60099="","-",(1259427.00723-970573.73305)/4359960.60099*100)</f>
        <v>6.625134963706122</v>
      </c>
      <c r="G62" s="40">
        <f>IF(5240739.99296="","-",(1288462.42429-1259427.00723)/5240739.99296*100)</f>
        <v>0.5540327720704289</v>
      </c>
    </row>
    <row r="63" spans="1:7" s="9" customFormat="1" ht="25.5">
      <c r="A63" s="34" t="s">
        <v>234</v>
      </c>
      <c r="B63" s="41">
        <f>IF(19593.37291="","-",19593.37291)</f>
        <v>19593.37291</v>
      </c>
      <c r="C63" s="41">
        <f>IF(OR(21976.92071="",19593.37291=""),"-",19593.37291/21976.92071*100)</f>
        <v>89.15431405767673</v>
      </c>
      <c r="D63" s="41">
        <f>IF(21976.92071="","-",21976.92071/5240739.99296*100)</f>
        <v>0.4193476634887835</v>
      </c>
      <c r="E63" s="41">
        <f>IF(19593.37291="","-",19593.37291/5301854.22844*100)</f>
        <v>0.36955699017332444</v>
      </c>
      <c r="F63" s="41">
        <f>IF(OR(4359960.60099="",16078.43238="",21976.92071=""),"-",(21976.92071-16078.43238)/4359960.60099*100)</f>
        <v>0.13528765210999041</v>
      </c>
      <c r="G63" s="41">
        <f>IF(OR(5240739.99296="",19593.37291="",21976.92071=""),"-",(19593.37291-21976.92071)/5240739.99296*100)</f>
        <v>-0.045481130588464064</v>
      </c>
    </row>
    <row r="64" spans="1:7" s="9" customFormat="1" ht="25.5">
      <c r="A64" s="34" t="s">
        <v>235</v>
      </c>
      <c r="B64" s="41">
        <f>IF(176357.53572="","-",176357.53572)</f>
        <v>176357.53572</v>
      </c>
      <c r="C64" s="41">
        <f>IF(OR(194684.32775="",176357.53572=""),"-",176357.53572/194684.32775*100)</f>
        <v>90.58640608527361</v>
      </c>
      <c r="D64" s="41">
        <f>IF(194684.32775="","-",194684.32775/5240739.99296*100)</f>
        <v>3.7148251584990604</v>
      </c>
      <c r="E64" s="41">
        <f>IF(176357.53572="","-",176357.53572/5301854.22844*100)</f>
        <v>3.3263369402725145</v>
      </c>
      <c r="F64" s="41">
        <f>IF(OR(4359960.60099="",143339.48031="",194684.32775=""),"-",(194684.32775-143339.48031)/4359960.60099*100)</f>
        <v>1.1776447573480664</v>
      </c>
      <c r="G64" s="41">
        <f>IF(OR(5240739.99296="",176357.53572="",194684.32775=""),"-",(176357.53572-194684.32775)/5240739.99296*100)</f>
        <v>-0.3496985550631926</v>
      </c>
    </row>
    <row r="65" spans="1:7" s="9" customFormat="1" ht="25.5">
      <c r="A65" s="34" t="s">
        <v>236</v>
      </c>
      <c r="B65" s="41">
        <f>IF(10062.61638="","-",10062.61638)</f>
        <v>10062.61638</v>
      </c>
      <c r="C65" s="41">
        <f>IF(OR(13107.59757="",10062.61638=""),"-",10062.61638/13107.59757*100)</f>
        <v>76.76934179785015</v>
      </c>
      <c r="D65" s="41">
        <f>IF(13107.59757="","-",13107.59757/5240739.99296*100)</f>
        <v>0.2501096712984754</v>
      </c>
      <c r="E65" s="41">
        <f>IF(10062.61638="","-",10062.61638/5301854.22844*100)</f>
        <v>0.1897942860447295</v>
      </c>
      <c r="F65" s="41">
        <f>IF(OR(4359960.60099="",9286.81004="",13107.59757=""),"-",(13107.59757-9286.81004)/4359960.60099*100)</f>
        <v>0.0876335334115732</v>
      </c>
      <c r="G65" s="41">
        <f>IF(OR(5240739.99296="",10062.61638="",13107.59757=""),"-",(10062.61638-13107.59757)/5240739.99296*100)</f>
        <v>-0.05810212286986933</v>
      </c>
    </row>
    <row r="66" spans="1:7" s="9" customFormat="1" ht="38.25">
      <c r="A66" s="34" t="s">
        <v>237</v>
      </c>
      <c r="B66" s="41">
        <f>IF(172719.7677="","-",172719.7677)</f>
        <v>172719.7677</v>
      </c>
      <c r="C66" s="41">
        <f>IF(OR(160029.44732="",172719.7677=""),"-",172719.7677/160029.44732*100)</f>
        <v>107.92999075640375</v>
      </c>
      <c r="D66" s="41">
        <f>IF(160029.44732="","-",160029.44732/5240739.99296*100)</f>
        <v>3.0535658615953287</v>
      </c>
      <c r="E66" s="41">
        <f>IF(172719.7677="","-",172719.7677/5301854.22844*100)</f>
        <v>3.2577238124259127</v>
      </c>
      <c r="F66" s="41">
        <f>IF(OR(4359960.60099="",135173.01023="",160029.44732=""),"-",(160029.44732-135173.01023)/4359960.60099*100)</f>
        <v>0.5701069198734486</v>
      </c>
      <c r="G66" s="41">
        <f>IF(OR(5240739.99296="",172719.7677="",160029.44732=""),"-",(172719.7677-160029.44732)/5240739.99296*100)</f>
        <v>0.24214749056520973</v>
      </c>
    </row>
    <row r="67" spans="1:7" s="9" customFormat="1" ht="25.5">
      <c r="A67" s="34" t="s">
        <v>238</v>
      </c>
      <c r="B67" s="41">
        <f>IF(42790.2049="","-",42790.2049)</f>
        <v>42790.2049</v>
      </c>
      <c r="C67" s="41">
        <f>IF(OR(50452.6423="",42790.2049=""),"-",42790.2049/50452.6423*100)</f>
        <v>84.8126142642087</v>
      </c>
      <c r="D67" s="41">
        <f>IF(50452.6423="","-",50452.6423/5240739.99296*100)</f>
        <v>0.9627007324876664</v>
      </c>
      <c r="E67" s="41">
        <f>IF(42790.2049="","-",42790.2049/5301854.22844*100)</f>
        <v>0.8070799960977133</v>
      </c>
      <c r="F67" s="41">
        <f>IF(OR(4359960.60099="",40399.76903="",50452.6423=""),"-",(50452.6423-40399.76903)/4359960.60099*100)</f>
        <v>0.23057257140620324</v>
      </c>
      <c r="G67" s="41">
        <f>IF(OR(5240739.99296="",42790.2049="",50452.6423=""),"-",(42790.2049-50452.6423)/5240739.99296*100)</f>
        <v>-0.14620907372419012</v>
      </c>
    </row>
    <row r="68" spans="1:7" s="9" customFormat="1" ht="39" customHeight="1">
      <c r="A68" s="34" t="s">
        <v>239</v>
      </c>
      <c r="B68" s="41">
        <f>IF(150082.77682="","-",150082.77682)</f>
        <v>150082.77682</v>
      </c>
      <c r="C68" s="41">
        <f>IF(OR(136499.63883="",150082.77682=""),"-",150082.77682/136499.63883*100)</f>
        <v>109.95104317229496</v>
      </c>
      <c r="D68" s="41">
        <f>IF(136499.63883="","-",136499.63883/5240739.99296*100)</f>
        <v>2.604587119631253</v>
      </c>
      <c r="E68" s="41">
        <f>IF(150082.77682="","-",150082.77682/5301854.22844*100)</f>
        <v>2.8307601520790935</v>
      </c>
      <c r="F68" s="41">
        <f>IF(OR(4359960.60099="",104994.19155="",136499.63883=""),"-",(136499.63883-104994.19155)/4359960.60099*100)</f>
        <v>0.7226085316653132</v>
      </c>
      <c r="G68" s="41">
        <f>IF(OR(5240739.99296="",150082.77682="",136499.63883=""),"-",(150082.77682-136499.63883)/5240739.99296*100)</f>
        <v>0.2591835887345396</v>
      </c>
    </row>
    <row r="69" spans="1:7" s="9" customFormat="1" ht="38.25" customHeight="1">
      <c r="A69" s="34" t="s">
        <v>240</v>
      </c>
      <c r="B69" s="41">
        <f>IF(406983.93714="","-",406983.93714)</f>
        <v>406983.93714</v>
      </c>
      <c r="C69" s="41">
        <f>IF(OR(396410.17395="",406983.93714=""),"-",406983.93714/396410.17395*100)</f>
        <v>102.66737936734532</v>
      </c>
      <c r="D69" s="41">
        <f>IF(396410.17395="","-",396410.17395/5240739.99296*100)</f>
        <v>7.564011465604216</v>
      </c>
      <c r="E69" s="41">
        <f>IF(406983.93714="","-",406983.93714/5301854.22844*100)</f>
        <v>7.6762566378545944</v>
      </c>
      <c r="F69" s="41">
        <f>IF(OR(4359960.60099="",290957.06022="",396410.17395=""),"-",(396410.17395-290957.06022)/4359960.60099*100)</f>
        <v>2.418671253727733</v>
      </c>
      <c r="G69" s="41">
        <f>IF(OR(5240739.99296="",406983.93714="",396410.17395=""),"-",(406983.93714-396410.17395)/5240739.99296*100)</f>
        <v>0.20176088117716076</v>
      </c>
    </row>
    <row r="70" spans="1:7" s="9" customFormat="1" ht="25.5">
      <c r="A70" s="34" t="s">
        <v>241</v>
      </c>
      <c r="B70" s="41">
        <f>IF(301129.20046="","-",301129.20046)</f>
        <v>301129.20046</v>
      </c>
      <c r="C70" s="41">
        <f>IF(OR(282360.98647="",301129.20046=""),"-",301129.20046/282360.98647*100)</f>
        <v>106.64688639341968</v>
      </c>
      <c r="D70" s="41">
        <f>IF(282360.98647="","-",282360.98647/5240739.99296*100)</f>
        <v>5.387807577733328</v>
      </c>
      <c r="E70" s="41">
        <f>IF(301129.20046="","-",301129.20046/5301854.22844*100)</f>
        <v>5.6796959607960265</v>
      </c>
      <c r="F70" s="41">
        <f>IF(OR(4359960.60099="",228011.60704="",282360.98647=""),"-",(282360.98647-228011.60704)/4359960.60099*100)</f>
        <v>1.2465566642427706</v>
      </c>
      <c r="G70" s="41">
        <f>IF(OR(5240739.99296="",301129.20046="",282360.98647=""),"-",(301129.20046-282360.98647)/5240739.99296*100)</f>
        <v>0.3581214487879911</v>
      </c>
    </row>
    <row r="71" spans="1:7" s="9" customFormat="1" ht="15.75">
      <c r="A71" s="34" t="s">
        <v>34</v>
      </c>
      <c r="B71" s="41">
        <f>IF(8743.01226="","-",8743.01226)</f>
        <v>8743.01226</v>
      </c>
      <c r="C71" s="41" t="s">
        <v>168</v>
      </c>
      <c r="D71" s="41">
        <f>IF(3905.27233="","-",3905.27233/5240739.99296*100)</f>
        <v>0.07451757452661335</v>
      </c>
      <c r="E71" s="41">
        <f>IF(8743.01226="","-",8743.01226/5301854.22844*100)</f>
        <v>0.16490480279712472</v>
      </c>
      <c r="F71" s="41">
        <f>IF(OR(4359960.60099="",2333.37225="",3905.27233=""),"-",(3905.27233-2333.37225)/4359960.60099*100)</f>
        <v>0.036053079921022094</v>
      </c>
      <c r="G71" s="41">
        <f>IF(OR(5240739.99296="",8743.01226="",3905.27233=""),"-",(8743.01226-3905.27233)/5240739.99296*100)</f>
        <v>0.09231024505124545</v>
      </c>
    </row>
    <row r="72" spans="1:7" s="9" customFormat="1" ht="15.75">
      <c r="A72" s="47" t="s">
        <v>35</v>
      </c>
      <c r="B72" s="40">
        <f>IF(573376.69378="","-",573376.69378)</f>
        <v>573376.69378</v>
      </c>
      <c r="C72" s="40">
        <f>IF(538510.44716="","-",573376.69378/538510.44716*100)</f>
        <v>106.474571998348</v>
      </c>
      <c r="D72" s="40">
        <f>IF(538510.44716="","-",538510.44716/5240739.99296*100)</f>
        <v>10.275465828936232</v>
      </c>
      <c r="E72" s="40">
        <f>IF(573376.69378="","-",573376.69378/5301854.22844*100)</f>
        <v>10.814644633274055</v>
      </c>
      <c r="F72" s="40">
        <f>IF(4359960.60099="","-",(538510.44716-466277.24889)/4359960.60099*100)</f>
        <v>1.6567397020422217</v>
      </c>
      <c r="G72" s="40">
        <f>IF(5240739.99296="","-",(573376.69378-538510.44716)/5240739.99296*100)</f>
        <v>0.6652924332601231</v>
      </c>
    </row>
    <row r="73" spans="1:7" s="9" customFormat="1" ht="38.25">
      <c r="A73" s="34" t="s">
        <v>257</v>
      </c>
      <c r="B73" s="41">
        <f>IF(47276.46215="","-",47276.46215)</f>
        <v>47276.46215</v>
      </c>
      <c r="C73" s="41">
        <f>IF(OR(40967.72499="",47276.46215=""),"-",47276.46215/40967.72499*100)</f>
        <v>115.39928605149524</v>
      </c>
      <c r="D73" s="41">
        <f>IF(40967.72499="","-",40967.72499/5240739.99296*100)</f>
        <v>0.7817164187697317</v>
      </c>
      <c r="E73" s="41">
        <f>IF(47276.46215="","-",47276.46215/5301854.22844*100)</f>
        <v>0.8916967557576639</v>
      </c>
      <c r="F73" s="41">
        <f>IF(OR(4359960.60099="",37105.32243="",40967.72499=""),"-",(40967.72499-37105.32243)/4359960.60099*100)</f>
        <v>0.08858801520185712</v>
      </c>
      <c r="G73" s="41">
        <f>IF(OR(5240739.99296="",47276.46215="",40967.72499=""),"-",(47276.46215-40967.72499)/5240739.99296*100)</f>
        <v>0.12037874743785534</v>
      </c>
    </row>
    <row r="74" spans="1:7" s="9" customFormat="1" ht="14.25" customHeight="1">
      <c r="A74" s="34" t="s">
        <v>242</v>
      </c>
      <c r="B74" s="41">
        <f>IF(52249.82713="","-",52249.82713)</f>
        <v>52249.82713</v>
      </c>
      <c r="C74" s="41">
        <f>IF(OR(48183.37171="",52249.82713=""),"-",52249.82713/48183.37171*100)</f>
        <v>108.43954101940949</v>
      </c>
      <c r="D74" s="41">
        <f>IF(48183.37171="","-",48183.37171/5240739.99296*100)</f>
        <v>0.9194001567474396</v>
      </c>
      <c r="E74" s="41">
        <f>IF(52249.82713="","-",52249.82713/5301854.22844*100)</f>
        <v>0.9855010130177384</v>
      </c>
      <c r="F74" s="41">
        <f>IF(OR(4359960.60099="",41734.92566="",48183.37171=""),"-",(48183.37171-41734.92566)/4359960.60099*100)</f>
        <v>0.1479014752687392</v>
      </c>
      <c r="G74" s="41">
        <f>IF(OR(5240739.99296="",52249.82713="",48183.37171=""),"-",(52249.82713-48183.37171)/5240739.99296*100)</f>
        <v>0.07759315336121533</v>
      </c>
    </row>
    <row r="75" spans="1:7" s="9" customFormat="1" ht="15.75">
      <c r="A75" s="34" t="s">
        <v>243</v>
      </c>
      <c r="B75" s="41">
        <f>IF(8517.45631="","-",8517.45631)</f>
        <v>8517.45631</v>
      </c>
      <c r="C75" s="41">
        <f>IF(OR(7574.86759="",8517.45631=""),"-",8517.45631/7574.86759*100)</f>
        <v>112.44363295860596</v>
      </c>
      <c r="D75" s="41">
        <f>IF(7574.86759="","-",7574.86759/5240739.99296*100)</f>
        <v>0.14453813011474492</v>
      </c>
      <c r="E75" s="41">
        <f>IF(8517.45631="","-",8517.45631/5301854.22844*100)</f>
        <v>0.16065051853577927</v>
      </c>
      <c r="F75" s="41">
        <f>IF(OR(4359960.60099="",12563.85033="",7574.86759=""),"-",(7574.86759-12563.85033)/4359960.60099*100)</f>
        <v>-0.11442724365140293</v>
      </c>
      <c r="G75" s="41">
        <f>IF(OR(5240739.99296="",8517.45631="",7574.86759=""),"-",(8517.45631-7574.86759)/5240739.99296*100)</f>
        <v>0.017985794396711142</v>
      </c>
    </row>
    <row r="76" spans="1:7" s="9" customFormat="1" ht="15.75">
      <c r="A76" s="34" t="s">
        <v>244</v>
      </c>
      <c r="B76" s="41">
        <f>IF(131110.46523="","-",131110.46523)</f>
        <v>131110.46523</v>
      </c>
      <c r="C76" s="41">
        <f>IF(OR(132561.31396="",131110.46523=""),"-",131110.46523/132561.31396*100)</f>
        <v>98.9055262906961</v>
      </c>
      <c r="D76" s="41">
        <f>IF(132561.31396="","-",132561.31396/5240739.99296*100)</f>
        <v>2.529438860505816</v>
      </c>
      <c r="E76" s="41">
        <f>IF(131110.46523="","-",131110.46523/5301854.22844*100)</f>
        <v>2.472917201810309</v>
      </c>
      <c r="F76" s="41">
        <f>IF(OR(4359960.60099="",119567.96172="",132561.31396=""),"-",(132561.31396-119567.96172)/4359960.60099*100)</f>
        <v>0.2980153590619521</v>
      </c>
      <c r="G76" s="41">
        <f>IF(OR(5240739.99296="",131110.46523="",132561.31396=""),"-",(131110.46523-132561.31396)/5240739.99296*100)</f>
        <v>-0.027684043321152253</v>
      </c>
    </row>
    <row r="77" spans="1:7" ht="15.75">
      <c r="A77" s="34" t="s">
        <v>252</v>
      </c>
      <c r="B77" s="41">
        <f>IF(43181.15048="","-",43181.15048)</f>
        <v>43181.15048</v>
      </c>
      <c r="C77" s="41">
        <f>IF(OR(38647.38269="",43181.15048=""),"-",43181.15048/38647.38269*100)</f>
        <v>111.73111210755576</v>
      </c>
      <c r="D77" s="41">
        <f>IF(38647.38269="","-",38647.38269/5240739.99296*100)</f>
        <v>0.737441329696109</v>
      </c>
      <c r="E77" s="41">
        <f>IF(43181.15048="","-",43181.15048/5301854.22844*100)</f>
        <v>0.8144537480560925</v>
      </c>
      <c r="F77" s="41">
        <f>IF(OR(4359960.60099="",38470.38436="",38647.38269=""),"-",(38647.38269-38470.38436)/4359960.60099*100)</f>
        <v>0.00405963140950888</v>
      </c>
      <c r="G77" s="41">
        <f>IF(OR(5240739.99296="",43181.15048="",38647.38269=""),"-",(43181.15048-38647.38269)/5240739.99296*100)</f>
        <v>0.08651006911410043</v>
      </c>
    </row>
    <row r="78" spans="1:7" ht="25.5">
      <c r="A78" s="34" t="s">
        <v>245</v>
      </c>
      <c r="B78" s="41">
        <f>IF(57436.42705="","-",57436.42705)</f>
        <v>57436.42705</v>
      </c>
      <c r="C78" s="41">
        <f>IF(OR(55077.29527="",57436.42705=""),"-",57436.42705/55077.29527*100)</f>
        <v>104.28331087871156</v>
      </c>
      <c r="D78" s="41">
        <f>IF(55077.29527="","-",55077.29527/5240739.99296*100)</f>
        <v>1.0509450066972703</v>
      </c>
      <c r="E78" s="41">
        <f>IF(57436.42705="","-",57436.42705/5301854.22844*100)</f>
        <v>1.0833271639552395</v>
      </c>
      <c r="F78" s="41">
        <f>IF(OR(4359960.60099="",44661.64731="",55077.29527=""),"-",(55077.29527-44661.64731)/4359960.60099*100)</f>
        <v>0.2388931670078615</v>
      </c>
      <c r="G78" s="41">
        <f>IF(OR(5240739.99296="",57436.42705="",55077.29527=""),"-",(57436.42705-55077.29527)/5240739.99296*100)</f>
        <v>0.04501524180114009</v>
      </c>
    </row>
    <row r="79" spans="1:7" ht="25.5">
      <c r="A79" s="34" t="s">
        <v>246</v>
      </c>
      <c r="B79" s="41">
        <f>IF(10693.53405="","-",10693.53405)</f>
        <v>10693.53405</v>
      </c>
      <c r="C79" s="41">
        <f>IF(OR(11537.57909="",10693.53405=""),"-",10693.53405/11537.57909*100)</f>
        <v>92.68438349660752</v>
      </c>
      <c r="D79" s="41">
        <f>IF(11537.57909="","-",11537.57909/5240739.99296*100)</f>
        <v>0.22015171722883942</v>
      </c>
      <c r="E79" s="41">
        <f>IF(10693.53405="","-",10693.53405/5301854.22844*100)</f>
        <v>0.20169422977791734</v>
      </c>
      <c r="F79" s="41">
        <f>IF(OR(4359960.60099="",9315.83667="",11537.57909=""),"-",(11537.57909-9315.83667)/4359960.60099*100)</f>
        <v>0.05095785543326964</v>
      </c>
      <c r="G79" s="41">
        <f>IF(OR(5240739.99296="",10693.53405="",11537.57909=""),"-",(10693.53405-11537.57909)/5240739.99296*100)</f>
        <v>-0.01610545535809491</v>
      </c>
    </row>
    <row r="80" spans="1:7" ht="15.75">
      <c r="A80" s="34" t="s">
        <v>36</v>
      </c>
      <c r="B80" s="41">
        <f>IF(222911.37138="","-",222911.37138)</f>
        <v>222911.37138</v>
      </c>
      <c r="C80" s="41">
        <f>IF(OR(203960.91186="",222911.37138=""),"-",222911.37138/203960.91186*100)</f>
        <v>109.29122121841057</v>
      </c>
      <c r="D80" s="41">
        <f>IF(203960.91186="","-",203960.91186/5240739.99296*100)</f>
        <v>3.8918342091762823</v>
      </c>
      <c r="E80" s="41">
        <f>IF(222911.37138="","-",222911.37138/5301854.22844*100)</f>
        <v>4.204404002363315</v>
      </c>
      <c r="F80" s="41">
        <f>IF(OR(4359960.60099="",162857.32041="",203960.91186=""),"-",(203960.91186-162857.32041)/4359960.60099*100)</f>
        <v>0.9427514423104365</v>
      </c>
      <c r="G80" s="41">
        <f>IF(OR(5240739.99296="",222911.37138="",203960.91186=""),"-",(222911.37138-203960.91186)/5240739.99296*100)</f>
        <v>0.3615989258283481</v>
      </c>
    </row>
    <row r="81" spans="1:7" ht="25.5">
      <c r="A81" s="48" t="s">
        <v>247</v>
      </c>
      <c r="B81" s="49">
        <f>IF(212.30131="","-",212.30131)</f>
        <v>212.30131</v>
      </c>
      <c r="C81" s="49">
        <f>IF(500.4437="","-",212.30131/500.4437*100)</f>
        <v>42.42261617041038</v>
      </c>
      <c r="D81" s="49">
        <f>IF(500.4437="","-",500.4437/5240739.99296*100)</f>
        <v>0.009549103765351017</v>
      </c>
      <c r="E81" s="49">
        <f>IF(212.30131="","-",212.30131/5301854.22844*100)</f>
        <v>0.004004284177810503</v>
      </c>
      <c r="F81" s="49">
        <f>IF(4359960.60099="","-",(500.4437-722.07448)/4359960.60099*100)</f>
        <v>-0.005083320705918194</v>
      </c>
      <c r="G81" s="49">
        <f>IF(5240739.99296="","-",(212.30131-500.4437)/5240739.99296*100)</f>
        <v>-0.005498124127261949</v>
      </c>
    </row>
    <row r="82" ht="15.75">
      <c r="A82" s="29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3"/>
  <sheetViews>
    <sheetView zoomScalePageLayoutView="0" workbookViewId="0" topLeftCell="A1">
      <selection activeCell="F16" sqref="F16"/>
    </sheetView>
  </sheetViews>
  <sheetFormatPr defaultColWidth="9.00390625" defaultRowHeight="15.75"/>
  <cols>
    <col min="1" max="1" width="42.125" style="0" customWidth="1"/>
    <col min="2" max="2" width="13.50390625" style="0" customWidth="1"/>
    <col min="3" max="3" width="13.375" style="0" customWidth="1"/>
    <col min="4" max="4" width="16.00390625" style="0" customWidth="1"/>
    <col min="6" max="6" width="12.125" style="0" bestFit="1" customWidth="1"/>
  </cols>
  <sheetData>
    <row r="1" spans="1:4" ht="15.75">
      <c r="A1" s="72" t="s">
        <v>130</v>
      </c>
      <c r="B1" s="72"/>
      <c r="C1" s="72"/>
      <c r="D1" s="72"/>
    </row>
    <row r="2" spans="1:4" ht="15.75">
      <c r="A2" s="72" t="s">
        <v>23</v>
      </c>
      <c r="B2" s="72"/>
      <c r="C2" s="72"/>
      <c r="D2" s="72"/>
    </row>
    <row r="3" ht="15.75">
      <c r="A3" s="5"/>
    </row>
    <row r="4" spans="1:5" ht="21" customHeight="1">
      <c r="A4" s="73"/>
      <c r="B4" s="71" t="s">
        <v>274</v>
      </c>
      <c r="C4" s="71"/>
      <c r="D4" s="75" t="s">
        <v>276</v>
      </c>
      <c r="E4" s="1"/>
    </row>
    <row r="5" spans="1:5" ht="36.75" customHeight="1">
      <c r="A5" s="74"/>
      <c r="B5" s="19">
        <v>2018</v>
      </c>
      <c r="C5" s="18">
        <v>2019</v>
      </c>
      <c r="D5" s="76"/>
      <c r="E5" s="1"/>
    </row>
    <row r="6" spans="1:6" ht="14.25" customHeight="1">
      <c r="A6" s="36" t="s">
        <v>152</v>
      </c>
      <c r="B6" s="37">
        <f>IF(-2753394.39583="","-",-2753394.39583)</f>
        <v>-2753394.39583</v>
      </c>
      <c r="C6" s="37">
        <f>IF(-2740871.56925="","-",-2740871.56925)</f>
        <v>-2740871.56925</v>
      </c>
      <c r="D6" s="37">
        <f>IF(-2753394.39583="","-",-2740871.56925/-2753394.39583*100)</f>
        <v>99.54518587678666</v>
      </c>
      <c r="F6" s="16"/>
    </row>
    <row r="7" spans="1:6" ht="14.25" customHeight="1">
      <c r="A7" s="38" t="s">
        <v>150</v>
      </c>
      <c r="B7" s="27"/>
      <c r="C7" s="27"/>
      <c r="D7" s="27"/>
      <c r="F7" s="16"/>
    </row>
    <row r="8" spans="1:6" ht="14.25" customHeight="1">
      <c r="A8" s="47" t="s">
        <v>195</v>
      </c>
      <c r="B8" s="40">
        <f>IF(55689.21783="","-",55689.21783)</f>
        <v>55689.21783</v>
      </c>
      <c r="C8" s="40">
        <f>IF(40560.24416="","-",40560.24416)</f>
        <v>40560.24416</v>
      </c>
      <c r="D8" s="40">
        <f>IF(55689.21783="","-",40560.24416/55689.21783*100)</f>
        <v>72.83320854643077</v>
      </c>
      <c r="F8" s="16"/>
    </row>
    <row r="9" spans="1:4" ht="15.75">
      <c r="A9" s="34" t="s">
        <v>24</v>
      </c>
      <c r="B9" s="41">
        <f>IF(OR(7208.26263="",7208.26263=0),"-",7208.26263)</f>
        <v>7208.26263</v>
      </c>
      <c r="C9" s="41">
        <f>IF(OR(3933.42851="",3933.42851=0),"-",3933.42851)</f>
        <v>3933.42851</v>
      </c>
      <c r="D9" s="41">
        <f>IF(OR(7208.26263="",3933.42851="",7208.26263=0,3933.42851=0),"-",3933.42851/7208.26263*100)</f>
        <v>54.56832959483886</v>
      </c>
    </row>
    <row r="10" spans="1:4" ht="15.75">
      <c r="A10" s="34" t="s">
        <v>196</v>
      </c>
      <c r="B10" s="41">
        <f>IF(OR(-29086.75321="",-29086.75321=0),"-",-29086.75321)</f>
        <v>-29086.75321</v>
      </c>
      <c r="C10" s="41">
        <f>IF(OR(-34203.08148="",-34203.08148=0),"-",-34203.08148)</f>
        <v>-34203.08148</v>
      </c>
      <c r="D10" s="41">
        <f>IF(OR(-29086.75321="",-34203.08148="",-29086.75321=0,-34203.08148=0),"-",-34203.08148/-29086.75321*100)</f>
        <v>117.5898912919611</v>
      </c>
    </row>
    <row r="11" spans="1:4" ht="15.75">
      <c r="A11" s="34" t="s">
        <v>197</v>
      </c>
      <c r="B11" s="41">
        <f>IF(OR(-32787.06616="",-32787.06616=0),"-",-32787.06616)</f>
        <v>-32787.06616</v>
      </c>
      <c r="C11" s="41">
        <f>IF(OR(-46122.71567="",-46122.71567=0),"-",-46122.71567)</f>
        <v>-46122.71567</v>
      </c>
      <c r="D11" s="41">
        <f>IF(OR(-32787.06616="",-46122.71567="",-32787.06616=0,-46122.71567=0),"-",-46122.71567/-32787.06616*100)</f>
        <v>140.67350657397154</v>
      </c>
    </row>
    <row r="12" spans="1:4" ht="15.75">
      <c r="A12" s="34" t="s">
        <v>198</v>
      </c>
      <c r="B12" s="41">
        <f>IF(OR(-46104.22479="",-46104.22479=0),"-",-46104.22479)</f>
        <v>-46104.22479</v>
      </c>
      <c r="C12" s="41">
        <f>IF(OR(-51371.57688="",-51371.57688=0),"-",-51371.57688)</f>
        <v>-51371.57688</v>
      </c>
      <c r="D12" s="41">
        <f>IF(OR(-46104.22479="",-51371.57688="",-46104.22479=0,-51371.57688=0),"-",-51371.57688/-46104.22479*100)</f>
        <v>111.42487942047012</v>
      </c>
    </row>
    <row r="13" spans="1:4" ht="15.75">
      <c r="A13" s="34" t="s">
        <v>199</v>
      </c>
      <c r="B13" s="41">
        <f>IF(OR(146986.83326="",146986.83326=0),"-",146986.83326)</f>
        <v>146986.83326</v>
      </c>
      <c r="C13" s="41">
        <f>IF(OR(159910.47438="",159910.47438=0),"-",159910.47438)</f>
        <v>159910.47438</v>
      </c>
      <c r="D13" s="41">
        <f>IF(OR(146986.83326="",159910.47438="",146986.83326=0,159910.47438=0),"-",159910.47438/146986.83326*100)</f>
        <v>108.79238012913702</v>
      </c>
    </row>
    <row r="14" spans="1:4" ht="15.75">
      <c r="A14" s="34" t="s">
        <v>200</v>
      </c>
      <c r="B14" s="41">
        <f>IF(OR(110981.9439="",110981.9439=0),"-",110981.9439)</f>
        <v>110981.9439</v>
      </c>
      <c r="C14" s="41">
        <f>IF(OR(118470.80091="",118470.80091=0),"-",118470.80091)</f>
        <v>118470.80091</v>
      </c>
      <c r="D14" s="41">
        <f>IF(OR(110981.9439="",118470.80091="",110981.9439=0,118470.80091=0),"-",118470.80091/110981.9439*100)</f>
        <v>106.74781567778973</v>
      </c>
    </row>
    <row r="15" spans="1:4" ht="15.75">
      <c r="A15" s="34" t="s">
        <v>201</v>
      </c>
      <c r="B15" s="41">
        <f>IF(OR(14200.60645="",14200.60645=0),"-",14200.60645)</f>
        <v>14200.60645</v>
      </c>
      <c r="C15" s="41">
        <f>IF(OR(5556.14758="",5556.14758=0),"-",5556.14758)</f>
        <v>5556.14758</v>
      </c>
      <c r="D15" s="41">
        <f>IF(OR(14200.60645="",5556.14758="",14200.60645=0,5556.14758=0),"-",5556.14758/14200.60645*100)</f>
        <v>39.126128870362436</v>
      </c>
    </row>
    <row r="16" spans="1:4" ht="15.75">
      <c r="A16" s="34" t="s">
        <v>202</v>
      </c>
      <c r="B16" s="41">
        <f>IF(OR(-39185.00977="",-39185.00977=0),"-",-39185.00977)</f>
        <v>-39185.00977</v>
      </c>
      <c r="C16" s="41">
        <f>IF(OR(-40009.8056="",-40009.8056=0),"-",-40009.8056)</f>
        <v>-40009.8056</v>
      </c>
      <c r="D16" s="41">
        <f>IF(OR(-39185.00977="",-40009.8056="",-39185.00977=0,-40009.8056=0),"-",-40009.8056/-39185.00977*100)</f>
        <v>102.10487590749938</v>
      </c>
    </row>
    <row r="17" spans="1:4" ht="15.75">
      <c r="A17" s="34" t="s">
        <v>203</v>
      </c>
      <c r="B17" s="41">
        <f>IF(OR(-14093.68357="",-14093.68357=0),"-",-14093.68357)</f>
        <v>-14093.68357</v>
      </c>
      <c r="C17" s="41">
        <f>IF(OR(-6880.88287="",-6880.88287=0),"-",-6880.88287)</f>
        <v>-6880.88287</v>
      </c>
      <c r="D17" s="41">
        <f>IF(OR(-14093.68357="",-6880.88287="",-14093.68357=0,-6880.88287=0),"-",-6880.88287/-14093.68357*100)</f>
        <v>48.82245891093183</v>
      </c>
    </row>
    <row r="18" spans="1:4" ht="15.75">
      <c r="A18" s="34" t="s">
        <v>204</v>
      </c>
      <c r="B18" s="41">
        <f>IF(OR(-62431.69091="",-62431.69091=0),"-",-62431.69091)</f>
        <v>-62431.69091</v>
      </c>
      <c r="C18" s="41">
        <f>IF(OR(-68722.54472="",-68722.54472=0),"-",-68722.54472)</f>
        <v>-68722.54472</v>
      </c>
      <c r="D18" s="41">
        <f>IF(OR(-62431.69091="",-68722.54472="",-62431.69091=0,-68722.54472=0),"-",-68722.54472/-62431.69091*100)</f>
        <v>110.07637902851093</v>
      </c>
    </row>
    <row r="19" spans="1:4" ht="15.75">
      <c r="A19" s="47" t="s">
        <v>205</v>
      </c>
      <c r="B19" s="40">
        <f>IF(92265.82002="","-",92265.82002)</f>
        <v>92265.82002</v>
      </c>
      <c r="C19" s="40">
        <f>IF(87001.02667="","-",87001.02667)</f>
        <v>87001.02667</v>
      </c>
      <c r="D19" s="40">
        <f>IF(92265.82002="","-",87001.02667/92265.82002*100)</f>
        <v>94.29388548342304</v>
      </c>
    </row>
    <row r="20" spans="1:4" ht="15.75">
      <c r="A20" s="34" t="s">
        <v>206</v>
      </c>
      <c r="B20" s="41">
        <f>IF(OR(125792.64203="",125792.64203=0),"-",125792.64203)</f>
        <v>125792.64203</v>
      </c>
      <c r="C20" s="41">
        <f>IF(OR(122707.50472="",122707.50472=0),"-",122707.50472)</f>
        <v>122707.50472</v>
      </c>
      <c r="D20" s="41">
        <f>IF(OR(125792.64203="",122707.50472="",125792.64203=0,122707.50472=0),"-",122707.50472/125792.64203*100)</f>
        <v>97.5474421554289</v>
      </c>
    </row>
    <row r="21" spans="1:4" ht="15.75">
      <c r="A21" s="34" t="s">
        <v>207</v>
      </c>
      <c r="B21" s="41">
        <f>IF(OR(-33526.82201="",-33526.82201=0),"-",-33526.82201)</f>
        <v>-33526.82201</v>
      </c>
      <c r="C21" s="41">
        <f>IF(OR(-35706.47805="",-35706.47805=0),"-",-35706.47805)</f>
        <v>-35706.47805</v>
      </c>
      <c r="D21" s="41">
        <f>IF(OR(-33526.82201="",-35706.47805="",-33526.82201=0,-35706.47805=0),"-",-35706.47805/-33526.82201*100)</f>
        <v>106.50123068434543</v>
      </c>
    </row>
    <row r="22" spans="1:4" ht="15.75">
      <c r="A22" s="47" t="s">
        <v>25</v>
      </c>
      <c r="B22" s="40">
        <f>IF(125262.14064="","-",125262.14064)</f>
        <v>125262.14064</v>
      </c>
      <c r="C22" s="40">
        <f>IF(140845.85028="","-",140845.85028)</f>
        <v>140845.85028</v>
      </c>
      <c r="D22" s="40">
        <f>IF(125262.14064="","-",140845.85028/125262.14064*100)</f>
        <v>112.44087763499681</v>
      </c>
    </row>
    <row r="23" spans="1:4" ht="15.75">
      <c r="A23" s="34" t="s">
        <v>208</v>
      </c>
      <c r="B23" s="41">
        <f>IF(OR(2718.3281="",2718.3281=0),"-",2718.3281)</f>
        <v>2718.3281</v>
      </c>
      <c r="C23" s="41">
        <f>IF(OR(1449.61085="",1449.61085=0),"-",1449.61085)</f>
        <v>1449.61085</v>
      </c>
      <c r="D23" s="41">
        <f>IF(OR(2718.3281="",1449.61085="",2718.3281=0,1449.61085=0),"-",1449.61085/2718.3281*100)</f>
        <v>53.32729518559588</v>
      </c>
    </row>
    <row r="24" spans="1:4" ht="15.75">
      <c r="A24" s="34" t="s">
        <v>209</v>
      </c>
      <c r="B24" s="41">
        <f>IF(OR(179759.42988="",179759.42988=0),"-",179759.42988)</f>
        <v>179759.42988</v>
      </c>
      <c r="C24" s="41">
        <f>IF(OR(207202.19975="",207202.19975=0),"-",207202.19975)</f>
        <v>207202.19975</v>
      </c>
      <c r="D24" s="41">
        <f>IF(OR(179759.42988="",207202.19975="",179759.42988=0,207202.19975=0),"-",207202.19975/179759.42988*100)</f>
        <v>115.26638679724321</v>
      </c>
    </row>
    <row r="25" spans="1:4" ht="15.75">
      <c r="A25" s="34" t="s">
        <v>248</v>
      </c>
      <c r="B25" s="41">
        <f>IF(OR(-855.72752="",-855.72752=0),"-",-855.72752)</f>
        <v>-855.72752</v>
      </c>
      <c r="C25" s="41">
        <f>IF(OR(-1443.68266="",-1443.68266=0),"-",-1443.68266)</f>
        <v>-1443.68266</v>
      </c>
      <c r="D25" s="41" t="s">
        <v>106</v>
      </c>
    </row>
    <row r="26" spans="1:4" ht="15.75">
      <c r="A26" s="34" t="s">
        <v>210</v>
      </c>
      <c r="B26" s="41">
        <f>IF(OR(-32100.0347="",-32100.0347=0),"-",-32100.0347)</f>
        <v>-32100.0347</v>
      </c>
      <c r="C26" s="41">
        <f>IF(OR(-35029.31122="",-35029.31122=0),"-",-35029.31122)</f>
        <v>-35029.31122</v>
      </c>
      <c r="D26" s="41">
        <f>IF(OR(-32100.0347="",-35029.31122="",-32100.0347=0,-35029.31122=0),"-",-35029.31122/-32100.0347*100)</f>
        <v>109.12546216032597</v>
      </c>
    </row>
    <row r="27" spans="1:4" ht="15.75">
      <c r="A27" s="34" t="s">
        <v>211</v>
      </c>
      <c r="B27" s="41">
        <f>IF(OR(2538.49499="",2538.49499=0),"-",2538.49499)</f>
        <v>2538.49499</v>
      </c>
      <c r="C27" s="41">
        <f>IF(OR(2027.71236="",2027.71236=0),"-",2027.71236)</f>
        <v>2027.71236</v>
      </c>
      <c r="D27" s="41">
        <f>IF(OR(2538.49499="",2027.71236="",2538.49499=0,2027.71236=0),"-",2027.71236/2538.49499*100)</f>
        <v>79.87852518865913</v>
      </c>
    </row>
    <row r="28" spans="1:4" ht="25.5">
      <c r="A28" s="34" t="s">
        <v>212</v>
      </c>
      <c r="B28" s="41">
        <f>IF(OR(-7633.81652="",-7633.81652=0),"-",-7633.81652)</f>
        <v>-7633.81652</v>
      </c>
      <c r="C28" s="41">
        <f>IF(OR(-7093.7553="",-7093.7553=0),"-",-7093.7553)</f>
        <v>-7093.7553</v>
      </c>
      <c r="D28" s="41">
        <f>IF(OR(-7633.81652="",-7093.7553="",-7633.81652=0,-7093.7553=0),"-",-7093.7553/-7633.81652*100)</f>
        <v>92.92541000186365</v>
      </c>
    </row>
    <row r="29" spans="1:4" ht="25.5">
      <c r="A29" s="34" t="s">
        <v>213</v>
      </c>
      <c r="B29" s="41">
        <f>IF(OR(-4471.74346="",-4471.74346=0),"-",-4471.74346)</f>
        <v>-4471.74346</v>
      </c>
      <c r="C29" s="41">
        <f>IF(OR(-13457.81081="",-13457.81081=0),"-",-13457.81081)</f>
        <v>-13457.81081</v>
      </c>
      <c r="D29" s="41" t="s">
        <v>194</v>
      </c>
    </row>
    <row r="30" spans="1:4" ht="15.75">
      <c r="A30" s="34" t="s">
        <v>214</v>
      </c>
      <c r="B30" s="41">
        <f>IF(OR(12114.45776="",12114.45776=0),"-",12114.45776)</f>
        <v>12114.45776</v>
      </c>
      <c r="C30" s="41">
        <f>IF(OR(13396.14449="",13396.14449=0),"-",13396.14449)</f>
        <v>13396.14449</v>
      </c>
      <c r="D30" s="41">
        <f>IF(OR(12114.45776="",13396.14449="",12114.45776=0,13396.14449=0),"-",13396.14449/12114.45776*100)</f>
        <v>110.5798109613451</v>
      </c>
    </row>
    <row r="31" spans="1:4" ht="15.75">
      <c r="A31" s="34" t="s">
        <v>215</v>
      </c>
      <c r="B31" s="41">
        <f>IF(OR(-26807.2478899999="",-26807.2478899999=0),"-",-26807.2478899999)</f>
        <v>-26807.2478899999</v>
      </c>
      <c r="C31" s="41">
        <f>IF(OR(-26205.25718="",-26205.25718=0),"-",-26205.25718)</f>
        <v>-26205.25718</v>
      </c>
      <c r="D31" s="41">
        <f>IF(OR(-26807.2478899999="",-26205.25718="",-26807.2478899999=0,-26205.25718=0),"-",-26205.25718/-26807.2478899999*100)</f>
        <v>97.75437332295321</v>
      </c>
    </row>
    <row r="32" spans="1:4" ht="15.75">
      <c r="A32" s="47" t="s">
        <v>216</v>
      </c>
      <c r="B32" s="40">
        <f>IF(-872747.86275="","-",-872747.86275)</f>
        <v>-872747.86275</v>
      </c>
      <c r="C32" s="40">
        <f>IF(-818337.67435="","-",-818337.67435)</f>
        <v>-818337.67435</v>
      </c>
      <c r="D32" s="40">
        <f>IF(-872747.86275="","-",-818337.67435/-872747.86275*100)</f>
        <v>93.76564633128343</v>
      </c>
    </row>
    <row r="33" spans="1:4" ht="15.75">
      <c r="A33" s="34" t="s">
        <v>249</v>
      </c>
      <c r="B33" s="41">
        <f>IF(OR(-16219.38664="",-16219.38664=0),"-",-16219.38664)</f>
        <v>-16219.38664</v>
      </c>
      <c r="C33" s="41">
        <f>IF(OR(-17327.09878="",-17327.09878=0),"-",-17327.09878)</f>
        <v>-17327.09878</v>
      </c>
      <c r="D33" s="41">
        <f>IF(OR(-16219.38664="",-17327.09878="",-16219.38664=0,-17327.09878=0),"-",-17327.09878/-16219.38664*100)</f>
        <v>106.82955628709274</v>
      </c>
    </row>
    <row r="34" spans="1:4" ht="15.75">
      <c r="A34" s="34" t="s">
        <v>217</v>
      </c>
      <c r="B34" s="41">
        <f>IF(OR(-572314.36198="",-572314.36198=0),"-",-572314.36198)</f>
        <v>-572314.36198</v>
      </c>
      <c r="C34" s="41">
        <f>IF(OR(-528086.82911="",-528086.82911=0),"-",-528086.82911)</f>
        <v>-528086.82911</v>
      </c>
      <c r="D34" s="41">
        <f>IF(OR(-572314.36198="",-528086.82911="",-572314.36198=0,-528086.82911=0),"-",-528086.82911/-572314.36198*100)</f>
        <v>92.27216092970501</v>
      </c>
    </row>
    <row r="35" spans="1:4" ht="15.75">
      <c r="A35" s="34" t="s">
        <v>250</v>
      </c>
      <c r="B35" s="41">
        <f>IF(OR(-233887.12997="",-233887.12997=0),"-",-233887.12997)</f>
        <v>-233887.12997</v>
      </c>
      <c r="C35" s="41">
        <f>IF(OR(-236000.57714="",-236000.57714=0),"-",-236000.57714)</f>
        <v>-236000.57714</v>
      </c>
      <c r="D35" s="41">
        <f>IF(OR(-233887.12997="",-236000.57714="",-233887.12997=0,-236000.57714=0),"-",-236000.57714/-233887.12997*100)</f>
        <v>100.90361841212514</v>
      </c>
    </row>
    <row r="36" spans="1:4" ht="15.75">
      <c r="A36" s="34" t="s">
        <v>218</v>
      </c>
      <c r="B36" s="41">
        <f>IF(OR(-50326.98416="",-50326.98416=0),"-",-50326.98416)</f>
        <v>-50326.98416</v>
      </c>
      <c r="C36" s="41">
        <f>IF(OR(-36923.16932="",-36923.16932=0),"-",-36923.16932)</f>
        <v>-36923.16932</v>
      </c>
      <c r="D36" s="41">
        <f>IF(OR(-50326.98416="",-36923.16932="",-50326.98416=0,-36923.16932=0),"-",-36923.16932/-50326.98416*100)</f>
        <v>73.36654468031212</v>
      </c>
    </row>
    <row r="37" spans="1:4" ht="15.75">
      <c r="A37" s="47" t="s">
        <v>219</v>
      </c>
      <c r="B37" s="40">
        <f>IF(52702.8002="","-",52702.8002)</f>
        <v>52702.8002</v>
      </c>
      <c r="C37" s="40">
        <f>IF(46956.60447="","-",46956.60447)</f>
        <v>46956.60447</v>
      </c>
      <c r="D37" s="40">
        <f>IF(52702.8002="","-",46956.60447/52702.8002*100)</f>
        <v>89.09698211822908</v>
      </c>
    </row>
    <row r="38" spans="1:4" ht="15.75">
      <c r="A38" s="34" t="s">
        <v>251</v>
      </c>
      <c r="B38" s="41">
        <f>IF(OR(-1430.09156="",-1430.09156=0),"-",-1430.09156)</f>
        <v>-1430.09156</v>
      </c>
      <c r="C38" s="41">
        <f>IF(OR(-1673.43429="",-1673.43429=0),"-",-1673.43429)</f>
        <v>-1673.43429</v>
      </c>
      <c r="D38" s="41">
        <f>IF(OR(-1430.09156="",-1673.43429="",-1430.09156=0,-1673.43429=0),"-",-1673.43429/-1430.09156*100)</f>
        <v>117.01588463328878</v>
      </c>
    </row>
    <row r="39" spans="1:4" ht="15.75" customHeight="1">
      <c r="A39" s="34" t="s">
        <v>220</v>
      </c>
      <c r="B39" s="41">
        <f>IF(OR(56503.02836="",56503.02836=0),"-",56503.02836)</f>
        <v>56503.02836</v>
      </c>
      <c r="C39" s="41">
        <f>IF(OR(50935.88919="",50935.88919=0),"-",50935.88919)</f>
        <v>50935.88919</v>
      </c>
      <c r="D39" s="41">
        <f>IF(OR(56503.02836="",50935.88919="",56503.02836=0,50935.88919=0),"-",50935.88919/56503.02836*100)</f>
        <v>90.14718444022175</v>
      </c>
    </row>
    <row r="40" spans="1:4" ht="38.25">
      <c r="A40" s="34" t="s">
        <v>221</v>
      </c>
      <c r="B40" s="41">
        <f>IF(OR(-2370.1366="",-2370.1366=0),"-",-2370.1366)</f>
        <v>-2370.1366</v>
      </c>
      <c r="C40" s="41">
        <f>IF(OR(-2305.85043="",-2305.85043=0),"-",-2305.85043)</f>
        <v>-2305.85043</v>
      </c>
      <c r="D40" s="41">
        <f>IF(OR(-2370.1366="",-2305.85043="",-2370.1366=0,-2305.85043=0),"-",-2305.85043/-2370.1366*100)</f>
        <v>97.28765970703968</v>
      </c>
    </row>
    <row r="41" spans="1:4" ht="15.75" customHeight="1">
      <c r="A41" s="47" t="s">
        <v>222</v>
      </c>
      <c r="B41" s="40">
        <f>IF(-627822.8829="","-",-627822.8829)</f>
        <v>-627822.8829</v>
      </c>
      <c r="C41" s="40">
        <f>IF(-638750.65523="","-",-638750.65523)</f>
        <v>-638750.65523</v>
      </c>
      <c r="D41" s="40">
        <f>IF(-627822.8829="","-",-638750.65523/-627822.8829*100)</f>
        <v>101.74058203796636</v>
      </c>
    </row>
    <row r="42" spans="1:4" ht="14.25" customHeight="1">
      <c r="A42" s="34" t="s">
        <v>26</v>
      </c>
      <c r="B42" s="41">
        <f>IF(OR(3524.56787="",3524.56787=0),"-",3524.56787)</f>
        <v>3524.56787</v>
      </c>
      <c r="C42" s="41">
        <f>IF(OR(629.39484="",629.39484=0),"-",629.39484)</f>
        <v>629.39484</v>
      </c>
      <c r="D42" s="41">
        <f>IF(OR(3524.56787="",629.39484="",3524.56787=0,629.39484=0),"-",629.39484/3524.56787*100)</f>
        <v>17.8573619012194</v>
      </c>
    </row>
    <row r="43" spans="1:4" ht="15" customHeight="1">
      <c r="A43" s="34" t="s">
        <v>27</v>
      </c>
      <c r="B43" s="41">
        <f>IF(OR(-13925.71559="",-13925.71559=0),"-",-13925.71559)</f>
        <v>-13925.71559</v>
      </c>
      <c r="C43" s="41">
        <f>IF(OR(-14867.23415="",-14867.23415=0),"-",-14867.23415)</f>
        <v>-14867.23415</v>
      </c>
      <c r="D43" s="41">
        <f>IF(OR(-13925.71559="",-14867.23415="",-13925.71559=0,-14867.23415=0),"-",-14867.23415/-13925.71559*100)</f>
        <v>106.76100667082488</v>
      </c>
    </row>
    <row r="44" spans="1:4" ht="15.75">
      <c r="A44" s="34" t="s">
        <v>223</v>
      </c>
      <c r="B44" s="41">
        <f>IF(OR(-31944.25208="",-31944.25208=0),"-",-31944.25208)</f>
        <v>-31944.25208</v>
      </c>
      <c r="C44" s="41">
        <f>IF(OR(-35421.35469="",-35421.35469=0),"-",-35421.35469)</f>
        <v>-35421.35469</v>
      </c>
      <c r="D44" s="41">
        <f>IF(OR(-31944.25208="",-35421.35469="",-31944.25208=0,-35421.35469=0),"-",-35421.35469/-31944.25208*100)</f>
        <v>110.88490850025875</v>
      </c>
    </row>
    <row r="45" spans="1:4" ht="15.75">
      <c r="A45" s="34" t="s">
        <v>224</v>
      </c>
      <c r="B45" s="41">
        <f>IF(OR(-149623.2973="",-149623.2973=0),"-",-149623.2973)</f>
        <v>-149623.2973</v>
      </c>
      <c r="C45" s="41">
        <f>IF(OR(-155048.45518="",-155048.45518=0),"-",-155048.45518)</f>
        <v>-155048.45518</v>
      </c>
      <c r="D45" s="41">
        <f>IF(OR(-149623.2973="",-155048.45518="",-149623.2973=0,-155048.45518=0),"-",-155048.45518/-149623.2973*100)</f>
        <v>103.62587777297966</v>
      </c>
    </row>
    <row r="46" spans="1:4" ht="25.5">
      <c r="A46" s="34" t="s">
        <v>225</v>
      </c>
      <c r="B46" s="41">
        <f>IF(OR(-83052.58885="",-83052.58885=0),"-",-83052.58885)</f>
        <v>-83052.58885</v>
      </c>
      <c r="C46" s="41">
        <f>IF(OR(-90811.94464="",-90811.94464=0),"-",-90811.94464)</f>
        <v>-90811.94464</v>
      </c>
      <c r="D46" s="41">
        <f>IF(OR(-83052.58885="",-90811.94464="",-83052.58885=0,-90811.94464=0),"-",-90811.94464/-83052.58885*100)</f>
        <v>109.3427018921879</v>
      </c>
    </row>
    <row r="47" spans="1:4" ht="15.75">
      <c r="A47" s="34" t="s">
        <v>227</v>
      </c>
      <c r="B47" s="41">
        <f>IF(OR(-82105.32928="",-82105.32928=0),"-",-82105.32928)</f>
        <v>-82105.32928</v>
      </c>
      <c r="C47" s="41">
        <f>IF(OR(-78657.54223="",-78657.54223=0),"-",-78657.54223)</f>
        <v>-78657.54223</v>
      </c>
      <c r="D47" s="41">
        <f>IF(OR(-82105.32928="",-78657.54223="",-82105.32928=0,-78657.54223=0),"-",-78657.54223/-82105.32928*100)</f>
        <v>95.80077556446773</v>
      </c>
    </row>
    <row r="48" spans="1:4" ht="15.75">
      <c r="A48" s="34" t="s">
        <v>28</v>
      </c>
      <c r="B48" s="41">
        <f>IF(OR(-52812.07927="",-52812.07927=0),"-",-52812.07927)</f>
        <v>-52812.07927</v>
      </c>
      <c r="C48" s="41">
        <f>IF(OR(-47091.90554="",-47091.90554=0),"-",-47091.90554)</f>
        <v>-47091.90554</v>
      </c>
      <c r="D48" s="41">
        <f>IF(OR(-52812.07927="",-47091.90554="",-52812.07927=0,-47091.90554=0),"-",-47091.90554/-52812.07927*100)</f>
        <v>89.16881552654687</v>
      </c>
    </row>
    <row r="49" spans="1:4" ht="15.75">
      <c r="A49" s="34" t="s">
        <v>29</v>
      </c>
      <c r="B49" s="41">
        <f>IF(OR(-101689.79736="",-101689.79736=0),"-",-101689.79736)</f>
        <v>-101689.79736</v>
      </c>
      <c r="C49" s="41">
        <f>IF(OR(-103365.53747="",-103365.53747=0),"-",-103365.53747)</f>
        <v>-103365.53747</v>
      </c>
      <c r="D49" s="41">
        <f>IF(OR(-101689.79736="",-103365.53747="",-101689.79736=0,-103365.53747=0),"-",-103365.53747/-101689.79736*100)</f>
        <v>101.64789404001621</v>
      </c>
    </row>
    <row r="50" spans="1:4" ht="15.75">
      <c r="A50" s="34" t="s">
        <v>226</v>
      </c>
      <c r="B50" s="41">
        <f>IF(OR(-116194.39104="",-116194.39104=0),"-",-116194.39104)</f>
        <v>-116194.39104</v>
      </c>
      <c r="C50" s="41">
        <f>IF(OR(-114116.07617="",-114116.07617=0),"-",-114116.07617)</f>
        <v>-114116.07617</v>
      </c>
      <c r="D50" s="41">
        <f>IF(OR(-116194.39104="",-114116.07617="",-116194.39104=0,-114116.07617=0),"-",-114116.07617/-116194.39104*100)</f>
        <v>98.21134664814885</v>
      </c>
    </row>
    <row r="51" spans="1:4" ht="25.5">
      <c r="A51" s="47" t="s">
        <v>228</v>
      </c>
      <c r="B51" s="40">
        <f>IF(-889761.87163="","-",-889761.87163)</f>
        <v>-889761.87163</v>
      </c>
      <c r="C51" s="40">
        <f>IF(-879760.62718="","-",-879760.62718)</f>
        <v>-879760.62718</v>
      </c>
      <c r="D51" s="40">
        <f>IF(-889761.87163="","-",-879760.62718/-889761.87163*100)</f>
        <v>98.87596392148404</v>
      </c>
    </row>
    <row r="52" spans="1:4" ht="15" customHeight="1">
      <c r="A52" s="34" t="s">
        <v>229</v>
      </c>
      <c r="B52" s="41">
        <f>IF(OR(-50368.59514="",-50368.59514=0),"-",-50368.59514)</f>
        <v>-50368.59514</v>
      </c>
      <c r="C52" s="41">
        <f>IF(OR(-49943.47541="",-49943.47541=0),"-",-49943.47541)</f>
        <v>-49943.47541</v>
      </c>
      <c r="D52" s="41">
        <f>IF(OR(-50368.59514="",-49943.47541="",-50368.59514=0,-49943.47541=0),"-",-49943.47541/-50368.59514*100)</f>
        <v>99.15598255456922</v>
      </c>
    </row>
    <row r="53" spans="1:4" ht="15" customHeight="1">
      <c r="A53" s="34" t="s">
        <v>30</v>
      </c>
      <c r="B53" s="41">
        <f>IF(OR(-61986.76052="",-61986.76052=0),"-",-61986.76052)</f>
        <v>-61986.76052</v>
      </c>
      <c r="C53" s="41">
        <f>IF(OR(-60546.20305="",-60546.20305=0),"-",-60546.20305)</f>
        <v>-60546.20305</v>
      </c>
      <c r="D53" s="41">
        <f>IF(OR(-61986.76052="",-60546.20305="",-61986.76052=0,-60546.20305=0),"-",-60546.20305/-61986.76052*100)</f>
        <v>97.67602394783123</v>
      </c>
    </row>
    <row r="54" spans="1:4" ht="15.75">
      <c r="A54" s="34" t="s">
        <v>230</v>
      </c>
      <c r="B54" s="41">
        <f>IF(OR(-65414.74225="",-65414.74225=0),"-",-65414.74225)</f>
        <v>-65414.74225</v>
      </c>
      <c r="C54" s="41">
        <f>IF(OR(-65538.42581="",-65538.42581=0),"-",-65538.42581)</f>
        <v>-65538.42581</v>
      </c>
      <c r="D54" s="41">
        <f>IF(OR(-65414.74225="",-65538.42581="",-65414.74225=0,-65538.42581=0),"-",-65538.42581/-65414.74225*100)</f>
        <v>100.18907597239672</v>
      </c>
    </row>
    <row r="55" spans="1:4" ht="25.5">
      <c r="A55" s="34" t="s">
        <v>231</v>
      </c>
      <c r="B55" s="41">
        <f>IF(OR(-82323.74445="",-82323.74445=0),"-",-82323.74445)</f>
        <v>-82323.74445</v>
      </c>
      <c r="C55" s="41">
        <f>IF(OR(-85867.16762="",-85867.16762=0),"-",-85867.16762)</f>
        <v>-85867.16762</v>
      </c>
      <c r="D55" s="41">
        <f>IF(OR(-82323.74445="",-85867.16762="",-82323.74445=0,-85867.16762=0),"-",-85867.16762/-82323.74445*100)</f>
        <v>104.3042541294415</v>
      </c>
    </row>
    <row r="56" spans="1:4" ht="25.5">
      <c r="A56" s="34" t="s">
        <v>256</v>
      </c>
      <c r="B56" s="41">
        <f>IF(OR(-206336.62064="",-206336.62064=0),"-",-206336.62064)</f>
        <v>-206336.62064</v>
      </c>
      <c r="C56" s="41">
        <f>IF(OR(-192164.21901="",-192164.21901=0),"-",-192164.21901)</f>
        <v>-192164.21901</v>
      </c>
      <c r="D56" s="41">
        <f>IF(OR(-206336.62064="",-192164.21901="",-206336.62064=0,-192164.21901=0),"-",-192164.21901/-206336.62064*100)</f>
        <v>93.13141720260752</v>
      </c>
    </row>
    <row r="57" spans="1:4" ht="15.75">
      <c r="A57" s="34" t="s">
        <v>31</v>
      </c>
      <c r="B57" s="41">
        <f>IF(OR(-72397.46993="",-72397.46993=0),"-",-72397.46993)</f>
        <v>-72397.46993</v>
      </c>
      <c r="C57" s="41">
        <f>IF(OR(-74871.94815="",-74871.94815=0),"-",-74871.94815)</f>
        <v>-74871.94815</v>
      </c>
      <c r="D57" s="41">
        <f>IF(OR(-72397.46993="",-74871.94815="",-72397.46993=0,-74871.94815=0),"-",-74871.94815/-72397.46993*100)</f>
        <v>103.41790703790137</v>
      </c>
    </row>
    <row r="58" spans="1:4" ht="15.75">
      <c r="A58" s="34" t="s">
        <v>232</v>
      </c>
      <c r="B58" s="41">
        <f>IF(OR(-123587.71146="",-123587.71146=0),"-",-123587.71146)</f>
        <v>-123587.71146</v>
      </c>
      <c r="C58" s="41">
        <f>IF(OR(-130371.24359="",-130371.24359=0),"-",-130371.24359)</f>
        <v>-130371.24359</v>
      </c>
      <c r="D58" s="41">
        <f>IF(OR(-123587.71146="",-130371.24359="",-123587.71146=0,-130371.24359=0),"-",-130371.24359/-123587.71146*100)</f>
        <v>105.48884031418895</v>
      </c>
    </row>
    <row r="59" spans="1:4" ht="15.75">
      <c r="A59" s="34" t="s">
        <v>32</v>
      </c>
      <c r="B59" s="41">
        <f>IF(OR(-96940.28674="",-96940.28674=0),"-",-96940.28674)</f>
        <v>-96940.28674</v>
      </c>
      <c r="C59" s="41">
        <f>IF(OR(-84012.06608="",-84012.06608=0),"-",-84012.06608)</f>
        <v>-84012.06608</v>
      </c>
      <c r="D59" s="41">
        <f>IF(OR(-96940.28674="",-84012.06608="",-96940.28674=0,-84012.06608=0),"-",-84012.06608/-96940.28674*100)</f>
        <v>86.66372764640742</v>
      </c>
    </row>
    <row r="60" spans="1:4" ht="15.75">
      <c r="A60" s="34" t="s">
        <v>33</v>
      </c>
      <c r="B60" s="41">
        <f>IF(OR(-130405.9405="",-130405.9405=0),"-",-130405.9405)</f>
        <v>-130405.9405</v>
      </c>
      <c r="C60" s="41">
        <f>IF(OR(-136445.87846="",-136445.87846=0),"-",-136445.87846)</f>
        <v>-136445.87846</v>
      </c>
      <c r="D60" s="41">
        <f>IF(OR(-130405.9405="",-136445.87846="",-130405.9405=0,-136445.87846=0),"-",-136445.87846/-130405.9405*100)</f>
        <v>104.63164326474836</v>
      </c>
    </row>
    <row r="61" spans="1:4" ht="15.75">
      <c r="A61" s="47" t="s">
        <v>233</v>
      </c>
      <c r="B61" s="40">
        <f>IF(-719662.2782="","-",-719662.2782)</f>
        <v>-719662.2782</v>
      </c>
      <c r="C61" s="40">
        <f>IF(-683882.36852="","-",-683882.36852)</f>
        <v>-683882.36852</v>
      </c>
      <c r="D61" s="40">
        <f>IF(-719662.2782="","-",-683882.36852/-719662.2782*100)</f>
        <v>95.02823605407085</v>
      </c>
    </row>
    <row r="62" spans="1:4" ht="15.75">
      <c r="A62" s="34" t="s">
        <v>234</v>
      </c>
      <c r="B62" s="41">
        <f>IF(OR(-19151.67985="",-19151.67985=0),"-",-19151.67985)</f>
        <v>-19151.67985</v>
      </c>
      <c r="C62" s="41">
        <f>IF(OR(-15614.59667="",-15614.59667=0),"-",-15614.59667)</f>
        <v>-15614.59667</v>
      </c>
      <c r="D62" s="41">
        <f>IF(OR(-19151.67985="",-15614.59667="",-19151.67985=0,-15614.59667=0),"-",-15614.59667/-19151.67985*100)</f>
        <v>81.53121184301753</v>
      </c>
    </row>
    <row r="63" spans="1:4" ht="15.75">
      <c r="A63" s="34" t="s">
        <v>235</v>
      </c>
      <c r="B63" s="41">
        <f>IF(OR(-182333.65614="",-182333.65614=0),"-",-182333.65614)</f>
        <v>-182333.65614</v>
      </c>
      <c r="C63" s="41">
        <f>IF(OR(-163432.21499="",-163432.21499=0),"-",-163432.21499)</f>
        <v>-163432.21499</v>
      </c>
      <c r="D63" s="41">
        <f>IF(OR(-182333.65614="",-163432.21499="",-182333.65614=0,-163432.21499=0),"-",-163432.21499/-182333.65614*100)</f>
        <v>89.63359724685878</v>
      </c>
    </row>
    <row r="64" spans="1:4" ht="15.75">
      <c r="A64" s="34" t="s">
        <v>236</v>
      </c>
      <c r="B64" s="41">
        <f>IF(OR(-10985.00851="",-10985.00851=0),"-",-10985.00851)</f>
        <v>-10985.00851</v>
      </c>
      <c r="C64" s="41">
        <f>IF(OR(-7611.92061="",-7611.92061=0),"-",-7611.92061)</f>
        <v>-7611.92061</v>
      </c>
      <c r="D64" s="41">
        <f>IF(OR(-10985.00851="",-7611.92061="",-10985.00851=0,-7611.92061=0),"-",-7611.92061/-10985.00851*100)</f>
        <v>69.29371609562823</v>
      </c>
    </row>
    <row r="65" spans="1:4" ht="25.5">
      <c r="A65" s="34" t="s">
        <v>237</v>
      </c>
      <c r="B65" s="41">
        <f>IF(OR(-141031.29756="",-141031.29756=0),"-",-141031.29756)</f>
        <v>-141031.29756</v>
      </c>
      <c r="C65" s="41">
        <f>IF(OR(-151176.25131="",-151176.25131=0),"-",-151176.25131)</f>
        <v>-151176.25131</v>
      </c>
      <c r="D65" s="41">
        <f>IF(OR(-141031.29756="",-151176.25131="",-141031.29756=0,-151176.25131=0),"-",-151176.25131/-141031.29756*100)</f>
        <v>107.19340594996933</v>
      </c>
    </row>
    <row r="66" spans="1:4" ht="25.5">
      <c r="A66" s="34" t="s">
        <v>238</v>
      </c>
      <c r="B66" s="41">
        <f>IF(OR(-49371.13497="",-49371.13497=0),"-",-49371.13497)</f>
        <v>-49371.13497</v>
      </c>
      <c r="C66" s="41">
        <f>IF(OR(-41639.7214="",-41639.7214=0),"-",-41639.7214)</f>
        <v>-41639.7214</v>
      </c>
      <c r="D66" s="41">
        <f>IF(OR(-49371.13497="",-41639.7214="",-49371.13497=0,-41639.7214=0),"-",-41639.7214/-49371.13497*100)</f>
        <v>84.3402150371914</v>
      </c>
    </row>
    <row r="67" spans="1:4" ht="25.5">
      <c r="A67" s="34" t="s">
        <v>239</v>
      </c>
      <c r="B67" s="41">
        <f>IF(OR(-133002.17578="",-133002.17578=0),"-",-133002.17578)</f>
        <v>-133002.17578</v>
      </c>
      <c r="C67" s="41">
        <f>IF(OR(-146112.60339="",-146112.60339=0),"-",-146112.60339)</f>
        <v>-146112.60339</v>
      </c>
      <c r="D67" s="41">
        <f>IF(OR(-133002.17578="",-146112.60339="",-133002.17578=0,-146112.60339=0),"-",-146112.60339/-133002.17578*100)</f>
        <v>109.85730311035368</v>
      </c>
    </row>
    <row r="68" spans="1:4" ht="28.5" customHeight="1">
      <c r="A68" s="34" t="s">
        <v>240</v>
      </c>
      <c r="B68" s="41">
        <f>IF(OR(83301.45965="",83301.45965=0),"-",83301.45965)</f>
        <v>83301.45965</v>
      </c>
      <c r="C68" s="41">
        <f>IF(OR(126802.46546="",126802.46546=0),"-",126802.46546)</f>
        <v>126802.46546</v>
      </c>
      <c r="D68" s="41" t="s">
        <v>135</v>
      </c>
    </row>
    <row r="69" spans="1:4" ht="15.75">
      <c r="A69" s="34" t="s">
        <v>241</v>
      </c>
      <c r="B69" s="41">
        <f>IF(OR(-263658.30857="",-263658.30857=0),"-",-263658.30857)</f>
        <v>-263658.30857</v>
      </c>
      <c r="C69" s="41">
        <f>IF(OR(-279397.58723="",-279397.58723=0),"-",-279397.58723)</f>
        <v>-279397.58723</v>
      </c>
      <c r="D69" s="41">
        <f>IF(OR(-263658.30857="",-279397.58723="",-263658.30857=0,-279397.58723=0),"-",-279397.58723/-263658.30857*100)</f>
        <v>105.96957431205749</v>
      </c>
    </row>
    <row r="70" spans="1:4" ht="15.75">
      <c r="A70" s="34" t="s">
        <v>34</v>
      </c>
      <c r="B70" s="41">
        <f>IF(OR(-3430.47647="",-3430.47647=0),"-",-3430.47647)</f>
        <v>-3430.47647</v>
      </c>
      <c r="C70" s="41">
        <f>IF(OR(-5699.93838="",-5699.93838=0),"-",-5699.93838)</f>
        <v>-5699.93838</v>
      </c>
      <c r="D70" s="41" t="s">
        <v>106</v>
      </c>
    </row>
    <row r="71" spans="1:4" ht="15.75">
      <c r="A71" s="47" t="s">
        <v>35</v>
      </c>
      <c r="B71" s="40">
        <f>IF(30109.61811="","-",30109.61811)</f>
        <v>30109.61811</v>
      </c>
      <c r="C71" s="40">
        <f>IF(-36170.99795="","-",-36170.99795)</f>
        <v>-36170.99795</v>
      </c>
      <c r="D71" s="40" t="s">
        <v>22</v>
      </c>
    </row>
    <row r="72" spans="1:4" ht="25.5">
      <c r="A72" s="34" t="s">
        <v>257</v>
      </c>
      <c r="B72" s="41">
        <f>IF(OR(-33403.7065799999="",-33403.7065799999=0),"-",-33403.7065799999)</f>
        <v>-33403.7065799999</v>
      </c>
      <c r="C72" s="41">
        <f>IF(OR(-38834.03565="",-38834.03565=0),"-",-38834.03565)</f>
        <v>-38834.03565</v>
      </c>
      <c r="D72" s="41">
        <f>IF(OR(-33403.7065799999="",-38834.03565="",-33403.7065799999=0,-38834.03565=0),"-",-38834.03565/-33403.7065799999*100)</f>
        <v>116.25666617863133</v>
      </c>
    </row>
    <row r="73" spans="1:4" ht="15.75">
      <c r="A73" s="34" t="s">
        <v>242</v>
      </c>
      <c r="B73" s="41">
        <f>IF(OR(99585.04726="",99585.04726=0),"-",99585.04726)</f>
        <v>99585.04726</v>
      </c>
      <c r="C73" s="41">
        <f>IF(OR(83345.9019="",83345.9019=0),"-",83345.9019)</f>
        <v>83345.9019</v>
      </c>
      <c r="D73" s="41">
        <f>IF(OR(99585.04726="",83345.9019="",99585.04726=0,83345.9019=0),"-",83345.9019/99585.04726*100)</f>
        <v>83.69318908128616</v>
      </c>
    </row>
    <row r="74" spans="1:4" ht="15.75">
      <c r="A74" s="34" t="s">
        <v>243</v>
      </c>
      <c r="B74" s="41">
        <f>IF(OR(7884.34232="",7884.34232=0),"-",7884.34232)</f>
        <v>7884.34232</v>
      </c>
      <c r="C74" s="41">
        <f>IF(OR(4638.95644="",4638.95644=0),"-",4638.95644)</f>
        <v>4638.95644</v>
      </c>
      <c r="D74" s="41">
        <f>IF(OR(7884.34232="",4638.95644="",7884.34232=0,4638.95644=0),"-",4638.95644/7884.34232*100)</f>
        <v>58.837582790291634</v>
      </c>
    </row>
    <row r="75" spans="1:4" ht="15.75">
      <c r="A75" s="34" t="s">
        <v>244</v>
      </c>
      <c r="B75" s="41">
        <f>IF(OR(153618.59268="",153618.59268=0),"-",153618.59268)</f>
        <v>153618.59268</v>
      </c>
      <c r="C75" s="41">
        <f>IF(OR(125452.77796="",125452.77796=0),"-",125452.77796)</f>
        <v>125452.77796</v>
      </c>
      <c r="D75" s="41">
        <f>IF(OR(153618.59268="",125452.77796="",153618.59268=0,125452.77796=0),"-",125452.77796/153618.59268*100)</f>
        <v>81.66510040964138</v>
      </c>
    </row>
    <row r="76" spans="1:4" ht="15.75">
      <c r="A76" s="34" t="s">
        <v>252</v>
      </c>
      <c r="B76" s="41">
        <f>IF(OR(-4962.99275="",-4962.99275=0),"-",-4962.99275)</f>
        <v>-4962.99275</v>
      </c>
      <c r="C76" s="41">
        <f>IF(OR(-10424.94105="",-10424.94105=0),"-",-10424.94105)</f>
        <v>-10424.94105</v>
      </c>
      <c r="D76" s="41" t="s">
        <v>186</v>
      </c>
    </row>
    <row r="77" spans="1:4" ht="15.75">
      <c r="A77" s="34" t="s">
        <v>245</v>
      </c>
      <c r="B77" s="41">
        <f>IF(OR(-33913.08048="",-33913.08048=0),"-",-33913.08048)</f>
        <v>-33913.08048</v>
      </c>
      <c r="C77" s="41">
        <f>IF(OR(-32307.28546="",-32307.28546=0),"-",-32307.28546)</f>
        <v>-32307.28546</v>
      </c>
      <c r="D77" s="41">
        <f>IF(OR(-33913.08048="",-32307.28546="",-33913.08048=0,-32307.28546=0),"-",-32307.28546/-33913.08048*100)</f>
        <v>95.26496856884764</v>
      </c>
    </row>
    <row r="78" spans="1:4" ht="25.5">
      <c r="A78" s="34" t="s">
        <v>246</v>
      </c>
      <c r="B78" s="41">
        <f>IF(OR(-8105.0648="",-8105.0648=0),"-",-8105.0648)</f>
        <v>-8105.0648</v>
      </c>
      <c r="C78" s="41">
        <f>IF(OR(-6779.85407="",-6779.85407=0),"-",-6779.85407)</f>
        <v>-6779.85407</v>
      </c>
      <c r="D78" s="41">
        <f>IF(OR(-8105.0648="",-6779.85407="",-8105.0648=0,-6779.85407=0),"-",-6779.85407/-8105.0648*100)</f>
        <v>83.6495973480681</v>
      </c>
    </row>
    <row r="79" spans="1:4" ht="15.75">
      <c r="A79" s="34" t="s">
        <v>36</v>
      </c>
      <c r="B79" s="41">
        <f>IF(OR(-150593.51954="",-150593.51954=0),"-",-150593.51954)</f>
        <v>-150593.51954</v>
      </c>
      <c r="C79" s="41">
        <f>IF(OR(-161262.51802="",-161262.51802=0),"-",-161262.51802)</f>
        <v>-161262.51802</v>
      </c>
      <c r="D79" s="41">
        <f>IF(OR(-150593.51954="",-161262.51802="",-150593.51954=0,-161262.51802=0),"-",-161262.51802/-150593.51954*100)</f>
        <v>107.08463319842001</v>
      </c>
    </row>
    <row r="80" spans="1:4" ht="16.5" customHeight="1">
      <c r="A80" s="48" t="s">
        <v>247</v>
      </c>
      <c r="B80" s="49">
        <f>IF(570.90285="","-",570.90285)</f>
        <v>570.90285</v>
      </c>
      <c r="C80" s="49">
        <f>IF(667.0284="","-",667.0284)</f>
        <v>667.0284</v>
      </c>
      <c r="D80" s="49">
        <f>IF(570.90285="","-",667.0284/570.90285*100)</f>
        <v>116.83746192543968</v>
      </c>
    </row>
    <row r="81" spans="1:4" ht="15.75" customHeight="1">
      <c r="A81" s="29" t="s">
        <v>21</v>
      </c>
      <c r="B81" s="35"/>
      <c r="C81" s="35"/>
      <c r="D81" s="35"/>
    </row>
    <row r="82" spans="1:4" ht="15.75">
      <c r="A82" s="34"/>
      <c r="B82" s="35"/>
      <c r="C82" s="35"/>
      <c r="D82" s="35"/>
    </row>
    <row r="83" spans="1:4" ht="15.75">
      <c r="A83" s="34"/>
      <c r="B83" s="35"/>
      <c r="C83" s="35"/>
      <c r="D83" s="35"/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Eni</dc:creator>
  <cp:keywords/>
  <dc:description/>
  <cp:lastModifiedBy>Doina Vudvud</cp:lastModifiedBy>
  <cp:lastPrinted>2020-01-14T10:18:49Z</cp:lastPrinted>
  <dcterms:created xsi:type="dcterms:W3CDTF">2016-09-01T07:59:47Z</dcterms:created>
  <dcterms:modified xsi:type="dcterms:W3CDTF">2020-01-14T14:39:11Z</dcterms:modified>
  <cp:category/>
  <cp:version/>
  <cp:contentType/>
  <cp:contentStatus/>
</cp:coreProperties>
</file>