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5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/>
</workbook>
</file>

<file path=xl/calcChain.xml><?xml version="1.0" encoding="utf-8"?>
<calcChain xmlns="http://schemas.openxmlformats.org/spreadsheetml/2006/main">
  <c r="C141" i="3" l="1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C135" i="3"/>
  <c r="B135" i="3"/>
  <c r="C134" i="3"/>
  <c r="B134" i="3"/>
  <c r="D133" i="3"/>
  <c r="C133" i="3"/>
  <c r="B133" i="3"/>
  <c r="C132" i="3"/>
  <c r="B132" i="3"/>
  <c r="D131" i="3"/>
  <c r="C131" i="3"/>
  <c r="B131" i="3"/>
  <c r="D130" i="3"/>
  <c r="C130" i="3"/>
  <c r="B130" i="3"/>
  <c r="C129" i="3"/>
  <c r="B129" i="3"/>
  <c r="C128" i="3"/>
  <c r="B128" i="3"/>
  <c r="C127" i="3"/>
  <c r="B127" i="3"/>
  <c r="C126" i="3"/>
  <c r="B126" i="3"/>
  <c r="D125" i="3"/>
  <c r="C125" i="3"/>
  <c r="B125" i="3"/>
  <c r="D124" i="3"/>
  <c r="C124" i="3"/>
  <c r="B124" i="3"/>
  <c r="D123" i="3"/>
  <c r="C123" i="3"/>
  <c r="B123" i="3"/>
  <c r="C122" i="3"/>
  <c r="B122" i="3"/>
  <c r="D121" i="3"/>
  <c r="C121" i="3"/>
  <c r="B121" i="3"/>
  <c r="D120" i="3"/>
  <c r="C120" i="3"/>
  <c r="B120" i="3"/>
  <c r="C119" i="3"/>
  <c r="B119" i="3"/>
  <c r="D118" i="3"/>
  <c r="C118" i="3"/>
  <c r="B118" i="3"/>
  <c r="D117" i="3"/>
  <c r="C117" i="3"/>
  <c r="B117" i="3"/>
  <c r="D116" i="3"/>
  <c r="C116" i="3"/>
  <c r="B116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C104" i="3"/>
  <c r="B104" i="3"/>
  <c r="D103" i="3"/>
  <c r="C103" i="3"/>
  <c r="B103" i="3"/>
  <c r="D102" i="3"/>
  <c r="C102" i="3"/>
  <c r="B102" i="3"/>
  <c r="C101" i="3"/>
  <c r="B101" i="3"/>
  <c r="C100" i="3"/>
  <c r="B100" i="3"/>
  <c r="D99" i="3"/>
  <c r="C99" i="3"/>
  <c r="B99" i="3"/>
  <c r="C98" i="3"/>
  <c r="B98" i="3"/>
  <c r="C97" i="3"/>
  <c r="B97" i="3"/>
  <c r="D96" i="3"/>
  <c r="C96" i="3"/>
  <c r="B96" i="3"/>
  <c r="D95" i="3"/>
  <c r="C95" i="3"/>
  <c r="B95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C89" i="3"/>
  <c r="B89" i="3"/>
  <c r="D88" i="3"/>
  <c r="C88" i="3"/>
  <c r="B88" i="3"/>
  <c r="C87" i="3"/>
  <c r="B87" i="3"/>
  <c r="D86" i="3"/>
  <c r="C86" i="3"/>
  <c r="B86" i="3"/>
  <c r="D85" i="3"/>
  <c r="C85" i="3"/>
  <c r="B85" i="3"/>
  <c r="D84" i="3"/>
  <c r="C84" i="3"/>
  <c r="B84" i="3"/>
  <c r="C83" i="3"/>
  <c r="B83" i="3"/>
  <c r="C82" i="3"/>
  <c r="B82" i="3"/>
  <c r="D81" i="3"/>
  <c r="C81" i="3"/>
  <c r="B81" i="3"/>
  <c r="C80" i="3"/>
  <c r="B80" i="3"/>
  <c r="D79" i="3"/>
  <c r="C79" i="3"/>
  <c r="B79" i="3"/>
  <c r="D78" i="3"/>
  <c r="C78" i="3"/>
  <c r="B78" i="3"/>
  <c r="C77" i="3"/>
  <c r="B77" i="3"/>
  <c r="C76" i="3"/>
  <c r="B76" i="3"/>
  <c r="D75" i="3"/>
  <c r="C75" i="3"/>
  <c r="B75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C69" i="3"/>
  <c r="B69" i="3"/>
  <c r="C68" i="3"/>
  <c r="B68" i="3"/>
  <c r="D67" i="3"/>
  <c r="C67" i="3"/>
  <c r="B67" i="3"/>
  <c r="D66" i="3"/>
  <c r="C66" i="3"/>
  <c r="B66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C60" i="3"/>
  <c r="B60" i="3"/>
  <c r="D59" i="3"/>
  <c r="C59" i="3"/>
  <c r="B59" i="3"/>
  <c r="D58" i="3"/>
  <c r="C58" i="3"/>
  <c r="B58" i="3"/>
  <c r="C57" i="3"/>
  <c r="B57" i="3"/>
  <c r="D56" i="3"/>
  <c r="C56" i="3"/>
  <c r="B56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C45" i="3"/>
  <c r="B45" i="3"/>
  <c r="D44" i="3"/>
  <c r="C44" i="3"/>
  <c r="B44" i="3"/>
  <c r="D43" i="3"/>
  <c r="C43" i="3"/>
  <c r="B43" i="3"/>
  <c r="C42" i="3"/>
  <c r="B42" i="3"/>
  <c r="D41" i="3"/>
  <c r="C41" i="3"/>
  <c r="B41" i="3"/>
  <c r="D40" i="3"/>
  <c r="C40" i="3"/>
  <c r="B40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D28" i="3"/>
  <c r="C28" i="3"/>
  <c r="B28" i="3"/>
  <c r="D27" i="3"/>
  <c r="C27" i="3"/>
  <c r="B27" i="3"/>
  <c r="C26" i="3"/>
  <c r="B26" i="3"/>
  <c r="D25" i="3"/>
  <c r="C25" i="3"/>
  <c r="B25" i="3"/>
  <c r="D24" i="3"/>
  <c r="C24" i="3"/>
  <c r="B24" i="3"/>
  <c r="D23" i="3"/>
  <c r="C23" i="3"/>
  <c r="B23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E39" i="8" l="1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4" i="8"/>
  <c r="D34" i="8"/>
  <c r="B34" i="8"/>
  <c r="E32" i="8"/>
  <c r="D32" i="8"/>
  <c r="C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5" i="8"/>
  <c r="D25" i="8"/>
  <c r="B25" i="8"/>
  <c r="E23" i="8"/>
  <c r="D23" i="8"/>
  <c r="C23" i="8"/>
  <c r="B23" i="8"/>
  <c r="E22" i="8"/>
  <c r="D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C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C6" i="8"/>
  <c r="B6" i="8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C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C23" i="7"/>
  <c r="B23" i="7"/>
  <c r="D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C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C6" i="7"/>
  <c r="B6" i="7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C74" i="4"/>
  <c r="B74" i="4"/>
  <c r="D73" i="4"/>
  <c r="C73" i="4"/>
  <c r="B73" i="4"/>
  <c r="D72" i="4"/>
  <c r="C72" i="4"/>
  <c r="B72" i="4"/>
  <c r="D71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D9" i="4"/>
  <c r="C9" i="4"/>
  <c r="B9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C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77" i="5" l="1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B39" i="5"/>
  <c r="G38" i="5"/>
  <c r="F38" i="5"/>
  <c r="E38" i="5"/>
  <c r="D38" i="5"/>
  <c r="C38" i="5"/>
  <c r="B38" i="5"/>
  <c r="G37" i="5"/>
  <c r="F37" i="5"/>
  <c r="E37" i="5"/>
  <c r="D37" i="5"/>
  <c r="B37" i="5"/>
  <c r="G36" i="5"/>
  <c r="F36" i="5"/>
  <c r="E36" i="5"/>
  <c r="D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B7" i="5"/>
  <c r="G115" i="2" l="1"/>
  <c r="F115" i="2"/>
  <c r="E115" i="2"/>
  <c r="D115" i="2"/>
  <c r="B115" i="2"/>
  <c r="G114" i="2"/>
  <c r="F114" i="2"/>
  <c r="E114" i="2"/>
  <c r="D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B111" i="2"/>
  <c r="G110" i="2"/>
  <c r="F110" i="2"/>
  <c r="E110" i="2"/>
  <c r="D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B107" i="2"/>
  <c r="G106" i="2"/>
  <c r="F106" i="2"/>
  <c r="E106" i="2"/>
  <c r="D106" i="2"/>
  <c r="C106" i="2"/>
  <c r="B106" i="2"/>
  <c r="G105" i="2"/>
  <c r="F105" i="2"/>
  <c r="E105" i="2"/>
  <c r="D105" i="2"/>
  <c r="B105" i="2"/>
  <c r="G104" i="2"/>
  <c r="F104" i="2"/>
  <c r="E104" i="2"/>
  <c r="D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B78" i="2"/>
  <c r="G77" i="2"/>
  <c r="F77" i="2"/>
  <c r="E77" i="2"/>
  <c r="D77" i="2"/>
  <c r="C77" i="2"/>
  <c r="B77" i="2"/>
  <c r="G76" i="2"/>
  <c r="F76" i="2"/>
  <c r="E76" i="2"/>
  <c r="D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B69" i="2"/>
  <c r="G68" i="2"/>
  <c r="F68" i="2"/>
  <c r="E68" i="2"/>
  <c r="D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102" i="1" l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B89" i="1"/>
  <c r="G88" i="1"/>
  <c r="F88" i="1"/>
  <c r="E88" i="1"/>
  <c r="D88" i="1"/>
  <c r="C88" i="1"/>
  <c r="B88" i="1"/>
  <c r="G87" i="1"/>
  <c r="F87" i="1"/>
  <c r="E87" i="1"/>
  <c r="D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B84" i="1"/>
  <c r="G83" i="1"/>
  <c r="F83" i="1"/>
  <c r="E83" i="1"/>
  <c r="D83" i="1"/>
  <c r="B83" i="1"/>
  <c r="G82" i="1"/>
  <c r="F82" i="1"/>
  <c r="E82" i="1"/>
  <c r="D82" i="1"/>
  <c r="B82" i="1"/>
  <c r="G81" i="1"/>
  <c r="F81" i="1"/>
  <c r="E81" i="1"/>
  <c r="D81" i="1"/>
  <c r="B81" i="1"/>
  <c r="G80" i="1"/>
  <c r="F80" i="1"/>
  <c r="E80" i="1"/>
  <c r="D80" i="1"/>
  <c r="B80" i="1"/>
  <c r="G79" i="1"/>
  <c r="F79" i="1"/>
  <c r="E79" i="1"/>
  <c r="D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B74" i="1"/>
  <c r="G73" i="1"/>
  <c r="F73" i="1"/>
  <c r="E73" i="1"/>
  <c r="D73" i="1"/>
  <c r="C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B68" i="1"/>
  <c r="G67" i="1"/>
  <c r="F67" i="1"/>
  <c r="E67" i="1"/>
  <c r="D67" i="1"/>
  <c r="C67" i="1"/>
  <c r="B67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C64" i="1"/>
  <c r="B64" i="1"/>
  <c r="G63" i="1"/>
  <c r="F63" i="1"/>
  <c r="E63" i="1"/>
  <c r="D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B30" i="1"/>
  <c r="G29" i="1"/>
  <c r="F29" i="1"/>
  <c r="E29" i="1"/>
  <c r="D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B15" i="1"/>
  <c r="G14" i="1"/>
  <c r="F14" i="1"/>
  <c r="E14" i="1"/>
  <c r="D14" i="1"/>
  <c r="C14" i="1"/>
  <c r="B14" i="1"/>
  <c r="G13" i="1"/>
  <c r="F13" i="1"/>
  <c r="E13" i="1"/>
  <c r="D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<sst xmlns="http://schemas.openxmlformats.org/spreadsheetml/2006/main" count="810" uniqueCount="320">
  <si>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</si>
  <si>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</si>
  <si>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</si>
  <si>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</si>
  <si>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</si>
  <si>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</si>
  <si>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</si>
  <si>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</si>
  <si>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</si>
  <si>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</si>
  <si>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</si>
  <si>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</si>
  <si>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</si>
  <si>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</si>
  <si>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</si>
  <si>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</si>
  <si>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</si>
  <si>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</si>
  <si>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</si>
  <si>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</si>
  <si>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</si>
  <si>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</si>
  <si>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</si>
  <si>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</si>
  <si>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</si>
  <si>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</si>
  <si>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</si>
  <si>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</si>
  <si>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</si>
  <si>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</si>
  <si>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</si>
  <si>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</si>
  <si>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</si>
  <si>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</si>
  <si>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</si>
  <si>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</si>
  <si>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</si>
  <si>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</si>
  <si>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</si>
  <si>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</si>
  <si>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</si>
  <si>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</si>
  <si>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</si>
  <si>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</si>
  <si>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</si>
  <si>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</si>
  <si>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</si>
  <si>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</si>
  <si>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</si>
  <si>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</si>
  <si>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</si>
  <si>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</si>
  <si>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</si>
  <si>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</si>
  <si>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</si>
  <si>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</si>
  <si>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</si>
  <si>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</si>
  <si>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</si>
  <si>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</si>
  <si>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</si>
  <si>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</si>
  <si>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</si>
  <si>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</si>
  <si>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</si>
  <si>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</si>
  <si>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</si>
  <si>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</si>
  <si>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</si>
  <si>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</si>
  <si>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</si>
  <si>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</si>
  <si>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</si>
  <si>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</si>
  <si>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</si>
  <si>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</si>
  <si>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</si>
  <si>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</si>
  <si>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</si>
  <si>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</si>
  <si>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</si>
  <si>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</si>
  <si>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</si>
  <si>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</si>
  <si>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</si>
  <si>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</si>
  <si>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</si>
  <si>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</si>
  <si>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</si>
  <si>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</si>
  <si>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</si>
  <si>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</si>
  <si>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</si>
  <si>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</si>
  <si>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</si>
  <si>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</si>
  <si>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</si>
  <si>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</si>
  <si>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</si>
  <si>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</si>
  <si>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de 2,2 ori</t>
  </si>
  <si>
    <t>mii dolari        SUA</t>
  </si>
  <si>
    <t>EXPORT - total</t>
  </si>
  <si>
    <t>Oman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</si>
  <si>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</si>
  <si>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</si>
  <si>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</si>
  <si>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</si>
  <si>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</si>
  <si>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</si>
  <si>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</si>
  <si>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</si>
  <si>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</si>
  <si>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de 2,3 ori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</si>
  <si>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</si>
  <si>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</si>
  <si>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</si>
  <si>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</si>
  <si>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</si>
  <si>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</si>
  <si>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</si>
  <si>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</si>
  <si>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</si>
  <si>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</si>
  <si>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</si>
  <si>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</si>
  <si>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</si>
  <si>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</si>
  <si>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</si>
  <si>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</si>
  <si>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</si>
  <si>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</si>
  <si>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</si>
  <si>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</si>
  <si>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</si>
  <si>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</si>
  <si>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</si>
  <si>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de 3,0 ori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</si>
  <si>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</si>
  <si>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</si>
  <si>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</si>
  <si>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</si>
  <si>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</si>
  <si>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</si>
  <si>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</si>
  <si>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</si>
  <si>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</si>
  <si>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</si>
  <si>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</si>
  <si>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</si>
  <si>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de 2,5 ori</t>
  </si>
  <si>
    <t>Insulele Feroe</t>
  </si>
  <si>
    <t>Antigua şi Barbuda</t>
  </si>
  <si>
    <t>Insulele Folkland</t>
  </si>
  <si>
    <t>Laos</t>
  </si>
  <si>
    <t>de 2,6 ori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</si>
  <si>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</si>
  <si>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</si>
  <si>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</si>
  <si>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</si>
  <si>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</si>
  <si>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</si>
  <si>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</si>
  <si>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</si>
  <si>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</si>
  <si>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</si>
  <si>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</si>
  <si>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grupe de ţări și moduri de transport a mărfurilor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</si>
  <si>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</si>
  <si>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</si>
  <si>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</si>
  <si>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</si>
  <si>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</si>
  <si>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</si>
  <si>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</si>
  <si>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de 2,4 ori</t>
  </si>
  <si>
    <t>Ţările Uniunii Europene (UE-27) - total</t>
  </si>
  <si>
    <t>Țările Uniunii Europene (UE-27) - total</t>
  </si>
  <si>
    <t xml:space="preserve">Țările CSI - total </t>
  </si>
  <si>
    <t>Celelalte țări ale lumii - total</t>
  </si>
  <si>
    <t xml:space="preserve">Celelalte țări ale lumii - total </t>
  </si>
  <si>
    <t>Ţările CSI - total</t>
  </si>
  <si>
    <t>Celelalte ţări ale lumii - total</t>
  </si>
  <si>
    <t>Liberia</t>
  </si>
  <si>
    <t>de 68,1 ori</t>
  </si>
  <si>
    <t>Sri Lanka</t>
  </si>
  <si>
    <t>Cambodgia</t>
  </si>
  <si>
    <t>de 30,7 ori</t>
  </si>
  <si>
    <t>BALANŢA COMERCIALĂ – total, mii dolari SUA</t>
  </si>
  <si>
    <t>Mauritius</t>
  </si>
  <si>
    <t>Republica Dominicană</t>
  </si>
  <si>
    <t>Cuba</t>
  </si>
  <si>
    <t>de 30,5 ori</t>
  </si>
  <si>
    <t>Ianuarie - mai 2020</t>
  </si>
  <si>
    <t>în % faţă de ianuarie-mai 2019¹</t>
  </si>
  <si>
    <t>ianuarie - mai</t>
  </si>
  <si>
    <t>Ianuarie - mai</t>
  </si>
  <si>
    <t>Ianuarie - mai 2020         în % faţă de            ianuarie - mai 2019¹</t>
  </si>
  <si>
    <t>în % faţă de ianuarie - mai 2019¹</t>
  </si>
  <si>
    <t>Ianuarie - mai 2020      în % faţă de                          ianuarie - mai 2019¹</t>
  </si>
  <si>
    <t>Bosnia şi Hertegovina</t>
  </si>
  <si>
    <t>Kosovo</t>
  </si>
  <si>
    <t>Ghana</t>
  </si>
  <si>
    <t>Montenegro</t>
  </si>
  <si>
    <t>de 256,4 ori</t>
  </si>
  <si>
    <t>de 10,9 ori</t>
  </si>
  <si>
    <t>de 8,6 ori</t>
  </si>
  <si>
    <t>de 11,5 ori</t>
  </si>
  <si>
    <t>de 14,2 ori</t>
  </si>
  <si>
    <t>de 4,8 ori</t>
  </si>
  <si>
    <t>de 176,6 ori</t>
  </si>
  <si>
    <t>de 76,8 ori</t>
  </si>
  <si>
    <t>de 10,4 ori</t>
  </si>
  <si>
    <t>de 22,8 ori</t>
  </si>
  <si>
    <t>de 3,5 ori</t>
  </si>
  <si>
    <t>de 3,7 ori</t>
  </si>
  <si>
    <t>de 3,8 ori</t>
  </si>
  <si>
    <t>Insulele Georgia şi Sandwich de Sud</t>
  </si>
  <si>
    <t>Paraguay</t>
  </si>
  <si>
    <t>de 14,3 ori</t>
  </si>
  <si>
    <t>de 2,7 ori</t>
  </si>
  <si>
    <t>de 12,0 ori</t>
  </si>
  <si>
    <t>de 43,8 ori</t>
  </si>
  <si>
    <t>de 4,2 ori</t>
  </si>
  <si>
    <t>de 2,9 ori</t>
  </si>
  <si>
    <t>de 71,2 ori</t>
  </si>
  <si>
    <t>Bosnia şi Herţegovina</t>
  </si>
  <si>
    <t>Guatemala</t>
  </si>
  <si>
    <t>Coreea de Nord</t>
  </si>
  <si>
    <t>Panama</t>
  </si>
  <si>
    <t>Nepal</t>
  </si>
  <si>
    <t>Libia</t>
  </si>
  <si>
    <t>Algeria</t>
  </si>
  <si>
    <t>Congo</t>
  </si>
  <si>
    <t>de 14,6 ori</t>
  </si>
  <si>
    <t>de 25,1 ori</t>
  </si>
  <si>
    <t>de 42,3 ori</t>
  </si>
  <si>
    <t>de 8,1 ori</t>
  </si>
  <si>
    <t>de 25,9 ori</t>
  </si>
  <si>
    <t>de 10,6 ori</t>
  </si>
  <si>
    <t>de 5,1 ori</t>
  </si>
  <si>
    <t>de 9,3 ori</t>
  </si>
  <si>
    <t>Produse alimentare și animale vii</t>
  </si>
  <si>
    <t>Carne și preparate din carne</t>
  </si>
  <si>
    <t>Produse lactate și ouă de păsări</t>
  </si>
  <si>
    <t>Pește, crustacee, moluște</t>
  </si>
  <si>
    <t>Cereale și preparate pe bază de cereale</t>
  </si>
  <si>
    <t>Legume și fructe</t>
  </si>
  <si>
    <t>Zahăr, preparate pe bază de zahăr; miere</t>
  </si>
  <si>
    <t>Cafea, ceai, cacao, condimente și înlocuitori ai acestora</t>
  </si>
  <si>
    <t>Hrană destinată animalelor (exclusiv cereale nemăcinate)</t>
  </si>
  <si>
    <t>Produse și preparate alimentare diverse</t>
  </si>
  <si>
    <t xml:space="preserve">Băuturi și tutun </t>
  </si>
  <si>
    <t>Bauturi (alcoolice și nealcoolice)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</si>
  <si>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</si>
  <si>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</si>
  <si>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</si>
  <si>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</si>
  <si>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</si>
  <si>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</si>
  <si>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</si>
  <si>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</si>
  <si>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</si>
  <si>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</si>
  <si>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</si>
  <si>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</si>
  <si>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</si>
  <si>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</si>
  <si>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</si>
  <si>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</si>
  <si>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</si>
  <si>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</si>
  <si>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</si>
  <si>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</si>
  <si>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</si>
  <si>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</si>
  <si>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</si>
  <si>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</si>
  <si>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</si>
  <si>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</si>
  <si>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</si>
  <si>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</si>
  <si>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</si>
  <si>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</si>
  <si>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</si>
  <si>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</si>
  <si>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</si>
  <si>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</si>
  <si>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</si>
  <si>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</si>
  <si>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</si>
  <si>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</si>
  <si>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</si>
  <si>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</si>
  <si>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</si>
  <si>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ştiintifice şi de control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</si>
  <si>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</si>
  <si>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</si>
  <si>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</si>
  <si>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</si>
  <si>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</si>
  <si>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</si>
  <si>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</si>
  <si>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</si>
  <si>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</si>
  <si>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</si>
  <si>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</si>
  <si>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</si>
  <si>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</si>
  <si>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</si>
  <si>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</si>
  <si>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</si>
  <si>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</si>
  <si>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</si>
  <si>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Uleiuri și grăsimi de origine animală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</si>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</sst>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08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/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6" fillId="0" borderId="0" xfId="0" applyNumberFormat="1" applyFont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Alignment="1">
      <alignment horizontal="right" vertical="top"/>
    </xf>
    <xf numFmtId="4" fontId="24" fillId="0" borderId="0" xfId="0" applyNumberFormat="1" applyFont="1" applyFill="1" applyAlignment="1" applyProtection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left" vertical="top" wrapText="1"/>
    </xf>
    <xf numFmtId="4" fontId="24" fillId="0" borderId="0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wrapText="1"/>
    </xf>
    <xf numFmtId="4" fontId="25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Alignment="1">
      <alignment horizontal="right" vertical="top" wrapText="1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3"/>
  <sheetViews>
    <sheetView tabSelected="1" zoomScaleNormal="100" workbookViewId="0">
      <selection activeCell="I55" sqref="I55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0.7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79" t="s">
        <v>163</v>
      </c>
      <c r="B1" s="79"/>
      <c r="C1" s="79"/>
      <c r="D1" s="79"/>
      <c r="E1" s="79"/>
      <c r="F1" s="79"/>
      <c r="G1" s="79"/>
    </row>
    <row r="3" spans="1:7" ht="54" customHeight="1" x14ac:dyDescent="0.25">
      <c r="A3" s="80"/>
      <c r="B3" s="83" t="s">
        <v>193</v>
      </c>
      <c r="C3" s="84"/>
      <c r="D3" s="83" t="s">
        <v>111</v>
      </c>
      <c r="E3" s="84"/>
      <c r="F3" s="85" t="s">
        <v>1</v>
      </c>
      <c r="G3" s="86"/>
    </row>
    <row r="4" spans="1:7" ht="24" customHeight="1" x14ac:dyDescent="0.25">
      <c r="A4" s="81"/>
      <c r="B4" s="87" t="s">
        <v>101</v>
      </c>
      <c r="C4" s="89" t="s">
        <v>194</v>
      </c>
      <c r="D4" s="91" t="s">
        <v>195</v>
      </c>
      <c r="E4" s="91"/>
      <c r="F4" s="91" t="s">
        <v>195</v>
      </c>
      <c r="G4" s="83"/>
    </row>
    <row r="5" spans="1:7" ht="29.25" customHeight="1" x14ac:dyDescent="0.25">
      <c r="A5" s="82"/>
      <c r="B5" s="88"/>
      <c r="C5" s="90"/>
      <c r="D5" s="23">
        <v>2019</v>
      </c>
      <c r="E5" s="23">
        <v>2020</v>
      </c>
      <c r="F5" s="23" t="s">
        <v>125</v>
      </c>
      <c r="G5" s="19" t="s">
        <v>145</v>
      </c>
    </row>
    <row r="6" spans="1:7" ht="15.75" customHeight="1" x14ac:dyDescent="0.25">
      <c r="A6" s="41" t="s">
        <v>102</v>
      </c>
      <c r="B6" s="39">
        <f>IF(980549.57869="","-",980549.57869)</f>
        <v>980549.57868999999</v>
      </c>
      <c r="C6" s="39">
        <f>IF(1159001.13914="","-",980549.57869/1159001.13914*100)</f>
        <v>84.602986621530462</v>
      </c>
      <c r="D6" s="39">
        <v>100</v>
      </c>
      <c r="E6" s="39">
        <v>100</v>
      </c>
      <c r="F6" s="39">
        <f>IF(1100674.36139="","-",(1159001.13914-1100674.36139)/1100674.36139*100)</f>
        <v>5.2991856443663723</v>
      </c>
      <c r="G6" s="39">
        <f>IF(1159001.13914="","-",(980549.57869-1159001.13914)/1159001.13914*100)</f>
        <v>-15.397013378469534</v>
      </c>
    </row>
    <row r="7" spans="1:7" ht="15.75" customHeight="1" x14ac:dyDescent="0.25">
      <c r="A7" s="42" t="s">
        <v>142</v>
      </c>
      <c r="B7" s="36"/>
      <c r="C7" s="36"/>
      <c r="D7" s="36"/>
      <c r="E7" s="36"/>
      <c r="F7" s="36"/>
      <c r="G7" s="36"/>
    </row>
    <row r="8" spans="1:7" ht="15.75" customHeight="1" x14ac:dyDescent="0.25">
      <c r="A8" s="43" t="s">
        <v>176</v>
      </c>
      <c r="B8" s="40">
        <f>IF(618272.14398="","-",618272.14398)</f>
        <v>618272.14398000005</v>
      </c>
      <c r="C8" s="40">
        <f>IF(720483.95216="","-",618272.14398/720483.95216*100)</f>
        <v>85.813451101364507</v>
      </c>
      <c r="D8" s="40">
        <f>IF(720483.95216="","-",720483.95216/1159001.13914*100)</f>
        <v>62.164214324639246</v>
      </c>
      <c r="E8" s="40">
        <f>IF(618272.14398="","-",618272.14398/980549.57869*100)</f>
        <v>63.053634147291426</v>
      </c>
      <c r="F8" s="40">
        <f>IF(1100674.36139="","-",(720483.95216-709661.64823)/1100674.36139*100)</f>
        <v>0.98324302896751936</v>
      </c>
      <c r="G8" s="40">
        <f>IF(1159001.13914="","-",(618272.14398-720483.95216)/1159001.13914*100)</f>
        <v>-8.8189566626175147</v>
      </c>
    </row>
    <row r="9" spans="1:7" ht="15.75" customHeight="1" x14ac:dyDescent="0.25">
      <c r="A9" s="44" t="s">
        <v>2</v>
      </c>
      <c r="B9" s="45">
        <f>IF(241346.24333="","-",241346.24333)</f>
        <v>241346.24333</v>
      </c>
      <c r="C9" s="45">
        <f>IF(OR(322407.41264="",241346.24333=""),"-",241346.24333/322407.41264*100)</f>
        <v>74.857535487091027</v>
      </c>
      <c r="D9" s="45">
        <f>IF(322407.41264="","-",322407.41264/1159001.13914*100)</f>
        <v>27.817695923856654</v>
      </c>
      <c r="E9" s="45">
        <f>IF(241346.24333="","-",241346.24333/980549.57869*100)</f>
        <v>24.613364645205912</v>
      </c>
      <c r="F9" s="45">
        <f>IF(OR(1100674.36139="",283608.4613="",322407.41264=""),"-",(322407.41264-283608.4613)/1100674.36139*100)</f>
        <v>3.5250163627871047</v>
      </c>
      <c r="G9" s="45">
        <f>IF(OR(1159001.13914="",241346.24333="",322407.41264=""),"-",(241346.24333-322407.41264)/1159001.13914*100)</f>
        <v>-6.9940543259645853</v>
      </c>
    </row>
    <row r="10" spans="1:7" ht="15.75" customHeight="1" x14ac:dyDescent="0.25">
      <c r="A10" s="44" t="s">
        <v>4</v>
      </c>
      <c r="B10" s="45">
        <f>IF(84725.84209="","-",84725.84209)</f>
        <v>84725.842090000006</v>
      </c>
      <c r="C10" s="45">
        <f>IF(OR(103957.82324="",84725.84209=""),"-",84725.84209/103957.82324*100)</f>
        <v>81.500207920282747</v>
      </c>
      <c r="D10" s="45">
        <f>IF(103957.82324="","-",103957.82324/1159001.13914*100)</f>
        <v>8.9696049235239403</v>
      </c>
      <c r="E10" s="45">
        <f>IF(84725.84209="","-",84725.84209/980549.57869*100)</f>
        <v>8.640648461977058</v>
      </c>
      <c r="F10" s="45">
        <f>IF(OR(1100674.36139="",95165.1558="",103957.82324=""),"-",(103957.82324-95165.1558)/1100674.36139*100)</f>
        <v>0.79884366788521155</v>
      </c>
      <c r="G10" s="45">
        <f>IF(OR(1159001.13914="",84725.84209="",103957.82324=""),"-",(84725.84209-103957.82324)/1159001.13914*100)</f>
        <v>-1.6593582612240114</v>
      </c>
    </row>
    <row r="11" spans="1:7" ht="13.5" customHeight="1" x14ac:dyDescent="0.25">
      <c r="A11" s="44" t="s">
        <v>3</v>
      </c>
      <c r="B11" s="45">
        <f>IF(83590.85845="","-",83590.85845)</f>
        <v>83590.85845</v>
      </c>
      <c r="C11" s="45">
        <f>IF(OR(115022.96048="",83590.85845=""),"-",83590.85845/115022.96048*100)</f>
        <v>72.673193335633755</v>
      </c>
      <c r="D11" s="45">
        <f>IF(115022.96048="","-",115022.96048/1159001.13914*100)</f>
        <v>9.9243181560070877</v>
      </c>
      <c r="E11" s="45">
        <f>IF(83590.85845="","-",83590.85845/980549.57869*100)</f>
        <v>8.5248987166641967</v>
      </c>
      <c r="F11" s="45">
        <f>IF(OR(1100674.36139="",124758.47944="",115022.96048=""),"-",(115022.96048-124758.47944)/1100674.36139*100)</f>
        <v>-0.88450492729796881</v>
      </c>
      <c r="G11" s="45">
        <f>IF(OR(1159001.13914="",83590.85845="",115022.96048=""),"-",(83590.85845-115022.96048)/1159001.13914*100)</f>
        <v>-2.7119992352486544</v>
      </c>
    </row>
    <row r="12" spans="1:7" ht="15.75" customHeight="1" x14ac:dyDescent="0.25">
      <c r="A12" s="44" t="s">
        <v>5</v>
      </c>
      <c r="B12" s="45">
        <f>IF(40566.37218="","-",40566.37218)</f>
        <v>40566.372179999998</v>
      </c>
      <c r="C12" s="45">
        <f>IF(OR(43730.83363="",40566.37218=""),"-",40566.37218/43730.83363*100)</f>
        <v>92.763775150563021</v>
      </c>
      <c r="D12" s="45">
        <f>IF(43730.83363="","-",43730.83363/1159001.13914*100)</f>
        <v>3.7731484597546707</v>
      </c>
      <c r="E12" s="45">
        <f>IF(40566.37218="","-",40566.37218/980549.57869*100)</f>
        <v>4.1371056662118075</v>
      </c>
      <c r="F12" s="45">
        <f>IF(OR(1100674.36139="",37437.04123="",43730.83363=""),"-",(43730.83363-37437.04123)/1100674.36139*100)</f>
        <v>0.57181239254558514</v>
      </c>
      <c r="G12" s="45">
        <f>IF(OR(1159001.13914="",40566.37218="",43730.83363=""),"-",(40566.37218-43730.83363)/1159001.13914*100)</f>
        <v>-0.27303350645091606</v>
      </c>
    </row>
    <row r="13" spans="1:7" s="14" customFormat="1" x14ac:dyDescent="0.25">
      <c r="A13" s="44" t="s">
        <v>7</v>
      </c>
      <c r="B13" s="45">
        <f>IF(32758.69758="","-",32758.69758)</f>
        <v>32758.69758</v>
      </c>
      <c r="C13" s="45" t="s">
        <v>107</v>
      </c>
      <c r="D13" s="45">
        <f>IF(19936.87324="","-",19936.87324/1159001.13914*100)</f>
        <v>1.7201771910934895</v>
      </c>
      <c r="E13" s="45">
        <f>IF(32758.69758="","-",32758.69758/980549.57869*100)</f>
        <v>3.3408507118798774</v>
      </c>
      <c r="F13" s="45">
        <f>IF(OR(1100674.36139="",17262.7641="",19936.87324=""),"-",(19936.87324-17262.7641)/1100674.36139*100)</f>
        <v>0.24295188784291927</v>
      </c>
      <c r="G13" s="45">
        <f>IF(OR(1159001.13914="",32758.69758="",19936.87324=""),"-",(32758.69758-19936.87324)/1159001.13914*100)</f>
        <v>1.1062822897235483</v>
      </c>
    </row>
    <row r="14" spans="1:7" s="14" customFormat="1" x14ac:dyDescent="0.25">
      <c r="A14" s="44" t="s">
        <v>41</v>
      </c>
      <c r="B14" s="45">
        <f>IF(19610.45432="","-",19610.45432)</f>
        <v>19610.454320000001</v>
      </c>
      <c r="C14" s="45">
        <f>IF(OR(16104.08716="",19610.45432=""),"-",19610.45432/16104.08716*100)</f>
        <v>121.77315066146228</v>
      </c>
      <c r="D14" s="45">
        <f>IF(16104.08716="","-",16104.08716/1159001.13914*100)</f>
        <v>1.389479838816166</v>
      </c>
      <c r="E14" s="45">
        <f>IF(19610.45432="","-",19610.45432/980549.57869*100)</f>
        <v>1.9999452089102199</v>
      </c>
      <c r="F14" s="45">
        <f>IF(OR(1100674.36139="",13011.89975="",16104.08716=""),"-",(16104.08716-13011.89975)/1100674.36139*100)</f>
        <v>0.28093571709029291</v>
      </c>
      <c r="G14" s="45">
        <f>IF(OR(1159001.13914="",19610.45432="",16104.08716=""),"-",(19610.45432-16104.08716)/1159001.13914*100)</f>
        <v>0.30253353871608701</v>
      </c>
    </row>
    <row r="15" spans="1:7" s="14" customFormat="1" x14ac:dyDescent="0.25">
      <c r="A15" s="44" t="s">
        <v>9</v>
      </c>
      <c r="B15" s="45">
        <f>IF(18694.06823="","-",18694.06823)</f>
        <v>18694.068230000001</v>
      </c>
      <c r="C15" s="45" t="s">
        <v>20</v>
      </c>
      <c r="D15" s="45">
        <f>IF(9301.76965="","-",9301.76965/1159001.13914*100)</f>
        <v>0.80256777460133311</v>
      </c>
      <c r="E15" s="45">
        <f>IF(18694.06823="","-",18694.06823/980549.57869*100)</f>
        <v>1.9064888340449857</v>
      </c>
      <c r="F15" s="45">
        <f>IF(OR(1100674.36139="",14674.85454="",9301.76965=""),"-",(9301.76965-14674.85454)/1100674.36139*100)</f>
        <v>-0.48816299156950788</v>
      </c>
      <c r="G15" s="45">
        <f>IF(OR(1159001.13914="",18694.06823="",9301.76965=""),"-",(18694.06823-9301.76965)/1159001.13914*100)</f>
        <v>0.81037871860671817</v>
      </c>
    </row>
    <row r="16" spans="1:7" s="14" customFormat="1" x14ac:dyDescent="0.25">
      <c r="A16" s="44" t="s">
        <v>6</v>
      </c>
      <c r="B16" s="45">
        <f>IF(16632.85304="","-",16632.85304)</f>
        <v>16632.853040000002</v>
      </c>
      <c r="C16" s="45">
        <f>IF(OR(16729.73418="",16632.85304=""),"-",16632.85304/16729.73418*100)</f>
        <v>99.420904486839873</v>
      </c>
      <c r="D16" s="45">
        <f>IF(16729.73418="","-",16729.73418/1159001.13914*100)</f>
        <v>1.4434614095732266</v>
      </c>
      <c r="E16" s="45">
        <f>IF(16632.85304="","-",16632.85304/980549.57869*100)</f>
        <v>1.6962786381715906</v>
      </c>
      <c r="F16" s="45">
        <f>IF(OR(1100674.36139="",24427.6626="",16729.73418=""),"-",(16729.73418-24427.6626)/1100674.36139*100)</f>
        <v>-0.69938291378737827</v>
      </c>
      <c r="G16" s="45">
        <f>IF(OR(1159001.13914="",16632.85304="",16729.73418=""),"-",(16632.85304-16729.73418)/1159001.13914*100)</f>
        <v>-8.3590202570366107E-3</v>
      </c>
    </row>
    <row r="17" spans="1:7" s="14" customFormat="1" x14ac:dyDescent="0.25">
      <c r="A17" s="44" t="s">
        <v>128</v>
      </c>
      <c r="B17" s="45">
        <f>IF(16232.30677="","-",16232.30677)</f>
        <v>16232.306769999999</v>
      </c>
      <c r="C17" s="45">
        <f>IF(OR(15946.77018="",16232.30677=""),"-",16232.30677/15946.77018*100)</f>
        <v>101.79056063878133</v>
      </c>
      <c r="D17" s="45">
        <f>IF(15946.77018="","-",15946.77018/1159001.13914*100)</f>
        <v>1.3759063422347275</v>
      </c>
      <c r="E17" s="45">
        <f>IF(16232.30677="","-",16232.30677/980549.57869*100)</f>
        <v>1.6554294777920486</v>
      </c>
      <c r="F17" s="45">
        <f>IF(OR(1100674.36139="",22340.00474="",15946.77018=""),"-",(15946.77018-22340.00474)/1100674.36139*100)</f>
        <v>-0.58084705015988813</v>
      </c>
      <c r="G17" s="45">
        <f>IF(OR(1159001.13914="",16232.30677="",15946.77018=""),"-",(16232.30677-15946.77018)/1159001.13914*100)</f>
        <v>2.4636437390551061E-2</v>
      </c>
    </row>
    <row r="18" spans="1:7" s="14" customFormat="1" x14ac:dyDescent="0.25">
      <c r="A18" s="44" t="s">
        <v>10</v>
      </c>
      <c r="B18" s="45">
        <f>IF(14918.85803="","-",14918.85803)</f>
        <v>14918.858029999999</v>
      </c>
      <c r="C18" s="45">
        <f>IF(OR(16196.57923="",14918.85803=""),"-",14918.85803/16196.57923*100)</f>
        <v>92.111166303355276</v>
      </c>
      <c r="D18" s="45">
        <f>IF(16196.57923="","-",16196.57923/1159001.13914*100)</f>
        <v>1.3974601648811282</v>
      </c>
      <c r="E18" s="45">
        <f>IF(14918.85803="","-",14918.85803/980549.57869*100)</f>
        <v>1.5214792147411227</v>
      </c>
      <c r="F18" s="45">
        <f>IF(OR(1100674.36139="",16586.3295="",16196.57923=""),"-",(16196.57923-16586.3295)/1100674.36139*100)</f>
        <v>-3.5410134338715732E-2</v>
      </c>
      <c r="G18" s="45">
        <f>IF(OR(1159001.13914="",14918.85803="",16196.57923=""),"-",(14918.85803-16196.57923)/1159001.13914*100)</f>
        <v>-0.1102433083843293</v>
      </c>
    </row>
    <row r="19" spans="1:7" s="16" customFormat="1" x14ac:dyDescent="0.25">
      <c r="A19" s="44" t="s">
        <v>52</v>
      </c>
      <c r="B19" s="45">
        <f>IF(8935.86811999999="","-",8935.86811999999)</f>
        <v>8935.8681199999901</v>
      </c>
      <c r="C19" s="45" t="s">
        <v>204</v>
      </c>
      <c r="D19" s="45">
        <f>IF(34.85182="","-",34.85182/1159001.13914*100)</f>
        <v>3.0070565785518277E-3</v>
      </c>
      <c r="E19" s="45">
        <f>IF(8935.86811999999="","-",8935.86811999999/980549.57869*100)</f>
        <v>0.91131221859665468</v>
      </c>
      <c r="F19" s="45">
        <f>IF(OR(1100674.36139="",9225.32515="",34.85182=""),"-",(34.85182-9225.32515)/1100674.36139*100)</f>
        <v>-0.83498568263130069</v>
      </c>
      <c r="G19" s="45">
        <f>IF(OR(1159001.13914="",8935.86811999999="",34.85182=""),"-",(8935.86811999999-34.85182)/1159001.13914*100)</f>
        <v>0.76799029780114847</v>
      </c>
    </row>
    <row r="20" spans="1:7" s="14" customFormat="1" x14ac:dyDescent="0.25">
      <c r="A20" s="44" t="s">
        <v>8</v>
      </c>
      <c r="B20" s="45">
        <f>IF(8736.69613="","-",8736.69613)</f>
        <v>8736.6961300000003</v>
      </c>
      <c r="C20" s="45">
        <f>IF(OR(12387.04049="",8736.69613=""),"-",8736.69613/12387.04049*100)</f>
        <v>70.5309402762758</v>
      </c>
      <c r="D20" s="45">
        <f>IF(12387.04049="","-",12387.04049/1159001.13914*100)</f>
        <v>1.0687686208135574</v>
      </c>
      <c r="E20" s="45">
        <f>IF(8736.69613="","-",8736.69613/980549.57869*100)</f>
        <v>0.89099993716504367</v>
      </c>
      <c r="F20" s="45">
        <f>IF(OR(1100674.36139="",18577.92382="",12387.04049=""),"-",(12387.04049-18577.92382)/1100674.36139*100)</f>
        <v>-0.56246275439556603</v>
      </c>
      <c r="G20" s="45">
        <f>IF(OR(1159001.13914="",8736.69613="",12387.04049=""),"-",(8736.69613-12387.04049)/1159001.13914*100)</f>
        <v>-0.31495606317597075</v>
      </c>
    </row>
    <row r="21" spans="1:7" s="14" customFormat="1" x14ac:dyDescent="0.25">
      <c r="A21" s="44" t="s">
        <v>48</v>
      </c>
      <c r="B21" s="45">
        <f>IF(7370.7916="","-",7370.7916)</f>
        <v>7370.7915999999996</v>
      </c>
      <c r="C21" s="45" t="s">
        <v>106</v>
      </c>
      <c r="D21" s="45">
        <f>IF(4394.11792="","-",4394.11792/1159001.13914*100)</f>
        <v>0.37912973262998817</v>
      </c>
      <c r="E21" s="45">
        <f>IF(7370.7916="","-",7370.7916/980549.57869*100)</f>
        <v>0.75170004252587308</v>
      </c>
      <c r="F21" s="45">
        <f>IF(OR(1100674.36139="",1331.79005="",4394.11792=""),"-",(4394.11792-1331.79005)/1100674.36139*100)</f>
        <v>0.27822287657656541</v>
      </c>
      <c r="G21" s="45">
        <f>IF(OR(1159001.13914="",7370.7916="",4394.11792=""),"-",(7370.7916-4394.11792)/1159001.13914*100)</f>
        <v>0.2568309537822151</v>
      </c>
    </row>
    <row r="22" spans="1:7" s="14" customFormat="1" x14ac:dyDescent="0.25">
      <c r="A22" s="44" t="s">
        <v>43</v>
      </c>
      <c r="B22" s="45">
        <f>IF(6138.07957="","-",6138.07957)</f>
        <v>6138.0795699999999</v>
      </c>
      <c r="C22" s="45" t="s">
        <v>108</v>
      </c>
      <c r="D22" s="45">
        <f>IF(3201.3501="","-",3201.3501/1159001.13914*100)</f>
        <v>0.27621630315009527</v>
      </c>
      <c r="E22" s="45">
        <f>IF(6138.07957="","-",6138.07957/980549.57869*100)</f>
        <v>0.62598360178792645</v>
      </c>
      <c r="F22" s="45">
        <f>IF(OR(1100674.36139="",3313.31876="",3201.3501=""),"-",(3201.3501-3313.31876)/1100674.36139*100)</f>
        <v>-1.0172732638070994E-2</v>
      </c>
      <c r="G22" s="45">
        <f>IF(OR(1159001.13914="",6138.07957="",3201.3501=""),"-",(6138.07957-3201.3501)/1159001.13914*100)</f>
        <v>0.25338451972351866</v>
      </c>
    </row>
    <row r="23" spans="1:7" s="14" customFormat="1" x14ac:dyDescent="0.25">
      <c r="A23" s="44" t="s">
        <v>42</v>
      </c>
      <c r="B23" s="45">
        <f>IF(4441.92439="","-",4441.92439)</f>
        <v>4441.9243900000001</v>
      </c>
      <c r="C23" s="45">
        <f>IF(OR(6400.16314="",4441.92439=""),"-",4441.92439/6400.16314*100)</f>
        <v>69.403299460269693</v>
      </c>
      <c r="D23" s="45">
        <f>IF(6400.16314="","-",6400.16314/1159001.13914*100)</f>
        <v>0.55221370573880857</v>
      </c>
      <c r="E23" s="45">
        <f>IF(4441.92439="","-",4441.92439/980549.57869*100)</f>
        <v>0.45300354888065397</v>
      </c>
      <c r="F23" s="45">
        <f>IF(OR(1100674.36139="",6372.6917="",6400.16314=""),"-",(6400.16314-6372.6917)/1100674.36139*100)</f>
        <v>2.4958735265993392E-3</v>
      </c>
      <c r="G23" s="45">
        <f>IF(OR(1159001.13914="",4441.92439="",6400.16314=""),"-",(4441.92439-6400.16314)/1159001.13914*100)</f>
        <v>-0.16895917388425075</v>
      </c>
    </row>
    <row r="24" spans="1:7" s="14" customFormat="1" x14ac:dyDescent="0.25">
      <c r="A24" s="44" t="s">
        <v>45</v>
      </c>
      <c r="B24" s="45">
        <f>IF(4281.28784="","-",4281.28784)</f>
        <v>4281.28784</v>
      </c>
      <c r="C24" s="45">
        <f>IF(OR(4640.72004="",4281.28784=""),"-",4281.28784/4640.72004*100)</f>
        <v>92.254818284621194</v>
      </c>
      <c r="D24" s="45">
        <f>IF(4640.72004="","-",4640.72004/1159001.13914*100)</f>
        <v>0.40040685753281474</v>
      </c>
      <c r="E24" s="45">
        <f>IF(4281.28784="","-",4281.28784/980549.57869*100)</f>
        <v>0.43662125129049956</v>
      </c>
      <c r="F24" s="45">
        <f>IF(OR(1100674.36139="",9625.89369="",4640.72004=""),"-",(4640.72004-9625.89369)/1100674.36139*100)</f>
        <v>-0.45291993934558566</v>
      </c>
      <c r="G24" s="45">
        <f>IF(OR(1159001.13914="",4281.28784="",4640.72004=""),"-",(4281.28784-4640.72004)/1159001.13914*100)</f>
        <v>-3.1012238716754445E-2</v>
      </c>
    </row>
    <row r="25" spans="1:7" s="14" customFormat="1" x14ac:dyDescent="0.25">
      <c r="A25" s="44" t="s">
        <v>44</v>
      </c>
      <c r="B25" s="45">
        <f>IF(2915.60215="","-",2915.60215)</f>
        <v>2915.6021500000002</v>
      </c>
      <c r="C25" s="45">
        <f>IF(OR(3564.13484="",2915.60215=""),"-",2915.60215/3564.13484*100)</f>
        <v>81.803923838077907</v>
      </c>
      <c r="D25" s="45">
        <f>IF(3564.13484="","-",3564.13484/1159001.13914*100)</f>
        <v>0.30751780301481435</v>
      </c>
      <c r="E25" s="45">
        <f>IF(2915.60215="","-",2915.60215/980549.57869*100)</f>
        <v>0.29734367474770651</v>
      </c>
      <c r="F25" s="45">
        <f>IF(OR(1100674.36139="",4831.66173="",3564.13484=""),"-",(3564.13484-4831.66173)/1100674.36139*100)</f>
        <v>-0.1151591183062798</v>
      </c>
      <c r="G25" s="45">
        <f>IF(OR(1159001.13914="",2915.60215="",3564.13484=""),"-",(2915.60215-3564.13484)/1159001.13914*100)</f>
        <v>-5.5956173648045171E-2</v>
      </c>
    </row>
    <row r="26" spans="1:7" s="9" customFormat="1" x14ac:dyDescent="0.25">
      <c r="A26" s="44" t="s">
        <v>47</v>
      </c>
      <c r="B26" s="45">
        <f>IF(2732.0687="","-",2732.0687)</f>
        <v>2732.0686999999998</v>
      </c>
      <c r="C26" s="45" t="s">
        <v>108</v>
      </c>
      <c r="D26" s="45">
        <f>IF(1439.1205="","-",1439.1205/1159001.13914*100)</f>
        <v>0.12416903240214704</v>
      </c>
      <c r="E26" s="45">
        <f>IF(2732.0687="","-",2732.0687/980549.57869*100)</f>
        <v>0.27862626830659637</v>
      </c>
      <c r="F26" s="45">
        <f>IF(OR(1100674.36139="",1578.8191="",1439.1205=""),"-",(1439.1205-1578.8191)/1100674.36139*100)</f>
        <v>-1.2692091766685641E-2</v>
      </c>
      <c r="G26" s="45">
        <f>IF(OR(1159001.13914="",2732.0687="",1439.1205=""),"-",(2732.0687-1439.1205)/1159001.13914*100)</f>
        <v>0.11155711209735228</v>
      </c>
    </row>
    <row r="27" spans="1:7" s="9" customFormat="1" x14ac:dyDescent="0.25">
      <c r="A27" s="44" t="s">
        <v>46</v>
      </c>
      <c r="B27" s="45">
        <f>IF(1771.86384="","-",1771.86384)</f>
        <v>1771.86384</v>
      </c>
      <c r="C27" s="45">
        <f>IF(OR(3205.63908="",1771.86384=""),"-",1771.86384/3205.63908*100)</f>
        <v>55.273341626469062</v>
      </c>
      <c r="D27" s="45">
        <f>IF(3205.63908="","-",3205.63908/1159001.13914*100)</f>
        <v>0.27658636145764637</v>
      </c>
      <c r="E27" s="45">
        <f>IF(1771.86384="","-",1771.86384/980549.57869*100)</f>
        <v>0.18070109645727292</v>
      </c>
      <c r="F27" s="45">
        <f>IF(OR(1100674.36139="",2734.93688="",3205.63908=""),"-",(3205.63908-2734.93688)/1100674.36139*100)</f>
        <v>4.2764891825550273E-2</v>
      </c>
      <c r="G27" s="45">
        <f>IF(OR(1159001.13914="",1771.86384="",3205.63908=""),"-",(1771.86384-3205.63908)/1159001.13914*100)</f>
        <v>-0.12370783699694095</v>
      </c>
    </row>
    <row r="28" spans="1:7" s="14" customFormat="1" x14ac:dyDescent="0.25">
      <c r="A28" s="44" t="s">
        <v>50</v>
      </c>
      <c r="B28" s="45">
        <f>IF(579.09813="","-",579.09813)</f>
        <v>579.09812999999997</v>
      </c>
      <c r="C28" s="45">
        <f>IF(OR(464.98534="",579.09813=""),"-",579.09813/464.98534*100)</f>
        <v>124.54115865244266</v>
      </c>
      <c r="D28" s="45">
        <f>IF(464.98534="","-",464.98534/1159001.13914*100)</f>
        <v>4.0119489472204277E-2</v>
      </c>
      <c r="E28" s="45">
        <f>IF(579.09813="","-",579.09813/980549.57869*100)</f>
        <v>5.9058526216865713E-2</v>
      </c>
      <c r="F28" s="45">
        <f>IF(OR(1100674.36139="",31.64438="",464.98534=""),"-",(464.98534-31.64438)/1100674.36139*100)</f>
        <v>3.9370496415738268E-2</v>
      </c>
      <c r="G28" s="45">
        <f>IF(OR(1159001.13914="",579.09813="",464.98534=""),"-",(579.09813-464.98534)/1159001.13914*100)</f>
        <v>9.8457875619236863E-3</v>
      </c>
    </row>
    <row r="29" spans="1:7" s="14" customFormat="1" x14ac:dyDescent="0.25">
      <c r="A29" s="44" t="s">
        <v>129</v>
      </c>
      <c r="B29" s="45">
        <f>IF(433.31345="","-",433.31345)</f>
        <v>433.31344999999999</v>
      </c>
      <c r="C29" s="45" t="s">
        <v>105</v>
      </c>
      <c r="D29" s="45">
        <f>IF(245.30323="","-",245.30323/1159001.13914*100)</f>
        <v>2.116505512514159E-2</v>
      </c>
      <c r="E29" s="45">
        <f>IF(433.31345="","-",433.31345/980549.57869*100)</f>
        <v>4.4190876159357538E-2</v>
      </c>
      <c r="F29" s="45">
        <f>IF(OR(1100674.36139="",344.94919="",245.30323=""),"-",(245.30323-344.94919)/1100674.36139*100)</f>
        <v>-9.0531735357368432E-3</v>
      </c>
      <c r="G29" s="45">
        <f>IF(OR(1159001.13914="",433.31345="",245.30323=""),"-",(433.31345-245.30323)/1159001.13914*100)</f>
        <v>1.6221745919896762E-2</v>
      </c>
    </row>
    <row r="30" spans="1:7" s="9" customFormat="1" x14ac:dyDescent="0.25">
      <c r="A30" s="44" t="s">
        <v>49</v>
      </c>
      <c r="B30" s="45">
        <f>IF(413.06221="","-",413.06221)</f>
        <v>413.06220999999999</v>
      </c>
      <c r="C30" s="45" t="s">
        <v>108</v>
      </c>
      <c r="D30" s="45">
        <f>IF(222.971="","-",222.971/1159001.13914*100)</f>
        <v>1.9238203697146364E-2</v>
      </c>
      <c r="E30" s="45">
        <f>IF(413.06221="","-",413.06221/980549.57869*100)</f>
        <v>4.2125581304297242E-2</v>
      </c>
      <c r="F30" s="45">
        <f>IF(OR(1100674.36139="",996.46242="",222.971=""),"-",(222.971-996.46242)/1100674.36139*100)</f>
        <v>-7.0274319738236377E-2</v>
      </c>
      <c r="G30" s="45">
        <f>IF(OR(1159001.13914="",413.06221="",222.971=""),"-",(413.06221-222.971)/1159001.13914*100)</f>
        <v>1.6401296217970165E-2</v>
      </c>
    </row>
    <row r="31" spans="1:7" s="9" customFormat="1" x14ac:dyDescent="0.25">
      <c r="A31" s="44" t="s">
        <v>51</v>
      </c>
      <c r="B31" s="45">
        <f>IF(187.89882="","-",187.89882)</f>
        <v>187.89882</v>
      </c>
      <c r="C31" s="45">
        <f>IF(OR(402.14994="",187.89882=""),"-",187.89882/402.14994*100)</f>
        <v>46.723572804710599</v>
      </c>
      <c r="D31" s="45">
        <f>IF(402.14994="","-",402.14994/1159001.13914*100)</f>
        <v>3.4697976250342821E-2</v>
      </c>
      <c r="E31" s="45">
        <f>IF(187.89882="","-",187.89882/980549.57869*100)</f>
        <v>1.9162602695830037E-2</v>
      </c>
      <c r="F31" s="45">
        <f>IF(OR(1100674.36139="",510.55984="",402.14994=""),"-",(402.14994-510.55984)/1100674.36139*100)</f>
        <v>-9.8494072182342129E-3</v>
      </c>
      <c r="G31" s="45">
        <f>IF(OR(1159001.13914="",187.89882="",402.14994=""),"-",(187.89882-402.14994)/1159001.13914*100)</f>
        <v>-1.8485842055252701E-2</v>
      </c>
    </row>
    <row r="32" spans="1:7" s="9" customFormat="1" x14ac:dyDescent="0.25">
      <c r="A32" s="44" t="s">
        <v>54</v>
      </c>
      <c r="B32" s="45">
        <f>IF(152.30003="","-",152.30003)</f>
        <v>152.30002999999999</v>
      </c>
      <c r="C32" s="45" t="s">
        <v>205</v>
      </c>
      <c r="D32" s="45">
        <f>IF(13.91265="","-",13.91265/1159001.13914*100)</f>
        <v>1.2004000281072577E-3</v>
      </c>
      <c r="E32" s="45">
        <f>IF(152.30003="","-",152.30003/980549.57869*100)</f>
        <v>1.5532109065150037E-2</v>
      </c>
      <c r="F32" s="45">
        <f>IF(OR(1100674.36139="",316.25774="",13.91265=""),"-",(13.91265-316.25774)/1100674.36139*100)</f>
        <v>-2.7469077195382281E-2</v>
      </c>
      <c r="G32" s="45">
        <f>IF(OR(1159001.13914="",152.30003="",13.91265=""),"-",(152.30003-13.91265)/1159001.13914*100)</f>
        <v>1.1940228126323151E-2</v>
      </c>
    </row>
    <row r="33" spans="1:7" s="9" customFormat="1" x14ac:dyDescent="0.25">
      <c r="A33" s="44" t="s">
        <v>53</v>
      </c>
      <c r="B33" s="45">
        <f>IF(77.7074="","-",77.7074)</f>
        <v>77.707400000000007</v>
      </c>
      <c r="C33" s="45" t="s">
        <v>175</v>
      </c>
      <c r="D33" s="45">
        <f>IF(31.8079="","-",31.8079/1159001.13914*100)</f>
        <v>2.7444235321116284E-3</v>
      </c>
      <c r="E33" s="45">
        <f>IF(77.7074="","-",77.7074/980549.57869*100)</f>
        <v>7.924882299558577E-3</v>
      </c>
      <c r="F33" s="45" t="str">
        <f>IF(OR(1100674.36139="",""="",31.8079=""),"-",(31.8079-"")/1100674.36139*100)</f>
        <v>-</v>
      </c>
      <c r="G33" s="45">
        <f>IF(OR(1159001.13914="",77.7074="",31.8079=""),"-",(77.7074-31.8079)/1159001.13914*100)</f>
        <v>3.9602635795559504E-3</v>
      </c>
    </row>
    <row r="34" spans="1:7" s="9" customFormat="1" x14ac:dyDescent="0.25">
      <c r="A34" s="44" t="s">
        <v>55</v>
      </c>
      <c r="B34" s="45">
        <f>IF(25.65794="","-",25.65794)</f>
        <v>25.65794</v>
      </c>
      <c r="C34" s="45">
        <f>IF(OR(39.75135="",25.65794=""),"-",25.65794/39.75135*100)</f>
        <v>64.546084598384695</v>
      </c>
      <c r="D34" s="45">
        <f>IF(39.75135="","-",39.75135/1159001.13914*100)</f>
        <v>3.42979386797637E-3</v>
      </c>
      <c r="E34" s="45">
        <f>IF(25.65794="","-",25.65794/980549.57869*100)</f>
        <v>2.6166897174417876E-3</v>
      </c>
      <c r="F34" s="45">
        <f>IF(OR(1100674.36139="",23.07654="",39.75135=""),"-",(39.75135-23.07654)/1100674.36139*100)</f>
        <v>1.5149630612765446E-3</v>
      </c>
      <c r="G34" s="45">
        <f>IF(OR(1159001.13914="",25.65794="",39.75135=""),"-",(25.65794-39.75135)/1159001.13914*100)</f>
        <v>-1.2159962164021312E-3</v>
      </c>
    </row>
    <row r="35" spans="1:7" s="9" customFormat="1" x14ac:dyDescent="0.25">
      <c r="A35" s="44" t="s">
        <v>56</v>
      </c>
      <c r="B35" s="45">
        <f>IF(2.36964="","-",2.36964)</f>
        <v>2.36964</v>
      </c>
      <c r="C35" s="45">
        <f>IF(OR(461.08919="",2.36964=""),"-",2.36964/461.08919*100)</f>
        <v>0.51392226306585065</v>
      </c>
      <c r="D35" s="45">
        <f>IF(461.08919="","-",461.08919/1159001.13914*100)</f>
        <v>3.9783325005369408E-2</v>
      </c>
      <c r="E35" s="45">
        <f>IF(2.36964="","-",2.36964/980549.57869*100)</f>
        <v>2.4166447587135824E-4</v>
      </c>
      <c r="F35" s="45">
        <f>IF(OR(1100674.36139="",573.68424="",461.08919=""),"-",(461.08919-573.68424)/1100674.36139*100)</f>
        <v>-1.0229642294729937E-2</v>
      </c>
      <c r="G35" s="45">
        <f>IF(OR(1159001.13914="",2.36964="",461.08919=""),"-",(2.36964-461.08919)/1159001.13914*100)</f>
        <v>-3.9578869641178974E-2</v>
      </c>
    </row>
    <row r="36" spans="1:7" s="9" customFormat="1" x14ac:dyDescent="0.25">
      <c r="A36" s="43" t="s">
        <v>181</v>
      </c>
      <c r="B36" s="40">
        <f>IF(161574.68278="","-",161574.68278)</f>
        <v>161574.68278</v>
      </c>
      <c r="C36" s="40">
        <f>IF(170234.04832="","-",161574.68278/170234.04832*100)</f>
        <v>94.913258760243764</v>
      </c>
      <c r="D36" s="40">
        <f>IF(170234.04832="","-",170234.04832/1159001.13914*100)</f>
        <v>14.687996635302426</v>
      </c>
      <c r="E36" s="40">
        <f>IF(161574.68278="","-",161574.68278/980549.57869*100)</f>
        <v>16.477971771285794</v>
      </c>
      <c r="F36" s="40">
        <f>IF(1100674.36139="","-",(170234.04832-177482.19654)/1100674.36139*100)</f>
        <v>-0.65851885664408416</v>
      </c>
      <c r="G36" s="40">
        <f>IF(1159001.13914="","-",(161574.68278-170234.04832)/1159001.13914*100)</f>
        <v>-0.7471403821419369</v>
      </c>
    </row>
    <row r="37" spans="1:7" s="9" customFormat="1" x14ac:dyDescent="0.25">
      <c r="A37" s="44" t="s">
        <v>130</v>
      </c>
      <c r="B37" s="45">
        <f>IF(101863.15975="","-",101863.15975)</f>
        <v>101863.15975000001</v>
      </c>
      <c r="C37" s="45">
        <f>IF(OR(95851.64695="",101863.15975=""),"-",101863.15975/95851.64695*100)</f>
        <v>106.27168441157391</v>
      </c>
      <c r="D37" s="45">
        <f>IF(95851.64695="","-",95851.64695/1159001.13914*100)</f>
        <v>8.270194369362196</v>
      </c>
      <c r="E37" s="45">
        <f>IF(101863.15975="","-",101863.15975/980549.57869*100)</f>
        <v>10.388374230509354</v>
      </c>
      <c r="F37" s="45">
        <f>IF(OR(1100674.36139="",90350.70814="",95851.64695=""),"-",(95851.64695-90350.70814)/1100674.36139*100)</f>
        <v>0.49977895397264138</v>
      </c>
      <c r="G37" s="45">
        <f>IF(OR(1159001.13914="",101863.15975="",95851.64695=""),"-",(101863.15975-95851.64695)/1159001.13914*100)</f>
        <v>0.51868049107015224</v>
      </c>
    </row>
    <row r="38" spans="1:7" s="9" customFormat="1" ht="14.25" customHeight="1" x14ac:dyDescent="0.25">
      <c r="A38" s="44" t="s">
        <v>11</v>
      </c>
      <c r="B38" s="45">
        <f>IF(28123.06695="","-",28123.06695)</f>
        <v>28123.06695</v>
      </c>
      <c r="C38" s="45">
        <f>IF(OR(36042.27729="",28123.06695=""),"-",28123.06695/36042.27729*100)</f>
        <v>78.027996743154745</v>
      </c>
      <c r="D38" s="45">
        <f>IF(36042.27729="","-",36042.27729/1159001.13914*100)</f>
        <v>3.1097706527487992</v>
      </c>
      <c r="E38" s="45">
        <f>IF(28123.06695="","-",28123.06695/980549.57869*100)</f>
        <v>2.8680922985630168</v>
      </c>
      <c r="F38" s="45">
        <f>IF(OR(1100674.36139="",42137.01116="",36042.27729=""),"-",(36042.27729-42137.01116)/1100674.36139*100)</f>
        <v>-0.55372724974743626</v>
      </c>
      <c r="G38" s="45">
        <f>IF(OR(1159001.13914="",28123.06695="",36042.27729=""),"-",(28123.06695-36042.27729)/1159001.13914*100)</f>
        <v>-0.68327890910238409</v>
      </c>
    </row>
    <row r="39" spans="1:7" s="15" customFormat="1" ht="14.25" customHeight="1" x14ac:dyDescent="0.2">
      <c r="A39" s="44" t="s">
        <v>12</v>
      </c>
      <c r="B39" s="45">
        <f>IF(23438.13669="","-",23438.13669)</f>
        <v>23438.136689999999</v>
      </c>
      <c r="C39" s="45">
        <f>IF(OR(31103.43507="",23438.13669=""),"-",23438.13669/31103.43507*100)</f>
        <v>75.355460376807827</v>
      </c>
      <c r="D39" s="45">
        <f>IF(31103.43507="","-",31103.43507/1159001.13914*100)</f>
        <v>2.683641458116194</v>
      </c>
      <c r="E39" s="45">
        <f>IF(23438.13669="","-",23438.13669/980549.57869*100)</f>
        <v>2.3903061302940962</v>
      </c>
      <c r="F39" s="45">
        <f>IF(OR(1100674.36139="",34340.53792="",31103.43507=""),"-",(31103.43507-34340.53792)/1100674.36139*100)</f>
        <v>-0.29410177647019853</v>
      </c>
      <c r="G39" s="45">
        <f>IF(OR(1159001.13914="",23438.13669="",31103.43507=""),"-",(23438.13669-31103.43507)/1159001.13914*100)</f>
        <v>-0.66137108248985765</v>
      </c>
    </row>
    <row r="40" spans="1:7" s="15" customFormat="1" ht="14.25" customHeight="1" x14ac:dyDescent="0.2">
      <c r="A40" s="44" t="s">
        <v>13</v>
      </c>
      <c r="B40" s="45">
        <f>IF(4956.5834="","-",4956.5834)</f>
        <v>4956.5834000000004</v>
      </c>
      <c r="C40" s="45" t="s">
        <v>131</v>
      </c>
      <c r="D40" s="45">
        <f>IF(3248.6604="","-",3248.6604/1159001.13914*100)</f>
        <v>0.28029829223555081</v>
      </c>
      <c r="E40" s="45">
        <f>IF(4956.5834="","-",4956.5834/980549.57869*100)</f>
        <v>0.50549034008274463</v>
      </c>
      <c r="F40" s="45">
        <f>IF(OR(1100674.36139="",6014.58794="",3248.6604=""),"-",(3248.6604-6014.58794)/1100674.36139*100)</f>
        <v>-0.25129390099602344</v>
      </c>
      <c r="G40" s="45">
        <f>IF(OR(1159001.13914="",4956.5834="",3248.6604=""),"-",(4956.5834-3248.6604)/1159001.13914*100)</f>
        <v>0.14736163255778248</v>
      </c>
    </row>
    <row r="41" spans="1:7" s="15" customFormat="1" ht="14.25" customHeight="1" x14ac:dyDescent="0.2">
      <c r="A41" s="44" t="s">
        <v>15</v>
      </c>
      <c r="B41" s="45">
        <f>IF(1289.87151="","-",1289.87151)</f>
        <v>1289.8715099999999</v>
      </c>
      <c r="C41" s="45">
        <f>IF(OR(1216.46746="",1289.87151=""),"-",1289.87151/1216.46746*100)</f>
        <v>106.03419757730303</v>
      </c>
      <c r="D41" s="45">
        <f>IF(1216.46746="","-",1216.46746/1159001.13914*100)</f>
        <v>0.10495826267285992</v>
      </c>
      <c r="E41" s="45">
        <f>IF(1289.87151="","-",1289.87151/980549.57869*100)</f>
        <v>0.13154577168073944</v>
      </c>
      <c r="F41" s="45">
        <f>IF(OR(1100674.36139="",1250.10496="",1216.46746=""),"-",(1216.46746-1250.10496)/1100674.36139*100)</f>
        <v>-3.0560809972461152E-3</v>
      </c>
      <c r="G41" s="45">
        <f>IF(OR(1159001.13914="",1289.87151="",1216.46746=""),"-",(1289.87151-1216.46746)/1159001.13914*100)</f>
        <v>6.3333889433850772E-3</v>
      </c>
    </row>
    <row r="42" spans="1:7" s="13" customFormat="1" ht="14.25" customHeight="1" x14ac:dyDescent="0.2">
      <c r="A42" s="44" t="s">
        <v>14</v>
      </c>
      <c r="B42" s="45">
        <f>IF(1099.43921="","-",1099.43921)</f>
        <v>1099.43921</v>
      </c>
      <c r="C42" s="45">
        <f>IF(OR(1722.85805="",1099.43921=""),"-",1099.43921/1722.85805*100)</f>
        <v>63.814845918385444</v>
      </c>
      <c r="D42" s="45">
        <f>IF(1722.85805="","-",1722.85805/1159001.13914*100)</f>
        <v>0.14865024647675429</v>
      </c>
      <c r="E42" s="45">
        <f>IF(1099.43921="","-",1099.43921/980549.57869*100)</f>
        <v>0.1121247955120061</v>
      </c>
      <c r="F42" s="45">
        <f>IF(OR(1100674.36139="",1906.05453="",1722.85805=""),"-",(1722.85805-1906.05453)/1100674.36139*100)</f>
        <v>-1.6644021740330917E-2</v>
      </c>
      <c r="G42" s="45">
        <f>IF(OR(1159001.13914="",1099.43921="",1722.85805=""),"-",(1099.43921-1722.85805)/1159001.13914*100)</f>
        <v>-5.3789320730313353E-2</v>
      </c>
    </row>
    <row r="43" spans="1:7" s="15" customFormat="1" ht="14.25" customHeight="1" x14ac:dyDescent="0.2">
      <c r="A43" s="44" t="s">
        <v>17</v>
      </c>
      <c r="B43" s="45">
        <f>IF(368.99196="","-",368.99196)</f>
        <v>368.99196000000001</v>
      </c>
      <c r="C43" s="45">
        <f>IF(OR(462.33247="",368.99196=""),"-",368.99196/462.33247*100)</f>
        <v>79.810955090391985</v>
      </c>
      <c r="D43" s="45">
        <f>IF(462.33247="","-",462.33247/1159001.13914*100)</f>
        <v>3.9890596685958311E-2</v>
      </c>
      <c r="E43" s="45">
        <f>IF(368.99196="","-",368.99196/980549.57869*100)</f>
        <v>3.7631137478328011E-2</v>
      </c>
      <c r="F43" s="45">
        <f>IF(OR(1100674.36139="",746.14186="",462.33247=""),"-",(462.33247-746.14186)/1100674.36139*100)</f>
        <v>-2.5785045964147636E-2</v>
      </c>
      <c r="G43" s="45">
        <f>IF(OR(1159001.13914="",368.99196="",462.33247=""),"-",(368.99196-462.33247)/1159001.13914*100)</f>
        <v>-8.0535304796387295E-3</v>
      </c>
    </row>
    <row r="44" spans="1:7" s="13" customFormat="1" ht="14.25" customHeight="1" x14ac:dyDescent="0.2">
      <c r="A44" s="44" t="s">
        <v>132</v>
      </c>
      <c r="B44" s="45">
        <f>IF(290.25257="","-",290.25257)</f>
        <v>290.25256999999999</v>
      </c>
      <c r="C44" s="45">
        <f>IF(OR(299.1262="",290.25257=""),"-",290.25257/299.1262*100)</f>
        <v>97.033482857736971</v>
      </c>
      <c r="D44" s="45">
        <f>IF(299.1262="","-",299.1262/1159001.13914*100)</f>
        <v>2.5808965142342918E-2</v>
      </c>
      <c r="E44" s="45">
        <f>IF(290.25257="","-",290.25257/980549.57869*100)</f>
        <v>2.9601009098160363E-2</v>
      </c>
      <c r="F44" s="45">
        <f>IF(OR(1100674.36139="",355.23328="",299.1262=""),"-",(299.1262-355.23328)/1100674.36139*100)</f>
        <v>-5.0975185729905158E-3</v>
      </c>
      <c r="G44" s="45">
        <f>IF(OR(1159001.13914="",290.25257="",299.1262=""),"-",(290.25257-299.1262)/1159001.13914*100)</f>
        <v>-7.6562737518829239E-4</v>
      </c>
    </row>
    <row r="45" spans="1:7" s="13" customFormat="1" ht="14.25" customHeight="1" x14ac:dyDescent="0.2">
      <c r="A45" s="44" t="s">
        <v>18</v>
      </c>
      <c r="B45" s="45">
        <f>IF(145.18074="","-",145.18074)</f>
        <v>145.18073999999999</v>
      </c>
      <c r="C45" s="45">
        <f>IF(OR(100.35466="",145.18074=""),"-",145.18074/100.35466*100)</f>
        <v>144.6676616711172</v>
      </c>
      <c r="D45" s="45">
        <f>IF(100.35466="","-",100.35466/1159001.13914*100)</f>
        <v>8.6587197036290219E-3</v>
      </c>
      <c r="E45" s="45">
        <f>IF(145.18074="","-",145.18074/980549.57869*100)</f>
        <v>1.4806058067350287E-2</v>
      </c>
      <c r="F45" s="45">
        <f>IF(OR(1100674.36139="",213.82839="",100.35466=""),"-",(100.35466-213.82839)/1100674.36139*100)</f>
        <v>-1.0309473353835402E-2</v>
      </c>
      <c r="G45" s="45">
        <f>IF(OR(1159001.13914="",145.18074="",100.35466=""),"-",(145.18074-100.35466)/1159001.13914*100)</f>
        <v>3.8676476222673736E-3</v>
      </c>
    </row>
    <row r="46" spans="1:7" s="13" customFormat="1" ht="14.25" customHeight="1" x14ac:dyDescent="0.2">
      <c r="A46" s="44" t="s">
        <v>16</v>
      </c>
      <c r="B46" s="45" t="str">
        <f>IF(""="","-","")</f>
        <v>-</v>
      </c>
      <c r="C46" s="45" t="str">
        <f>IF(OR(186.88977="",""=""),"-",""/186.88977*100)</f>
        <v>-</v>
      </c>
      <c r="D46" s="45">
        <f>IF(186.88977="","-",186.88977/1159001.13914*100)</f>
        <v>1.6125072158140897E-2</v>
      </c>
      <c r="E46" s="45" t="str">
        <f>IF(""="","-",""/980549.57869*100)</f>
        <v>-</v>
      </c>
      <c r="F46" s="45">
        <f>IF(OR(1100674.36139="",167.98836="",186.88977=""),"-",(186.88977-167.98836)/1100674.36139*100)</f>
        <v>1.7172572254822147E-3</v>
      </c>
      <c r="G46" s="45" t="str">
        <f>IF(OR(1159001.13914="",""="",186.88977=""),"-",(""-186.88977)/1159001.13914*100)</f>
        <v>-</v>
      </c>
    </row>
    <row r="47" spans="1:7" s="13" customFormat="1" ht="14.25" customHeight="1" x14ac:dyDescent="0.2">
      <c r="A47" s="43" t="s">
        <v>182</v>
      </c>
      <c r="B47" s="40">
        <f>IF(200702.75193="","-",200702.75193)</f>
        <v>200702.75193</v>
      </c>
      <c r="C47" s="40">
        <f>IF(268283.13866="","-",200702.75193/268283.13866*100)</f>
        <v>74.810050654862124</v>
      </c>
      <c r="D47" s="40">
        <f>IF(268283.13866="","-",268283.13866/1159001.13914*100)</f>
        <v>23.147789040058317</v>
      </c>
      <c r="E47" s="40">
        <f>IF(200702.75193="","-",200702.75193/980549.57869*100)</f>
        <v>20.468394081422783</v>
      </c>
      <c r="F47" s="40">
        <f>IF(1100674.36139="","-",(268283.13866-213530.51662)/1100674.36139*100)</f>
        <v>4.9744614720429192</v>
      </c>
      <c r="G47" s="40">
        <f>IF(1159001.13914="","-",(200702.75193-268283.13866)/1159001.13914*100)</f>
        <v>-5.830916333710066</v>
      </c>
    </row>
    <row r="48" spans="1:7" s="9" customFormat="1" x14ac:dyDescent="0.25">
      <c r="A48" s="44" t="s">
        <v>57</v>
      </c>
      <c r="B48" s="45">
        <f>IF(70549.61954="","-",70549.61954)</f>
        <v>70549.61954</v>
      </c>
      <c r="C48" s="45">
        <f>IF(OR(111668.89219="",70549.61954=""),"-",70549.61954/111668.89219*100)</f>
        <v>63.177504635725001</v>
      </c>
      <c r="D48" s="45">
        <f>IF(111668.89219="","-",111668.89219/1159001.13914*100)</f>
        <v>9.6349251453592473</v>
      </c>
      <c r="E48" s="45">
        <f>IF(70549.61954="","-",70549.61954/980549.57869*100)</f>
        <v>7.1949059051407955</v>
      </c>
      <c r="F48" s="45">
        <f>IF(OR(1100674.36139="",44790.53034="",111668.89219=""),"-",(111668.89219-44790.53034)/1100674.36139*100)</f>
        <v>6.076126072886975</v>
      </c>
      <c r="G48" s="45">
        <f>IF(OR(1159001.13914="",70549.61954="",111668.89219=""),"-",(70549.61954-111668.89219)/1159001.13914*100)</f>
        <v>-3.5478198650012756</v>
      </c>
    </row>
    <row r="49" spans="1:7" s="9" customFormat="1" x14ac:dyDescent="0.25">
      <c r="A49" s="44" t="s">
        <v>133</v>
      </c>
      <c r="B49" s="45">
        <f>IF(37243.49189="","-",37243.49189)</f>
        <v>37243.491889999998</v>
      </c>
      <c r="C49" s="45">
        <f>IF(OR(31858.75916="",37243.49189=""),"-",37243.49189/31858.75916*100)</f>
        <v>116.90189094608792</v>
      </c>
      <c r="D49" s="45">
        <f>IF(31858.75916="","-",31858.75916/1159001.13914*100)</f>
        <v>2.7488117210686935</v>
      </c>
      <c r="E49" s="45">
        <f>IF(37243.49189="","-",37243.49189/980549.57869*100)</f>
        <v>3.7982262905825488</v>
      </c>
      <c r="F49" s="45">
        <f>IF(OR(1100674.36139="",27050.69669="",31858.75916=""),"-",(31858.75916-27050.69669)/1100674.36139*100)</f>
        <v>0.43682878775590639</v>
      </c>
      <c r="G49" s="45">
        <f>IF(OR(1159001.13914="",37243.49189="",31858.75916=""),"-",(37243.49189-31858.75916)/1159001.13914*100)</f>
        <v>0.46460115940831304</v>
      </c>
    </row>
    <row r="50" spans="1:7" s="14" customFormat="1" ht="25.5" x14ac:dyDescent="0.25">
      <c r="A50" s="44" t="s">
        <v>127</v>
      </c>
      <c r="B50" s="45">
        <f>IF(15356.87255="","-",15356.87255)</f>
        <v>15356.87255</v>
      </c>
      <c r="C50" s="45">
        <f>IF(OR(21459.80052="",15356.87255=""),"-",15356.87255/21459.80052*100)</f>
        <v>71.561115098380242</v>
      </c>
      <c r="D50" s="45">
        <f>IF(21459.80052="","-",21459.80052/1159001.13914*100)</f>
        <v>1.851577172385142</v>
      </c>
      <c r="E50" s="45">
        <f>IF(15356.87255="","-",15356.87255/980549.57869*100)</f>
        <v>1.5661495230579323</v>
      </c>
      <c r="F50" s="45">
        <f>IF(OR(1100674.36139="",37004.73447="",21459.80052=""),"-",(21459.80052-37004.73447)/1100674.36139*100)</f>
        <v>-1.4123099887934969</v>
      </c>
      <c r="G50" s="45">
        <f>IF(OR(1159001.13914="",15356.87255="",21459.80052=""),"-",(15356.87255-21459.80052)/1159001.13914*100)</f>
        <v>-0.52656790091927641</v>
      </c>
    </row>
    <row r="51" spans="1:7" s="16" customFormat="1" x14ac:dyDescent="0.25">
      <c r="A51" s="44" t="s">
        <v>19</v>
      </c>
      <c r="B51" s="45">
        <f>IF(8723.93296="","-",8723.93296)</f>
        <v>8723.9329600000001</v>
      </c>
      <c r="C51" s="45">
        <f>IF(OR(9136.1493="",8723.93296=""),"-",8723.93296/9136.1493*100)</f>
        <v>95.488073514735589</v>
      </c>
      <c r="D51" s="45">
        <f>IF(9136.1493="","-",9136.1493/1159001.13914*100)</f>
        <v>0.78827785335734768</v>
      </c>
      <c r="E51" s="45">
        <f>IF(8723.93296="","-",8723.93296/980549.57869*100)</f>
        <v>0.88969830282881246</v>
      </c>
      <c r="F51" s="45">
        <f>IF(OR(1100674.36139="",9022.0032="",9136.1493=""),"-",(9136.1493-9022.0032)/1100674.36139*100)</f>
        <v>1.0370560449491088E-2</v>
      </c>
      <c r="G51" s="45">
        <f>IF(OR(1159001.13914="",8723.93296="",9136.1493=""),"-",(8723.93296-9136.1493)/1159001.13914*100)</f>
        <v>-3.5566517243103925E-2</v>
      </c>
    </row>
    <row r="52" spans="1:7" s="9" customFormat="1" x14ac:dyDescent="0.25">
      <c r="A52" s="44" t="s">
        <v>59</v>
      </c>
      <c r="B52" s="45">
        <f>IF(7717.01443="","-",7717.01443)</f>
        <v>7717.0144300000002</v>
      </c>
      <c r="C52" s="45">
        <f>IF(OR(7414.5747="",7717.01443=""),"-",7717.01443/7414.5747*100)</f>
        <v>104.0789895878991</v>
      </c>
      <c r="D52" s="45">
        <f>IF(7414.5747="","-",7414.5747/1159001.13914*100)</f>
        <v>0.63973834447667144</v>
      </c>
      <c r="E52" s="45">
        <f>IF(7717.01443="","-",7717.01443/980549.57869*100)</f>
        <v>0.78700910160094295</v>
      </c>
      <c r="F52" s="45">
        <f>IF(OR(1100674.36139="",9533.33172="",7414.5747=""),"-",(7414.5747-9533.33172)/1100674.36139*100)</f>
        <v>-0.19249626359283067</v>
      </c>
      <c r="G52" s="45">
        <f>IF(OR(1159001.13914="",7717.01443="",7414.5747=""),"-",(7717.01443-7414.5747)/1159001.13914*100)</f>
        <v>2.6094860461001429E-2</v>
      </c>
    </row>
    <row r="53" spans="1:7" s="16" customFormat="1" x14ac:dyDescent="0.25">
      <c r="A53" s="44" t="s">
        <v>61</v>
      </c>
      <c r="B53" s="45">
        <f>IF(6694.77909="","-",6694.77909)</f>
        <v>6694.77909</v>
      </c>
      <c r="C53" s="45">
        <f>IF(OR(6018.36402="",6694.77909=""),"-",6694.77909/6018.36402*100)</f>
        <v>111.23918506345186</v>
      </c>
      <c r="D53" s="45">
        <f>IF(6018.36402="","-",6018.36402/1159001.13914*100)</f>
        <v>0.51927162249950298</v>
      </c>
      <c r="E53" s="45">
        <f>IF(6694.77909="","-",6694.77909/980549.57869*100)</f>
        <v>0.68275783657406985</v>
      </c>
      <c r="F53" s="45">
        <f>IF(OR(1100674.36139="",6326.14391="",6018.36402=""),"-",(6018.36402-6326.14391)/1100674.36139*100)</f>
        <v>-2.7962847214076672E-2</v>
      </c>
      <c r="G53" s="45">
        <f>IF(OR(1159001.13914="",6694.77909="",6018.36402=""),"-",(6694.77909-6018.36402)/1159001.13914*100)</f>
        <v>5.8361898634708184E-2</v>
      </c>
    </row>
    <row r="54" spans="1:7" s="14" customFormat="1" x14ac:dyDescent="0.25">
      <c r="A54" s="44" t="s">
        <v>66</v>
      </c>
      <c r="B54" s="45">
        <f>IF(4398.10823="","-",4398.10823)</f>
        <v>4398.1082299999998</v>
      </c>
      <c r="C54" s="45">
        <f>IF(OR(5351.71707="",4398.10823=""),"-",4398.10823/5351.71707*100)</f>
        <v>82.181254585642733</v>
      </c>
      <c r="D54" s="45">
        <f>IF(5351.71707="","-",5351.71707/1159001.13914*100)</f>
        <v>0.46175252890355833</v>
      </c>
      <c r="E54" s="45">
        <f>IF(4398.10823="","-",4398.10823/980549.57869*100)</f>
        <v>0.4485350180738244</v>
      </c>
      <c r="F54" s="45">
        <f>IF(OR(1100674.36139="",2455.12395="",5351.71707=""),"-",(5351.71707-2455.12395)/1100674.36139*100)</f>
        <v>0.26316531224930156</v>
      </c>
      <c r="G54" s="45">
        <f>IF(OR(1159001.13914="",4398.10823="",5351.71707=""),"-",(4398.10823-5351.71707)/1159001.13914*100)</f>
        <v>-8.2278507569681511E-2</v>
      </c>
    </row>
    <row r="55" spans="1:7" s="9" customFormat="1" x14ac:dyDescent="0.25">
      <c r="A55" s="44" t="s">
        <v>60</v>
      </c>
      <c r="B55" s="45">
        <f>IF(4237.61866="","-",4237.61866)</f>
        <v>4237.6186600000001</v>
      </c>
      <c r="C55" s="45">
        <f>IF(OR(6440.41352="",4237.61866=""),"-",4237.61866/6440.41352*100)</f>
        <v>65.797307064842016</v>
      </c>
      <c r="D55" s="45">
        <f>IF(6440.41352="","-",6440.41352/1159001.13914*100)</f>
        <v>0.55568655651010868</v>
      </c>
      <c r="E55" s="45">
        <f>IF(4237.61866="","-",4237.61866/980549.57869*100)</f>
        <v>0.43216771003679355</v>
      </c>
      <c r="F55" s="45">
        <f>IF(OR(1100674.36139="",6641.40357="",6440.41352=""),"-",(6440.41352-6641.40357)/1100674.36139*100)</f>
        <v>-1.8260627943234509E-2</v>
      </c>
      <c r="G55" s="45">
        <f>IF(OR(1159001.13914="",4237.61866="",6440.41352=""),"-",(4237.61866-6440.41352)/1159001.13914*100)</f>
        <v>-0.19005976660510565</v>
      </c>
    </row>
    <row r="56" spans="1:7" s="9" customFormat="1" x14ac:dyDescent="0.25">
      <c r="A56" s="44" t="s">
        <v>67</v>
      </c>
      <c r="B56" s="45">
        <f>IF(3421.9589="","-",3421.9589)</f>
        <v>3421.9589000000001</v>
      </c>
      <c r="C56" s="45">
        <f>IF(OR(4365.38608="",3421.9589=""),"-",3421.9589/4365.38608*100)</f>
        <v>78.388459515131814</v>
      </c>
      <c r="D56" s="45">
        <f>IF(4365.38608="","-",4365.38608/1159001.13914*100)</f>
        <v>0.37665071522183285</v>
      </c>
      <c r="E56" s="45">
        <f>IF(3421.9589="","-",3421.9589/980549.57869*100)</f>
        <v>0.34898377138376702</v>
      </c>
      <c r="F56" s="45">
        <f>IF(OR(1100674.36139="",9466.79211="",4365.38608=""),"-",(4365.38608-9466.79211)/1100674.36139*100)</f>
        <v>-0.46348004541121746</v>
      </c>
      <c r="G56" s="45">
        <f>IF(OR(1159001.13914="",3421.9589="",4365.38608=""),"-",(3421.9589-4365.38608)/1159001.13914*100)</f>
        <v>-8.1400021806711964E-2</v>
      </c>
    </row>
    <row r="57" spans="1:7" s="16" customFormat="1" x14ac:dyDescent="0.25">
      <c r="A57" s="44" t="s">
        <v>58</v>
      </c>
      <c r="B57" s="45">
        <f>IF(3234.2293="","-",3234.2293)</f>
        <v>3234.2293</v>
      </c>
      <c r="C57" s="45">
        <f>IF(OR(5609.2559="",3234.2293=""),"-",3234.2293/5609.2559*100)</f>
        <v>57.658793923094144</v>
      </c>
      <c r="D57" s="45">
        <f>IF(5609.2559="","-",5609.2559/1159001.13914*100)</f>
        <v>0.483973286183495</v>
      </c>
      <c r="E57" s="45">
        <f>IF(3234.2293="","-",3234.2293/980549.57869*100)</f>
        <v>0.3298384263568685</v>
      </c>
      <c r="F57" s="45">
        <f>IF(OR(1100674.36139="",6176.40729="",5609.2559=""),"-",(5609.2559-6176.40729)/1100674.36139*100)</f>
        <v>-5.1527627961077058E-2</v>
      </c>
      <c r="G57" s="45">
        <f>IF(OR(1159001.13914="",3234.2293="",5609.2559=""),"-",(3234.2293-5609.2559)/1159001.13914*100)</f>
        <v>-0.20492012646012694</v>
      </c>
    </row>
    <row r="58" spans="1:7" s="9" customFormat="1" x14ac:dyDescent="0.25">
      <c r="A58" s="44" t="s">
        <v>134</v>
      </c>
      <c r="B58" s="45">
        <f>IF(2918.2464="","-",2918.2464)</f>
        <v>2918.2464</v>
      </c>
      <c r="C58" s="45">
        <f>IF(OR(5876.29757="",2918.2464=""),"-",2918.2464/5876.29757*100)</f>
        <v>49.661310803904712</v>
      </c>
      <c r="D58" s="45">
        <f>IF(5876.29757="","-",5876.29757/1159001.13914*100)</f>
        <v>0.50701395982753905</v>
      </c>
      <c r="E58" s="45">
        <f>IF(2918.2464="","-",2918.2464/980549.57869*100)</f>
        <v>0.2976133449466915</v>
      </c>
      <c r="F58" s="45">
        <f>IF(OR(1100674.36139="",1814.36371="",5876.29757=""),"-",(5876.29757-1814.36371)/1100674.36139*100)</f>
        <v>0.36904047214021934</v>
      </c>
      <c r="G58" s="45">
        <f>IF(OR(1159001.13914="",2918.2464="",5876.29757=""),"-",(2918.2464-5876.29757)/1159001.13914*100)</f>
        <v>-0.25522418141840031</v>
      </c>
    </row>
    <row r="59" spans="1:7" s="14" customFormat="1" x14ac:dyDescent="0.25">
      <c r="A59" s="44" t="s">
        <v>38</v>
      </c>
      <c r="B59" s="45">
        <f>IF(2439.85964="","-",2439.85964)</f>
        <v>2439.8596400000001</v>
      </c>
      <c r="C59" s="45" t="s">
        <v>107</v>
      </c>
      <c r="D59" s="45">
        <f>IF(1480.66495="","-",1480.66495/1159001.13914*100)</f>
        <v>0.12775353707578582</v>
      </c>
      <c r="E59" s="45">
        <f>IF(2439.85964="","-",2439.85964/980549.57869*100)</f>
        <v>0.24882572926701135</v>
      </c>
      <c r="F59" s="45">
        <f>IF(OR(1100674.36139="",2549.68555="",1480.66495=""),"-",(1480.66495-2549.68555)/1100674.36139*100)</f>
        <v>-9.7124148385720047E-2</v>
      </c>
      <c r="G59" s="45">
        <f>IF(OR(1159001.13914="",2439.85964="",1480.66495=""),"-",(2439.85964-1480.66495)/1159001.13914*100)</f>
        <v>8.2760461366909427E-2</v>
      </c>
    </row>
    <row r="60" spans="1:7" s="9" customFormat="1" x14ac:dyDescent="0.25">
      <c r="A60" s="44" t="s">
        <v>62</v>
      </c>
      <c r="B60" s="45">
        <f>IF(2412.04359="","-",2412.04359)</f>
        <v>2412.0435900000002</v>
      </c>
      <c r="C60" s="45">
        <f>IF(OR(2035.61463="",2412.04359=""),"-",2412.04359/2035.61463*100)</f>
        <v>118.49215241688454</v>
      </c>
      <c r="D60" s="45">
        <f>IF(2035.61463="","-",2035.61463/1159001.13914*100)</f>
        <v>0.17563525705509342</v>
      </c>
      <c r="E60" s="45">
        <f>IF(2412.04359="","-",2412.04359/980549.57869*100)</f>
        <v>0.24598894766978083</v>
      </c>
      <c r="F60" s="45">
        <f>IF(OR(1100674.36139="",2181.79273="",2035.61463=""),"-",(2035.61463-2181.79273)/1100674.36139*100)</f>
        <v>-1.328077632474307E-2</v>
      </c>
      <c r="G60" s="45">
        <f>IF(OR(1159001.13914="",2412.04359="",2035.61463=""),"-",(2412.04359-2035.61463)/1159001.13914*100)</f>
        <v>3.2478739432414819E-2</v>
      </c>
    </row>
    <row r="61" spans="1:7" s="14" customFormat="1" x14ac:dyDescent="0.25">
      <c r="A61" s="44" t="s">
        <v>69</v>
      </c>
      <c r="B61" s="45">
        <f>IF(2402.42024="","-",2402.42024)</f>
        <v>2402.4202399999999</v>
      </c>
      <c r="C61" s="45">
        <f>IF(OR(4560.07916="",2402.42024=""),"-",2402.42024/4560.07916*100)</f>
        <v>52.683739814727247</v>
      </c>
      <c r="D61" s="45">
        <f>IF(4560.07916="","-",4560.07916/1159001.13914*100)</f>
        <v>0.39344906626956916</v>
      </c>
      <c r="E61" s="45">
        <f>IF(2402.42024="","-",2402.42024/980549.57869*100)</f>
        <v>0.2450075235573094</v>
      </c>
      <c r="F61" s="45">
        <f>IF(OR(1100674.36139="",1733.54102="",4560.07916=""),"-",(4560.07916-1733.54102)/1100674.36139*100)</f>
        <v>0.25680057964014646</v>
      </c>
      <c r="G61" s="45">
        <f>IF(OR(1159001.13914="",2402.42024="",4560.07916=""),"-",(2402.42024-4560.07916)/1159001.13914*100)</f>
        <v>-0.18616538389263554</v>
      </c>
    </row>
    <row r="62" spans="1:7" s="9" customFormat="1" x14ac:dyDescent="0.25">
      <c r="A62" s="44" t="s">
        <v>63</v>
      </c>
      <c r="B62" s="45">
        <f>IF(2225.61844="","-",2225.61844)</f>
        <v>2225.6184400000002</v>
      </c>
      <c r="C62" s="45">
        <f>IF(OR(3214.1717="",2225.61844=""),"-",2225.61844/3214.1717*100)</f>
        <v>69.243918736513052</v>
      </c>
      <c r="D62" s="45">
        <f>IF(3214.1717="","-",3214.1717/1159001.13914*100)</f>
        <v>0.27732256608349615</v>
      </c>
      <c r="E62" s="45">
        <f>IF(2225.61844="","-",2225.61844/980549.57869*100)</f>
        <v>0.22697663518181244</v>
      </c>
      <c r="F62" s="45">
        <f>IF(OR(1100674.36139="",1281.35108="",3214.1717=""),"-",(3214.1717-1281.35108)/1100674.36139*100)</f>
        <v>0.17560331082474875</v>
      </c>
      <c r="G62" s="45">
        <f>IF(OR(1159001.13914="",2225.61844="",3214.1717=""),"-",(2225.61844-3214.1717)/1159001.13914*100)</f>
        <v>-8.5293553786627355E-2</v>
      </c>
    </row>
    <row r="63" spans="1:7" s="14" customFormat="1" x14ac:dyDescent="0.25">
      <c r="A63" s="44" t="s">
        <v>68</v>
      </c>
      <c r="B63" s="45">
        <f>IF(1515.65933="","-",1515.65933)</f>
        <v>1515.65933</v>
      </c>
      <c r="C63" s="45" t="s">
        <v>184</v>
      </c>
      <c r="D63" s="45">
        <f>IF(22.26872="","-",22.26872/1159001.13914*100)</f>
        <v>1.9213717094811306E-3</v>
      </c>
      <c r="E63" s="45">
        <f>IF(1515.65933="","-",1515.65933/980549.57869*100)</f>
        <v>0.15457243192382977</v>
      </c>
      <c r="F63" s="45" t="str">
        <f>IF(OR(1100674.36139="",""="",22.26872=""),"-",(22.26872-"")/1100674.36139*100)</f>
        <v>-</v>
      </c>
      <c r="G63" s="45">
        <f>IF(OR(1159001.13914="",1515.65933="",22.26872=""),"-",(1515.65933-22.26872)/1159001.13914*100)</f>
        <v>0.12885152219161086</v>
      </c>
    </row>
    <row r="64" spans="1:7" s="9" customFormat="1" x14ac:dyDescent="0.25">
      <c r="A64" s="44" t="s">
        <v>40</v>
      </c>
      <c r="B64" s="45">
        <f>IF(1309.92535="","-",1309.92535)</f>
        <v>1309.92535</v>
      </c>
      <c r="C64" s="45">
        <f>IF(OR(1065.23125="",1309.92535=""),"-",1309.92535/1065.23125*100)</f>
        <v>122.97098399995305</v>
      </c>
      <c r="D64" s="45">
        <f>IF(1065.23125="","-",1065.23125/1159001.13914*100)</f>
        <v>9.1909422176273362E-2</v>
      </c>
      <c r="E64" s="45">
        <f>IF(1309.92535="","-",1309.92535/980549.57869*100)</f>
        <v>0.13359093496833085</v>
      </c>
      <c r="F64" s="45">
        <f>IF(OR(1100674.36139="",421.97563="",1065.23125=""),"-",(1065.23125-421.97563)/1100674.36139*100)</f>
        <v>5.8441955456076666E-2</v>
      </c>
      <c r="G64" s="45">
        <f>IF(OR(1159001.13914="",1309.92535="",1065.23125=""),"-",(1309.92535-1065.23125)/1159001.13914*100)</f>
        <v>2.1112498662561055E-2</v>
      </c>
    </row>
    <row r="65" spans="1:7" s="9" customFormat="1" x14ac:dyDescent="0.25">
      <c r="A65" s="44" t="s">
        <v>77</v>
      </c>
      <c r="B65" s="45">
        <f>IF(871.84909="","-",871.84909)</f>
        <v>871.84909000000005</v>
      </c>
      <c r="C65" s="45" t="s">
        <v>106</v>
      </c>
      <c r="D65" s="45">
        <f>IF(523.56115="","-",523.56115/1159001.13914*100)</f>
        <v>4.5173480190752173E-2</v>
      </c>
      <c r="E65" s="45">
        <f>IF(871.84909="","-",871.84909/980549.57869*100)</f>
        <v>8.8914330182546991E-2</v>
      </c>
      <c r="F65" s="45">
        <f>IF(OR(1100674.36139="",500.9855="",523.56115=""),"-",(523.56115-500.9855)/1100674.36139*100)</f>
        <v>2.0510743951090188E-3</v>
      </c>
      <c r="G65" s="45">
        <f>IF(OR(1159001.13914="",871.84909="",523.56115=""),"-",(871.84909-523.56115)/1159001.13914*100)</f>
        <v>3.0050698678211481E-2</v>
      </c>
    </row>
    <row r="66" spans="1:7" s="14" customFormat="1" x14ac:dyDescent="0.25">
      <c r="A66" s="44" t="s">
        <v>88</v>
      </c>
      <c r="B66" s="45">
        <f>IF(801.70422="","-",801.70422)</f>
        <v>801.70421999999996</v>
      </c>
      <c r="C66" s="45" t="s">
        <v>206</v>
      </c>
      <c r="D66" s="45">
        <f>IF(93.32974="","-",93.32974/1159001.13914*100)</f>
        <v>8.0526012311991652E-3</v>
      </c>
      <c r="E66" s="45">
        <f>IF(801.70422="","-",801.70422/980549.57869*100)</f>
        <v>8.1760702102494934E-2</v>
      </c>
      <c r="F66" s="45">
        <f>IF(OR(1100674.36139="",54.8751="",93.32974=""),"-",(93.32974-54.8751)/1100674.36139*100)</f>
        <v>3.4937345093999546E-3</v>
      </c>
      <c r="G66" s="45">
        <f>IF(OR(1159001.13914="",801.70422="",93.32974=""),"-",(801.70422-93.32974)/1159001.13914*100)</f>
        <v>6.1119394630243996E-2</v>
      </c>
    </row>
    <row r="67" spans="1:7" s="16" customFormat="1" x14ac:dyDescent="0.25">
      <c r="A67" s="44" t="s">
        <v>200</v>
      </c>
      <c r="B67" s="45">
        <f>IF(707.95175="","-",707.95175)</f>
        <v>707.95174999999995</v>
      </c>
      <c r="C67" s="45">
        <f>IF(OR(486.98434="",707.95175=""),"-",707.95175/486.98434*100)</f>
        <v>145.37464387458536</v>
      </c>
      <c r="D67" s="45">
        <f>IF(486.98434="","-",486.98434/1159001.13914*100)</f>
        <v>4.2017589418535964E-2</v>
      </c>
      <c r="E67" s="45">
        <f>IF(707.95175="","-",707.95175/980549.57869*100)</f>
        <v>7.2199485409581557E-2</v>
      </c>
      <c r="F67" s="45">
        <f>IF(OR(1100674.36139="",629.672="",486.98434=""),"-",(486.98434-629.672)/1100674.36139*100)</f>
        <v>-1.296365800869616E-2</v>
      </c>
      <c r="G67" s="45">
        <f>IF(OR(1159001.13914="",707.95175="",486.98434=""),"-",(707.95175-486.98434)/1159001.13914*100)</f>
        <v>1.9065331563346159E-2</v>
      </c>
    </row>
    <row r="68" spans="1:7" s="9" customFormat="1" x14ac:dyDescent="0.25">
      <c r="A68" s="44" t="s">
        <v>71</v>
      </c>
      <c r="B68" s="45">
        <f>IF(698.27466="","-",698.27466)</f>
        <v>698.27466000000004</v>
      </c>
      <c r="C68" s="45" t="s">
        <v>207</v>
      </c>
      <c r="D68" s="45">
        <f>IF(60.78997="","-",60.78997/1159001.13914*100)</f>
        <v>5.2450310829812693E-3</v>
      </c>
      <c r="E68" s="45">
        <f>IF(698.27466="","-",698.27466/980549.57869*100)</f>
        <v>7.1212580697131586E-2</v>
      </c>
      <c r="F68" s="45">
        <f>IF(OR(1100674.36139="",564.85876="",60.78997=""),"-",(60.78997-564.85876)/1100674.36139*100)</f>
        <v>-4.5796359730177649E-2</v>
      </c>
      <c r="G68" s="45">
        <f>IF(OR(1159001.13914="",698.27466="",60.78997=""),"-",(698.27466-60.78997)/1159001.13914*100)</f>
        <v>5.5002939037059551E-2</v>
      </c>
    </row>
    <row r="69" spans="1:7" s="9" customFormat="1" x14ac:dyDescent="0.25">
      <c r="A69" s="44" t="s">
        <v>147</v>
      </c>
      <c r="B69" s="45">
        <f>IF(593.77983="","-",593.77983)</f>
        <v>593.77982999999995</v>
      </c>
      <c r="C69" s="45">
        <f>IF(OR(502.45639="",593.77983=""),"-",593.77983/502.45639*100)</f>
        <v>118.17539627667983</v>
      </c>
      <c r="D69" s="45">
        <f>IF(502.45639="","-",502.45639/1159001.13914*100)</f>
        <v>4.3352536337697804E-2</v>
      </c>
      <c r="E69" s="45">
        <f>IF(593.77983="","-",593.77983/980549.57869*100)</f>
        <v>6.0555819196137048E-2</v>
      </c>
      <c r="F69" s="45">
        <f>IF(OR(1100674.36139="",804.56963="",502.45639=""),"-",(502.45639-804.56963)/1100674.36139*100)</f>
        <v>-2.7448012836282711E-2</v>
      </c>
      <c r="G69" s="45">
        <f>IF(OR(1159001.13914="",593.77983="",502.45639=""),"-",(593.77983-502.45639)/1159001.13914*100)</f>
        <v>7.8794952753682024E-3</v>
      </c>
    </row>
    <row r="70" spans="1:7" s="9" customFormat="1" x14ac:dyDescent="0.25">
      <c r="A70" s="44" t="s">
        <v>73</v>
      </c>
      <c r="B70" s="45">
        <f>IF(550.70076="","-",550.70076)</f>
        <v>550.70075999999995</v>
      </c>
      <c r="C70" s="45">
        <f>IF(OR(502.49959="",550.70076=""),"-",550.70076/502.49959*100)</f>
        <v>109.59228046335321</v>
      </c>
      <c r="D70" s="45">
        <f>IF(502.49959="","-",502.49959/1159001.13914*100)</f>
        <v>4.3356263685199119E-2</v>
      </c>
      <c r="E70" s="45">
        <f>IF(550.70076="","-",550.70076/980549.57869*100)</f>
        <v>5.6162459499062574E-2</v>
      </c>
      <c r="F70" s="45">
        <f>IF(OR(1100674.36139="",370.37336="",502.49959=""),"-",(502.49959-370.37336)/1100674.36139*100)</f>
        <v>1.2004116261338439E-2</v>
      </c>
      <c r="G70" s="45">
        <f>IF(OR(1159001.13914="",550.70076="",502.49959=""),"-",(550.70076-502.49959)/1159001.13914*100)</f>
        <v>4.1588544111152538E-3</v>
      </c>
    </row>
    <row r="71" spans="1:7" s="9" customFormat="1" x14ac:dyDescent="0.25">
      <c r="A71" s="44" t="s">
        <v>86</v>
      </c>
      <c r="B71" s="45">
        <f>IF(535.97461="","-",535.97461)</f>
        <v>535.97460999999998</v>
      </c>
      <c r="C71" s="45">
        <f>IF(OR(1346.62953="",535.97461=""),"-",535.97461/1346.62953*100)</f>
        <v>39.801192388822784</v>
      </c>
      <c r="D71" s="45">
        <f>IF(1346.62953="","-",1346.62953/1159001.13914*100)</f>
        <v>0.11618880124649605</v>
      </c>
      <c r="E71" s="45">
        <f>IF(535.97461="","-",535.97461/980549.57869*100)</f>
        <v>5.4660633347683882E-2</v>
      </c>
      <c r="F71" s="45">
        <f>IF(OR(1100674.36139="",1026.08906="",1346.62953=""),"-",(1346.62953-1026.08906)/1100674.36139*100)</f>
        <v>2.9122189200010206E-2</v>
      </c>
      <c r="G71" s="45">
        <f>IF(OR(1159001.13914="",535.97461="",1346.62953=""),"-",(535.97461-1346.62953)/1159001.13914*100)</f>
        <v>-6.9944272928111242E-2</v>
      </c>
    </row>
    <row r="72" spans="1:7" s="9" customFormat="1" x14ac:dyDescent="0.25">
      <c r="A72" s="44" t="s">
        <v>94</v>
      </c>
      <c r="B72" s="45">
        <f>IF(508.29292="","-",508.29292)</f>
        <v>508.29291999999998</v>
      </c>
      <c r="C72" s="45" t="s">
        <v>208</v>
      </c>
      <c r="D72" s="45">
        <f>IF(35.71746="","-",35.71746/1159001.13914*100)</f>
        <v>3.0817450297333619E-3</v>
      </c>
      <c r="E72" s="45">
        <f>IF(508.29292="","-",508.29292/980549.57869*100)</f>
        <v>5.1837554270236078E-2</v>
      </c>
      <c r="F72" s="45">
        <f>IF(OR(1100674.36139="",90.22488="",35.71746=""),"-",(35.71746-90.22488)/1100674.36139*100)</f>
        <v>-4.9521840348097724E-3</v>
      </c>
      <c r="G72" s="45">
        <f>IF(OR(1159001.13914="",508.29292="",35.71746=""),"-",(508.29292-35.71746)/1159001.13914*100)</f>
        <v>4.0774374074443058E-2</v>
      </c>
    </row>
    <row r="73" spans="1:7" s="9" customFormat="1" x14ac:dyDescent="0.25">
      <c r="A73" s="44" t="s">
        <v>78</v>
      </c>
      <c r="B73" s="45">
        <f>IF(488.49235="","-",488.49235)</f>
        <v>488.49234999999999</v>
      </c>
      <c r="C73" s="45">
        <f>IF(OR(498.81201="",488.49235=""),"-",488.49235/498.81201*100)</f>
        <v>97.931152459621003</v>
      </c>
      <c r="D73" s="45">
        <f>IF(498.81201="","-",498.81201/1159001.13914*100)</f>
        <v>4.3038094886613101E-2</v>
      </c>
      <c r="E73" s="45">
        <f>IF(488.49235="","-",488.49235/980549.57869*100)</f>
        <v>4.9818220375212302E-2</v>
      </c>
      <c r="F73" s="45">
        <f>IF(OR(1100674.36139="",726.20234="",498.81201=""),"-",(498.81201-726.20234)/1100674.36139*100)</f>
        <v>-2.0659182949699803E-2</v>
      </c>
      <c r="G73" s="45">
        <f>IF(OR(1159001.13914="",488.49235="",498.81201=""),"-",(488.49235-498.81201)/1159001.13914*100)</f>
        <v>-8.9039256748767084E-4</v>
      </c>
    </row>
    <row r="74" spans="1:7" s="9" customFormat="1" x14ac:dyDescent="0.25">
      <c r="A74" s="44" t="s">
        <v>140</v>
      </c>
      <c r="B74" s="45">
        <f>IF(440.48963="","-",440.48963)</f>
        <v>440.48962999999998</v>
      </c>
      <c r="C74" s="45" t="s">
        <v>209</v>
      </c>
      <c r="D74" s="45">
        <f>IF(92.13415="","-",92.13415/1159001.13914*100)</f>
        <v>7.9494443006643822E-3</v>
      </c>
      <c r="E74" s="45">
        <f>IF(440.48963="","-",440.48963/980549.57869*100)</f>
        <v>4.4922729005552962E-2</v>
      </c>
      <c r="F74" s="45">
        <f>IF(OR(1100674.36139="",7.147="",92.13415=""),"-",(92.13415-7.147)/1100674.36139*100)</f>
        <v>7.7213709141614731E-3</v>
      </c>
      <c r="G74" s="45">
        <f>IF(OR(1159001.13914="",440.48963="",92.13415=""),"-",(440.48963-92.13415)/1159001.13914*100)</f>
        <v>3.0056526109929971E-2</v>
      </c>
    </row>
    <row r="75" spans="1:7" s="9" customFormat="1" x14ac:dyDescent="0.25">
      <c r="A75" s="44" t="s">
        <v>65</v>
      </c>
      <c r="B75" s="45">
        <f>IF(432.21897="","-",432.21897)</f>
        <v>432.21897000000001</v>
      </c>
      <c r="C75" s="45">
        <f>IF(OR(701.07757="",432.21897=""),"-",432.21897/701.07757*100)</f>
        <v>61.650662992969515</v>
      </c>
      <c r="D75" s="45">
        <f>IF(701.07757="","-",701.07757/1159001.13914*100)</f>
        <v>6.0489808536358498E-2</v>
      </c>
      <c r="E75" s="45">
        <f>IF(432.21897="","-",432.21897/980549.57869*100)</f>
        <v>4.4079257122055807E-2</v>
      </c>
      <c r="F75" s="45">
        <f>IF(OR(1100674.36139="",1714.78677="",701.07757=""),"-",(701.07757-1714.78677)/1100674.36139*100)</f>
        <v>-9.2098920040240145E-2</v>
      </c>
      <c r="G75" s="45">
        <f>IF(OR(1159001.13914="",432.21897="",701.07757=""),"-",(432.21897-701.07757)/1159001.13914*100)</f>
        <v>-2.319744053051561E-2</v>
      </c>
    </row>
    <row r="76" spans="1:7" s="9" customFormat="1" x14ac:dyDescent="0.25">
      <c r="A76" s="44" t="s">
        <v>112</v>
      </c>
      <c r="B76" s="45">
        <f>IF(411.20236="","-",411.20236)</f>
        <v>411.20236</v>
      </c>
      <c r="C76" s="45">
        <f>IF(OR(735.18047="",411.20236=""),"-",411.20236/735.18047*100)</f>
        <v>55.932165880304197</v>
      </c>
      <c r="D76" s="45">
        <f>IF(735.18047="","-",735.18047/1159001.13914*100)</f>
        <v>6.3432247404477726E-2</v>
      </c>
      <c r="E76" s="45">
        <f>IF(411.20236="","-",411.20236/980549.57869*100)</f>
        <v>4.193590706034063E-2</v>
      </c>
      <c r="F76" s="45">
        <f>IF(OR(1100674.36139="",421.13265="",735.18047=""),"-",(735.18047-421.13265)/1100674.36139*100)</f>
        <v>2.853230991983868E-2</v>
      </c>
      <c r="G76" s="45">
        <f>IF(OR(1159001.13914="",411.20236="",735.18047=""),"-",(411.20236-735.18047)/1159001.13914*100)</f>
        <v>-2.7953217564600293E-2</v>
      </c>
    </row>
    <row r="77" spans="1:7" x14ac:dyDescent="0.25">
      <c r="A77" s="44" t="s">
        <v>39</v>
      </c>
      <c r="B77" s="45">
        <f>IF(320.12303="","-",320.12303)</f>
        <v>320.12303000000003</v>
      </c>
      <c r="C77" s="45">
        <f>IF(OR(561.02682="",320.12303=""),"-",320.12303/561.02682*100)</f>
        <v>57.060200793965606</v>
      </c>
      <c r="D77" s="45">
        <f>IF(561.02682="","-",561.02682/1159001.13914*100)</f>
        <v>4.8406062863431881E-2</v>
      </c>
      <c r="E77" s="45">
        <f>IF(320.12303="","-",320.12303/980549.57869*100)</f>
        <v>3.2647306873322998E-2</v>
      </c>
      <c r="F77" s="45">
        <f>IF(OR(1100674.36139="",129.15585="",561.02682=""),"-",(561.02682-129.15585)/1100674.36139*100)</f>
        <v>3.9236942836990099E-2</v>
      </c>
      <c r="G77" s="45">
        <f>IF(OR(1159001.13914="",320.12303="",561.02682=""),"-",(320.12303-561.02682)/1159001.13914*100)</f>
        <v>-2.0785466197104429E-2</v>
      </c>
    </row>
    <row r="78" spans="1:7" x14ac:dyDescent="0.25">
      <c r="A78" s="44" t="s">
        <v>76</v>
      </c>
      <c r="B78" s="45">
        <f>IF(307.97852="","-",307.97852)</f>
        <v>307.97852</v>
      </c>
      <c r="C78" s="45">
        <f>IF(OR(1190.04082="",307.97852=""),"-",307.97852/1190.04082*100)</f>
        <v>25.87966016157328</v>
      </c>
      <c r="D78" s="45">
        <f>IF(1190.04082="","-",1190.04082/1159001.13914*100)</f>
        <v>0.10267814066887215</v>
      </c>
      <c r="E78" s="45">
        <f>IF(307.97852="","-",307.97852/980549.57869*100)</f>
        <v>3.1408765726201708E-2</v>
      </c>
      <c r="F78" s="45">
        <f>IF(OR(1100674.36139="",8340.96188="",1190.04082=""),"-",(1190.04082-8340.96188)/1100674.36139*100)</f>
        <v>-0.64968543929463141</v>
      </c>
      <c r="G78" s="45">
        <f>IF(OR(1159001.13914="",307.97852="",1190.04082=""),"-",(307.97852-1190.04082)/1159001.13914*100)</f>
        <v>-7.6105386803545866E-2</v>
      </c>
    </row>
    <row r="79" spans="1:7" x14ac:dyDescent="0.25">
      <c r="A79" s="44" t="s">
        <v>83</v>
      </c>
      <c r="B79" s="45">
        <f>IF(302.39389="","-",302.39389)</f>
        <v>302.39389</v>
      </c>
      <c r="C79" s="45" t="s">
        <v>210</v>
      </c>
      <c r="D79" s="45">
        <f>IF(1.71184="","-",1.71184/1159001.13914*100)</f>
        <v>1.4769959598747386E-4</v>
      </c>
      <c r="E79" s="45">
        <f>IF(302.39389="","-",302.39389/980549.57869*100)</f>
        <v>3.0839224917519604E-2</v>
      </c>
      <c r="F79" s="45">
        <f>IF(OR(1100674.36139="",844.96311="",1.71184=""),"-",(1.71184-844.96311)/1100674.36139*100)</f>
        <v>-7.6612238785601389E-2</v>
      </c>
      <c r="G79" s="45">
        <f>IF(OR(1159001.13914="",302.39389="",1.71184=""),"-",(302.39389-1.71184)/1159001.13914*100)</f>
        <v>2.5943205735165328E-2</v>
      </c>
    </row>
    <row r="80" spans="1:7" x14ac:dyDescent="0.25">
      <c r="A80" s="44" t="s">
        <v>87</v>
      </c>
      <c r="B80" s="45">
        <f>IF(248.91138="","-",248.91138)</f>
        <v>248.91138000000001</v>
      </c>
      <c r="C80" s="45" t="s">
        <v>211</v>
      </c>
      <c r="D80" s="45">
        <f>IF(3.2405="","-",3.2405/1159001.13914*100)</f>
        <v>2.7959420319504687E-4</v>
      </c>
      <c r="E80" s="45">
        <f>IF(248.91138="","-",248.91138/980549.57869*100)</f>
        <v>2.538488470236681E-2</v>
      </c>
      <c r="F80" s="45">
        <f>IF(OR(1100674.36139="",30.21149="",3.2405=""),"-",(3.2405-30.21149)/1100674.36139*100)</f>
        <v>-2.4504059462182219E-3</v>
      </c>
      <c r="G80" s="45">
        <f>IF(OR(1159001.13914="",248.91138="",3.2405=""),"-",(248.91138-3.2405)/1159001.13914*100)</f>
        <v>2.1196776405439276E-2</v>
      </c>
    </row>
    <row r="81" spans="1:7" x14ac:dyDescent="0.25">
      <c r="A81" s="44" t="s">
        <v>146</v>
      </c>
      <c r="B81" s="45">
        <f>IF(245.97432="","-",245.97432)</f>
        <v>245.97432000000001</v>
      </c>
      <c r="C81" s="45" t="s">
        <v>212</v>
      </c>
      <c r="D81" s="45">
        <f>IF(23.55098="","-",23.55098/1159001.13914*100)</f>
        <v>2.0320066309404369E-3</v>
      </c>
      <c r="E81" s="45">
        <f>IF(245.97432="","-",245.97432/980549.57869*100)</f>
        <v>2.5085352678302929E-2</v>
      </c>
      <c r="F81" s="45">
        <f>IF(OR(1100674.36139="",51.92029="",23.55098=""),"-",(23.55098-51.92029)/1100674.36139*100)</f>
        <v>-2.5774480623109524E-3</v>
      </c>
      <c r="G81" s="45">
        <f>IF(OR(1159001.13914="",245.97432="",23.55098=""),"-",(245.97432-23.55098)/1159001.13914*100)</f>
        <v>1.9190950939447924E-2</v>
      </c>
    </row>
    <row r="82" spans="1:7" x14ac:dyDescent="0.25">
      <c r="A82" s="44" t="s">
        <v>104</v>
      </c>
      <c r="B82" s="45">
        <f>IF(215.33963="","-",215.33963)</f>
        <v>215.33963</v>
      </c>
      <c r="C82" s="45" t="s">
        <v>96</v>
      </c>
      <c r="D82" s="45">
        <f>IF(100.98459="","-",100.98459/1159001.13914*100)</f>
        <v>8.7130708150064805E-3</v>
      </c>
      <c r="E82" s="45">
        <f>IF(215.33963="","-",215.33963/980549.57869*100)</f>
        <v>2.1961115957817311E-2</v>
      </c>
      <c r="F82" s="45">
        <f>IF(OR(1100674.36139="",38.00656="",100.98459=""),"-",(100.98459-38.00656)/1100674.36139*100)</f>
        <v>5.7217676916238355E-3</v>
      </c>
      <c r="G82" s="45">
        <f>IF(OR(1159001.13914="",215.33963="",100.98459=""),"-",(215.33963-100.98459)/1159001.13914*100)</f>
        <v>9.8666891807244923E-3</v>
      </c>
    </row>
    <row r="83" spans="1:7" x14ac:dyDescent="0.25">
      <c r="A83" s="44" t="s">
        <v>37</v>
      </c>
      <c r="B83" s="45">
        <f>IF(208.64579="","-",208.64579)</f>
        <v>208.64579000000001</v>
      </c>
      <c r="C83" s="45" t="s">
        <v>20</v>
      </c>
      <c r="D83" s="45">
        <f>IF(103.70869="","-",103.70869/1159001.13914*100)</f>
        <v>8.9481094105700147E-3</v>
      </c>
      <c r="E83" s="45">
        <f>IF(208.64579="","-",208.64579/980549.57869*100)</f>
        <v>2.1278453893045137E-2</v>
      </c>
      <c r="F83" s="45">
        <f>IF(OR(1100674.36139="",71.68742="",103.70869=""),"-",(103.70869-71.68742)/1100674.36139*100)</f>
        <v>2.9092410183482018E-3</v>
      </c>
      <c r="G83" s="45">
        <f>IF(OR(1159001.13914="",208.64579="",103.70869=""),"-",(208.64579-103.70869)/1159001.13914*100)</f>
        <v>9.0540980898314929E-3</v>
      </c>
    </row>
    <row r="84" spans="1:7" x14ac:dyDescent="0.25">
      <c r="A84" s="44" t="s">
        <v>201</v>
      </c>
      <c r="B84" s="45">
        <f>IF(199.1423="","-",199.1423)</f>
        <v>199.14230000000001</v>
      </c>
      <c r="C84" s="45" t="s">
        <v>213</v>
      </c>
      <c r="D84" s="45">
        <f>IF(8.71721="","-",8.71721/1159001.13914*100)</f>
        <v>7.5213127111059856E-4</v>
      </c>
      <c r="E84" s="45">
        <f>IF(199.1423="","-",199.1423/980549.57869*100)</f>
        <v>2.0309253537801854E-2</v>
      </c>
      <c r="F84" s="45">
        <f>IF(OR(1100674.36139="",180.69192="",8.71721=""),"-",(8.71721-180.69192)/1100674.36139*100)</f>
        <v>-1.5624485863631788E-2</v>
      </c>
      <c r="G84" s="45">
        <f>IF(OR(1159001.13914="",199.1423="",8.71721=""),"-",(199.1423-8.71721)/1159001.13914*100)</f>
        <v>1.6430103782408608E-2</v>
      </c>
    </row>
    <row r="85" spans="1:7" x14ac:dyDescent="0.25">
      <c r="A85" s="44" t="s">
        <v>185</v>
      </c>
      <c r="B85" s="45">
        <f>IF(184.41676="","-",184.41676)</f>
        <v>184.41676000000001</v>
      </c>
      <c r="C85" s="45" t="str">
        <f>IF(OR(""="",184.41676=""),"-",184.41676/""*100)</f>
        <v>-</v>
      </c>
      <c r="D85" s="45" t="str">
        <f>IF(""="","-",""/1159001.13914*100)</f>
        <v>-</v>
      </c>
      <c r="E85" s="45">
        <f>IF(184.41676="","-",184.41676/980549.57869*100)</f>
        <v>1.8807489596434086E-2</v>
      </c>
      <c r="F85" s="45" t="str">
        <f>IF(OR(1100674.36139="",""="",""=""),"-",(""-"")/1100674.36139*100)</f>
        <v>-</v>
      </c>
      <c r="G85" s="45" t="str">
        <f>IF(OR(1159001.13914="",184.41676="",""=""),"-",(184.41676-"")/1159001.13914*100)</f>
        <v>-</v>
      </c>
    </row>
    <row r="86" spans="1:7" x14ac:dyDescent="0.25">
      <c r="A86" s="44" t="s">
        <v>72</v>
      </c>
      <c r="B86" s="45">
        <f>IF(181.62718="","-",181.62718)</f>
        <v>181.62718000000001</v>
      </c>
      <c r="C86" s="45">
        <f>IF(OR(544.95549="",181.62718=""),"-",181.62718/544.95549*100)</f>
        <v>33.328810028136424</v>
      </c>
      <c r="D86" s="45">
        <f>IF(544.95549="","-",544.95549/1159001.13914*100)</f>
        <v>4.7019409351432298E-2</v>
      </c>
      <c r="E86" s="45">
        <f>IF(181.62718="","-",181.62718/980549.57869*100)</f>
        <v>1.8522998117305938E-2</v>
      </c>
      <c r="F86" s="45" t="str">
        <f>IF(OR(1100674.36139="",""="",544.95549=""),"-",(544.95549-"")/1100674.36139*100)</f>
        <v>-</v>
      </c>
      <c r="G86" s="45">
        <f>IF(OR(1159001.13914="",181.62718="",544.95549=""),"-",(181.62718-544.95549)/1159001.13914*100)</f>
        <v>-3.1348399732341617E-2</v>
      </c>
    </row>
    <row r="87" spans="1:7" x14ac:dyDescent="0.25">
      <c r="A87" s="44" t="s">
        <v>183</v>
      </c>
      <c r="B87" s="45">
        <f>IF(179.7168="","-",179.7168)</f>
        <v>179.71680000000001</v>
      </c>
      <c r="C87" s="45" t="s">
        <v>214</v>
      </c>
      <c r="D87" s="45">
        <f>IF(51.317="","-",51.317/1159001.13914*100)</f>
        <v>4.4276919380836968E-3</v>
      </c>
      <c r="E87" s="45">
        <f>IF(179.7168="","-",179.7168/980549.57869*100)</f>
        <v>1.8328170640805233E-2</v>
      </c>
      <c r="F87" s="45">
        <f>IF(OR(1100674.36139="",65.856="",51.317=""),"-",(51.317-65.856)/1100674.36139*100)</f>
        <v>-1.3209174765949161E-3</v>
      </c>
      <c r="G87" s="45">
        <f>IF(OR(1159001.13914="",179.7168="",51.317=""),"-",(179.7168-51.317)/1159001.13914*100)</f>
        <v>1.107848781712803E-2</v>
      </c>
    </row>
    <row r="88" spans="1:7" x14ac:dyDescent="0.25">
      <c r="A88" s="44" t="s">
        <v>97</v>
      </c>
      <c r="B88" s="45">
        <f>IF(159.60595="","-",159.60595)</f>
        <v>159.60595000000001</v>
      </c>
      <c r="C88" s="45">
        <f>IF(OR(323.47451="",159.60595=""),"-",159.60595/323.47451*100)</f>
        <v>49.34112119066198</v>
      </c>
      <c r="D88" s="45">
        <f>IF(323.47451="","-",323.47451/1159001.13914*100)</f>
        <v>2.7909766356228428E-2</v>
      </c>
      <c r="E88" s="45">
        <f>IF(159.60595="","-",159.60595/980549.57869*100)</f>
        <v>1.627719326678323E-2</v>
      </c>
      <c r="F88" s="45">
        <f>IF(OR(1100674.36139="",255.87693="",323.47451=""),"-",(323.47451-255.87693)/1100674.36139*100)</f>
        <v>6.141469481912307E-3</v>
      </c>
      <c r="G88" s="45">
        <f>IF(OR(1159001.13914="",159.60595="",323.47451=""),"-",(159.60595-323.47451)/1159001.13914*100)</f>
        <v>-1.4138774714371158E-2</v>
      </c>
    </row>
    <row r="89" spans="1:7" x14ac:dyDescent="0.25">
      <c r="A89" s="44" t="s">
        <v>79</v>
      </c>
      <c r="B89" s="45">
        <f>IF(138.20119="","-",138.20119)</f>
        <v>138.20119</v>
      </c>
      <c r="C89" s="45" t="s">
        <v>215</v>
      </c>
      <c r="D89" s="45">
        <f>IF(37.5515="","-",37.5515/1159001.13914*100)</f>
        <v>3.2399881874028086E-3</v>
      </c>
      <c r="E89" s="45">
        <f>IF(138.20119="","-",138.20119/980549.57869*100)</f>
        <v>1.4094258261232928E-2</v>
      </c>
      <c r="F89" s="45">
        <f>IF(OR(1100674.36139="",169.11515="",37.5515=""),"-",(37.5515-169.11515)/1100674.36139*100)</f>
        <v>-1.1953003959668257E-2</v>
      </c>
      <c r="G89" s="45">
        <f>IF(OR(1159001.13914="",138.20119="",37.5515=""),"-",(138.20119-37.5515)/1159001.13914*100)</f>
        <v>8.6841752437520382E-3</v>
      </c>
    </row>
    <row r="90" spans="1:7" x14ac:dyDescent="0.25">
      <c r="A90" s="44" t="s">
        <v>174</v>
      </c>
      <c r="B90" s="45">
        <f>IF(135.07132="","-",135.07132)</f>
        <v>135.07131999999999</v>
      </c>
      <c r="C90" s="45">
        <f>IF(OR(124.02514="",135.07132=""),"-",135.07132/124.02514*100)</f>
        <v>108.90640397583908</v>
      </c>
      <c r="D90" s="45">
        <f>IF(124.02514="","-",124.02514/1159001.13914*100)</f>
        <v>1.0701036937032598E-2</v>
      </c>
      <c r="E90" s="45">
        <f>IF(135.07132="","-",135.07132/980549.57869*100)</f>
        <v>1.3775062774536431E-2</v>
      </c>
      <c r="F90" s="45">
        <f>IF(OR(1100674.36139="",164.043="",124.02514=""),"-",(124.02514-164.043)/1100674.36139*100)</f>
        <v>-3.6357583499503857E-3</v>
      </c>
      <c r="G90" s="45">
        <f>IF(OR(1159001.13914="",135.07132="",124.02514=""),"-",(135.07132-124.02514)/1159001.13914*100)</f>
        <v>9.5307757921588054E-4</v>
      </c>
    </row>
    <row r="91" spans="1:7" x14ac:dyDescent="0.25">
      <c r="A91" s="44" t="s">
        <v>84</v>
      </c>
      <c r="B91" s="45">
        <f>IF(132.75021="","-",132.75021)</f>
        <v>132.75021000000001</v>
      </c>
      <c r="C91" s="45">
        <f>IF(OR(586.61611="",132.75021=""),"-",132.75021/586.61611*100)</f>
        <v>22.629826855590444</v>
      </c>
      <c r="D91" s="45">
        <f>IF(586.61611="","-",586.61611/1159001.13914*100)</f>
        <v>5.0613937311164321E-2</v>
      </c>
      <c r="E91" s="45">
        <f>IF(132.75021="","-",132.75021/980549.57869*100)</f>
        <v>1.3538347563960241E-2</v>
      </c>
      <c r="F91" s="45">
        <f>IF(OR(1100674.36139="",0.19008="",586.61611=""),"-",(586.61611-0.19008)/1100674.36139*100)</f>
        <v>5.3278794398320027E-2</v>
      </c>
      <c r="G91" s="45">
        <f>IF(OR(1159001.13914="",132.75021="",586.61611=""),"-",(132.75021-586.61611)/1159001.13914*100)</f>
        <v>-3.9160090932850743E-2</v>
      </c>
    </row>
    <row r="92" spans="1:7" x14ac:dyDescent="0.25">
      <c r="A92" s="44" t="s">
        <v>141</v>
      </c>
      <c r="B92" s="45">
        <f>IF(129.00573="","-",129.00573)</f>
        <v>129.00573</v>
      </c>
      <c r="C92" s="45">
        <f>IF(OR(221.07422="",129.00573=""),"-",129.00573/221.07422*100)</f>
        <v>58.354036033690406</v>
      </c>
      <c r="D92" s="45">
        <f>IF(221.07422="","-",221.07422/1159001.13914*100)</f>
        <v>1.9074547257480791E-2</v>
      </c>
      <c r="E92" s="45">
        <f>IF(129.00573="","-",129.00573/980549.57869*100)</f>
        <v>1.3156471921832833E-2</v>
      </c>
      <c r="F92" s="45">
        <f>IF(OR(1100674.36139="",205.76055="",221.07422=""),"-",(221.07422-205.76055)/1100674.36139*100)</f>
        <v>1.391298874324732E-3</v>
      </c>
      <c r="G92" s="45">
        <f>IF(OR(1159001.13914="",129.00573="",221.07422=""),"-",(129.00573-221.07422)/1159001.13914*100)</f>
        <v>-7.9437790775871431E-3</v>
      </c>
    </row>
    <row r="93" spans="1:7" x14ac:dyDescent="0.25">
      <c r="A93" s="44" t="s">
        <v>110</v>
      </c>
      <c r="B93" s="45">
        <f>IF(98.55559="","-",98.55559)</f>
        <v>98.555589999999995</v>
      </c>
      <c r="C93" s="45">
        <f>IF(OR(157.65527="",98.55559=""),"-",98.55559/157.65527*100)</f>
        <v>62.513349537887308</v>
      </c>
      <c r="D93" s="45">
        <f>IF(157.65527="","-",157.65527/1159001.13914*100)</f>
        <v>1.3602684645934265E-2</v>
      </c>
      <c r="E93" s="45">
        <f>IF(98.55559="","-",98.55559/980549.57869*100)</f>
        <v>1.0051056279241773E-2</v>
      </c>
      <c r="F93" s="45">
        <f>IF(OR(1100674.36139="",114.38439="",157.65527=""),"-",(157.65527-114.38439)/1100674.36139*100)</f>
        <v>3.9313062535003404E-3</v>
      </c>
      <c r="G93" s="45">
        <f>IF(OR(1159001.13914="",98.55559="",157.65527=""),"-",(98.55559-157.65527)/1159001.13914*100)</f>
        <v>-5.0991908466848481E-3</v>
      </c>
    </row>
    <row r="94" spans="1:7" x14ac:dyDescent="0.25">
      <c r="A94" s="44" t="s">
        <v>202</v>
      </c>
      <c r="B94" s="45">
        <f>IF(95.1381="","-",95.1381)</f>
        <v>95.138099999999994</v>
      </c>
      <c r="C94" s="45">
        <f>IF(OR(207.23343="",95.1381=""),"-",95.1381/207.23343*100)</f>
        <v>45.908664446658051</v>
      </c>
      <c r="D94" s="45">
        <f>IF(207.23343="","-",207.23343/1159001.13914*100)</f>
        <v>1.7880347395842162E-2</v>
      </c>
      <c r="E94" s="45">
        <f>IF(95.1381="","-",95.1381/980549.57869*100)</f>
        <v>9.7025282624773664E-3</v>
      </c>
      <c r="F94" s="45">
        <f>IF(OR(1100674.36139="",228.31804="",207.23343=""),"-",(207.23343-228.31804)/1100674.36139*100)</f>
        <v>-1.9156083524443182E-3</v>
      </c>
      <c r="G94" s="45">
        <f>IF(OR(1159001.13914="",95.1381="",207.23343=""),"-",(95.1381-207.23343)/1159001.13914*100)</f>
        <v>-9.6717187079882229E-3</v>
      </c>
    </row>
    <row r="95" spans="1:7" x14ac:dyDescent="0.25">
      <c r="A95" s="44" t="s">
        <v>173</v>
      </c>
      <c r="B95" s="45">
        <f>IF(87.612="","-",87.612)</f>
        <v>87.611999999999995</v>
      </c>
      <c r="C95" s="45" t="s">
        <v>216</v>
      </c>
      <c r="D95" s="45">
        <f>IF(23.32711="","-",23.32711/1159001.13914*100)</f>
        <v>2.0126908604515383E-3</v>
      </c>
      <c r="E95" s="45">
        <f>IF(87.612="","-",87.612/980549.57869*100)</f>
        <v>8.934989306410018E-3</v>
      </c>
      <c r="F95" s="45">
        <f>IF(OR(1100674.36139="",55.11432="",23.32711=""),"-",(23.32711-55.11432)/1100674.36139*100)</f>
        <v>-2.887975873250753E-3</v>
      </c>
      <c r="G95" s="45">
        <f>IF(OR(1159001.13914="",87.612="",23.32711=""),"-",(87.612-23.32711)/1159001.13914*100)</f>
        <v>5.5465769470857068E-3</v>
      </c>
    </row>
    <row r="96" spans="1:7" x14ac:dyDescent="0.25">
      <c r="A96" s="44" t="s">
        <v>64</v>
      </c>
      <c r="B96" s="45">
        <f>IF(85.11492="","-",85.11492)</f>
        <v>85.114919999999998</v>
      </c>
      <c r="C96" s="45">
        <f>IF(OR(1516.47654="",85.11492=""),"-",85.11492/1516.47654*100)</f>
        <v>5.6126763424905999</v>
      </c>
      <c r="D96" s="45">
        <f>IF(1516.47654="","-",1516.47654/1159001.13914*100)</f>
        <v>0.13084340375413722</v>
      </c>
      <c r="E96" s="45">
        <f>IF(85.11492="","-",85.11492/980549.57869*100)</f>
        <v>8.6803280374371568E-3</v>
      </c>
      <c r="F96" s="45">
        <f>IF(OR(1100674.36139="",209.30433="",1516.47654=""),"-",(1516.47654-209.30433)/1100674.36139*100)</f>
        <v>0.11876103013331045</v>
      </c>
      <c r="G96" s="45">
        <f>IF(OR(1159001.13914="",85.11492="",1516.47654=""),"-",(85.11492-1516.47654)/1159001.13914*100)</f>
        <v>-0.12349958698591931</v>
      </c>
    </row>
    <row r="97" spans="1:7" x14ac:dyDescent="0.25">
      <c r="A97" s="44" t="s">
        <v>135</v>
      </c>
      <c r="B97" s="45">
        <f>IF(81.7743="","-",81.7743)</f>
        <v>81.774299999999997</v>
      </c>
      <c r="C97" s="45">
        <f>IF(OR(2588.27613="",81.7743=""),"-",81.7743/2588.27613*100)</f>
        <v>3.1594117432903106</v>
      </c>
      <c r="D97" s="45">
        <f>IF(2588.27613="","-",2588.27613/1159001.13914*100)</f>
        <v>0.22331955013612392</v>
      </c>
      <c r="E97" s="45">
        <f>IF(81.7743="","-",81.7743/980549.57869*100)</f>
        <v>8.3396395018851856E-3</v>
      </c>
      <c r="F97" s="45">
        <f>IF(OR(1100674.36139="",41.0439="",2588.27613=""),"-",(2588.27613-41.0439)/1100674.36139*100)</f>
        <v>0.23142469011299552</v>
      </c>
      <c r="G97" s="45">
        <f>IF(OR(1159001.13914="",81.7743="",2588.27613=""),"-",(81.7743-2588.27613)/1159001.13914*100)</f>
        <v>-0.21626396604406015</v>
      </c>
    </row>
    <row r="98" spans="1:7" x14ac:dyDescent="0.25">
      <c r="A98" s="44" t="s">
        <v>74</v>
      </c>
      <c r="B98" s="45">
        <f>IF(70.05237="","-",70.05237)</f>
        <v>70.052369999999996</v>
      </c>
      <c r="C98" s="45" t="str">
        <f>IF(OR(""="",70.05237=""),"-",70.05237/""*100)</f>
        <v>-</v>
      </c>
      <c r="D98" s="45" t="str">
        <f>IF(""="","-",""/1159001.13914*100)</f>
        <v>-</v>
      </c>
      <c r="E98" s="45">
        <f>IF(70.05237="","-",70.05237/980549.57869*100)</f>
        <v>7.1441945947892755E-3</v>
      </c>
      <c r="F98" s="45" t="str">
        <f>IF(OR(1100674.36139="",71.04334="",""=""),"-",(""-71.04334)/1100674.36139*100)</f>
        <v>-</v>
      </c>
      <c r="G98" s="45" t="str">
        <f>IF(OR(1159001.13914="",70.05237="",""=""),"-",(70.05237-"")/1159001.13914*100)</f>
        <v>-</v>
      </c>
    </row>
    <row r="99" spans="1:7" x14ac:dyDescent="0.25">
      <c r="A99" s="44" t="s">
        <v>103</v>
      </c>
      <c r="B99" s="45">
        <f>IF(68.83726="","-",68.83726)</f>
        <v>68.837260000000001</v>
      </c>
      <c r="C99" s="45">
        <f>IF(OR(227.79067="",68.83726=""),"-",68.83726/227.79067*100)</f>
        <v>30.219525672407915</v>
      </c>
      <c r="D99" s="45">
        <f>IF(227.79067="","-",227.79067/1159001.13914*100)</f>
        <v>1.9654050570564997E-2</v>
      </c>
      <c r="E99" s="45">
        <f>IF(68.83726="","-",68.83726/980549.57869*100)</f>
        <v>7.0202732728686266E-3</v>
      </c>
      <c r="F99" s="45">
        <f>IF(OR(1100674.36139="",99.27331="",227.79067=""),"-",(227.79067-99.27331)/1100674.36139*100)</f>
        <v>1.1676238177993016E-2</v>
      </c>
      <c r="G99" s="45">
        <f>IF(OR(1159001.13914="",68.83726="",227.79067=""),"-",(68.83726-227.79067)/1159001.13914*100)</f>
        <v>-1.3714689712725074E-2</v>
      </c>
    </row>
    <row r="100" spans="1:7" x14ac:dyDescent="0.25">
      <c r="A100" s="44" t="s">
        <v>203</v>
      </c>
      <c r="B100" s="45">
        <f>IF(62.42252="","-",62.42252)</f>
        <v>62.422519999999999</v>
      </c>
      <c r="C100" s="45">
        <f>IF(OR(271.83195="",62.42252=""),"-",62.42252/271.83195*100)</f>
        <v>22.963643530497428</v>
      </c>
      <c r="D100" s="45">
        <f>IF(271.83195="","-",271.83195/1159001.13914*100)</f>
        <v>2.3453984713225066E-2</v>
      </c>
      <c r="E100" s="45">
        <f>IF(62.42252="","-",62.42252/980549.57869*100)</f>
        <v>6.3660748376839415E-3</v>
      </c>
      <c r="F100" s="45">
        <f>IF(OR(1100674.36139="",19.32432="",271.83195=""),"-",(271.83195-19.32432)/1100674.36139*100)</f>
        <v>2.294117487038743E-2</v>
      </c>
      <c r="G100" s="45">
        <f>IF(OR(1159001.13914="",62.42252="",271.83195=""),"-",(62.42252-271.83195)/1159001.13914*100)</f>
        <v>-1.8068095269982702E-2</v>
      </c>
    </row>
    <row r="101" spans="1:7" x14ac:dyDescent="0.25">
      <c r="A101" s="44" t="s">
        <v>91</v>
      </c>
      <c r="B101" s="45">
        <f>IF(59.35236="","-",59.35236)</f>
        <v>59.352359999999997</v>
      </c>
      <c r="C101" s="45">
        <f>IF(OR(60.1192="",59.35236=""),"-",59.35236/60.1192*100)</f>
        <v>98.724467391448982</v>
      </c>
      <c r="D101" s="45">
        <f>IF(60.1192="","-",60.1192/1159001.13914*100)</f>
        <v>5.1871562477159893E-3</v>
      </c>
      <c r="E101" s="45">
        <f>IF(59.35236="","-",59.35236/980549.57869*100)</f>
        <v>6.0529687932041019E-3</v>
      </c>
      <c r="F101" s="45">
        <f>IF(OR(1100674.36139="",62.53555="",60.1192=""),"-",(60.1192-62.53555)/1100674.36139*100)</f>
        <v>-2.1953359547218708E-4</v>
      </c>
      <c r="G101" s="45">
        <f>IF(OR(1159001.13914="",59.35236="",60.1192=""),"-",(59.35236-60.1192)/1159001.13914*100)</f>
        <v>-6.6163869396108717E-5</v>
      </c>
    </row>
    <row r="102" spans="1:7" x14ac:dyDescent="0.25">
      <c r="A102" s="46" t="s">
        <v>158</v>
      </c>
      <c r="B102" s="47">
        <f>IF(50.18097="","-",50.18097)</f>
        <v>50.180970000000002</v>
      </c>
      <c r="C102" s="47">
        <f>IF(OR(43.23246="",50.18097=""),"-",50.18097/43.23246*100)</f>
        <v>116.07243723813079</v>
      </c>
      <c r="D102" s="47">
        <f>IF(43.23246="","-",43.23246/1159001.13914*100)</f>
        <v>3.7301481888170765E-3</v>
      </c>
      <c r="E102" s="47">
        <f>IF(50.18097="","-",50.18097/980549.57869*100)</f>
        <v>5.1176371996448202E-3</v>
      </c>
      <c r="F102" s="47">
        <f>IF(OR(1100674.36139="",105.16189="",43.23246=""),"-",(43.23246-105.16189)/1100674.36139*100)</f>
        <v>-5.6264988240292673E-3</v>
      </c>
      <c r="G102" s="47">
        <f>IF(OR(1159001.13914="",50.18097="",43.23246=""),"-",(50.18097-43.23246)/1159001.13914*100)</f>
        <v>5.99525726536897E-4</v>
      </c>
    </row>
    <row r="103" spans="1:7" x14ac:dyDescent="0.25">
      <c r="A103" s="31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6"/>
  <sheetViews>
    <sheetView zoomScaleNormal="100" workbookViewId="0">
      <selection activeCell="I63" sqref="I63"/>
    </sheetView>
  </sheetViews>
  <sheetFormatPr defaultRowHeight="15.75" x14ac:dyDescent="0.25"/>
  <cols>
    <col min="1" max="1" width="27.625" customWidth="1"/>
    <col min="2" max="2" width="12.875" customWidth="1"/>
    <col min="3" max="3" width="10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2" t="s">
        <v>164</v>
      </c>
      <c r="B1" s="92"/>
      <c r="C1" s="92"/>
      <c r="D1" s="92"/>
      <c r="E1" s="92"/>
      <c r="F1" s="92"/>
      <c r="G1" s="92"/>
    </row>
    <row r="2" spans="1:7" x14ac:dyDescent="0.25">
      <c r="A2" s="2"/>
    </row>
    <row r="3" spans="1:7" ht="55.5" customHeight="1" x14ac:dyDescent="0.25">
      <c r="A3" s="80"/>
      <c r="B3" s="83" t="s">
        <v>193</v>
      </c>
      <c r="C3" s="84"/>
      <c r="D3" s="83" t="s">
        <v>111</v>
      </c>
      <c r="E3" s="84"/>
      <c r="F3" s="85" t="s">
        <v>124</v>
      </c>
      <c r="G3" s="86"/>
    </row>
    <row r="4" spans="1:7" ht="25.5" customHeight="1" x14ac:dyDescent="0.25">
      <c r="A4" s="81"/>
      <c r="B4" s="87" t="s">
        <v>101</v>
      </c>
      <c r="C4" s="89" t="s">
        <v>194</v>
      </c>
      <c r="D4" s="91" t="s">
        <v>195</v>
      </c>
      <c r="E4" s="91"/>
      <c r="F4" s="91" t="s">
        <v>195</v>
      </c>
      <c r="G4" s="83"/>
    </row>
    <row r="5" spans="1:7" ht="26.25" customHeight="1" x14ac:dyDescent="0.25">
      <c r="A5" s="82"/>
      <c r="B5" s="88"/>
      <c r="C5" s="90"/>
      <c r="D5" s="28">
        <v>2019</v>
      </c>
      <c r="E5" s="28">
        <v>2020</v>
      </c>
      <c r="F5" s="28" t="s">
        <v>125</v>
      </c>
      <c r="G5" s="27" t="s">
        <v>145</v>
      </c>
    </row>
    <row r="6" spans="1:7" s="3" customFormat="1" ht="15" x14ac:dyDescent="0.25">
      <c r="A6" s="41" t="s">
        <v>136</v>
      </c>
      <c r="B6" s="39">
        <f>IF(1980083.42341="","-",1980083.42341)</f>
        <v>1980083.42341</v>
      </c>
      <c r="C6" s="39">
        <f>IF(2362843.47408="","-",1980083.42341/2362843.47408*100)</f>
        <v>83.800871497887428</v>
      </c>
      <c r="D6" s="39">
        <v>100</v>
      </c>
      <c r="E6" s="39">
        <v>100</v>
      </c>
      <c r="F6" s="39">
        <f>IF(2276206.61995="","-",(2362843.47408-2276206.61995)/2276206.61995*100)</f>
        <v>3.806194629725792</v>
      </c>
      <c r="G6" s="39">
        <f>IF(2362843.47408="","-",(1980083.42341-2362843.47408)/2362843.47408*100)</f>
        <v>-16.199128502112568</v>
      </c>
    </row>
    <row r="7" spans="1:7" s="3" customFormat="1" ht="15" x14ac:dyDescent="0.25">
      <c r="A7" s="42" t="s">
        <v>142</v>
      </c>
      <c r="B7" s="36"/>
      <c r="C7" s="36"/>
      <c r="D7" s="36"/>
      <c r="E7" s="36"/>
      <c r="F7" s="36"/>
      <c r="G7" s="36"/>
    </row>
    <row r="8" spans="1:7" ht="12.75" customHeight="1" x14ac:dyDescent="0.25">
      <c r="A8" s="43" t="s">
        <v>176</v>
      </c>
      <c r="B8" s="40">
        <f>IF(926669.86229="","-",926669.86229)</f>
        <v>926669.86228999996</v>
      </c>
      <c r="C8" s="40">
        <f>IF(1141270.32451="","-",926669.86229/1141270.32451*100)</f>
        <v>81.196351327882127</v>
      </c>
      <c r="D8" s="40">
        <f>IF(1141270.32451="","-",1141270.32451/2362843.47408*100)</f>
        <v>48.300716362702211</v>
      </c>
      <c r="E8" s="40">
        <f>IF(926669.86229="","-",926669.86229/1980083.42341*100)</f>
        <v>46.799536389943398</v>
      </c>
      <c r="F8" s="40">
        <f>IF(2276206.61995="","-",(1141270.32451-1126080.05585)/2276206.61995*100)</f>
        <v>0.66735016614325349</v>
      </c>
      <c r="G8" s="40">
        <f>IF(2362843.47408="","-",(926669.86229-1141270.32451)/2362843.47408*100)</f>
        <v>-9.0822970109586763</v>
      </c>
    </row>
    <row r="9" spans="1:7" x14ac:dyDescent="0.25">
      <c r="A9" s="44" t="s">
        <v>2</v>
      </c>
      <c r="B9" s="45">
        <f>IF(247455.55428="","-",247455.55428)</f>
        <v>247455.55428000001</v>
      </c>
      <c r="C9" s="45">
        <f>IF(OR(329935.3633="",247455.55428=""),"-",247455.55428/329935.3633*100)</f>
        <v>75.001221998442261</v>
      </c>
      <c r="D9" s="45">
        <f>IF(329935.3633="","-",329935.3633/2362843.47408*100)</f>
        <v>13.963487929663396</v>
      </c>
      <c r="E9" s="45">
        <f>IF(247455.55428="","-",247455.55428/1980083.42341*100)</f>
        <v>12.497228720487165</v>
      </c>
      <c r="F9" s="45">
        <f>IF(OR(2276206.61995="",312875.33525="",329935.3633=""),"-",(329935.3633-312875.33525)/2276206.61995*100)</f>
        <v>0.74949382452700042</v>
      </c>
      <c r="G9" s="45">
        <f>IF(OR(2362843.47408="",247455.55428="",329935.3633=""),"-",(247455.55428-329935.3633)/2362843.47408*100)</f>
        <v>-3.4907013488108629</v>
      </c>
    </row>
    <row r="10" spans="1:7" s="9" customFormat="1" x14ac:dyDescent="0.25">
      <c r="A10" s="44" t="s">
        <v>4</v>
      </c>
      <c r="B10" s="45">
        <f>IF(162438.45118="","-",162438.45118)</f>
        <v>162438.45118</v>
      </c>
      <c r="C10" s="45">
        <f>IF(OR(199354.62937="",162438.45118=""),"-",162438.45118/199354.62937*100)</f>
        <v>81.482156543511223</v>
      </c>
      <c r="D10" s="45">
        <f>IF(199354.62937="","-",199354.62937/2362843.47408*100)</f>
        <v>8.437064560428448</v>
      </c>
      <c r="E10" s="45">
        <f>IF(162438.45118="","-",162438.45118/1980083.42341*100)</f>
        <v>8.2036165375424783</v>
      </c>
      <c r="F10" s="45">
        <f>IF(OR(2276206.61995="",196034.2429="",199354.62937=""),"-",(199354.62937-196034.2429)/2276206.61995*100)</f>
        <v>0.1458736847919779</v>
      </c>
      <c r="G10" s="45">
        <f>IF(OR(2362843.47408="",162438.45118="",199354.62937=""),"-",(162438.45118-199354.62937)/2362843.47408*100)</f>
        <v>-1.5623624076230329</v>
      </c>
    </row>
    <row r="11" spans="1:7" s="9" customFormat="1" x14ac:dyDescent="0.25">
      <c r="A11" s="44" t="s">
        <v>3</v>
      </c>
      <c r="B11" s="45">
        <f>IF(125498.90029="","-",125498.90029)</f>
        <v>125498.90029000001</v>
      </c>
      <c r="C11" s="45">
        <f>IF(OR(164977.28889="",125498.90029=""),"-",125498.90029/164977.28889*100)</f>
        <v>76.070410136074827</v>
      </c>
      <c r="D11" s="45">
        <f>IF(164977.28889="","-",164977.28889/2362843.47408*100)</f>
        <v>6.9821505613796848</v>
      </c>
      <c r="E11" s="45">
        <f>IF(125498.90029="","-",125498.90029/1980083.42341*100)</f>
        <v>6.3380612557157878</v>
      </c>
      <c r="F11" s="45">
        <f>IF(OR(2276206.61995="",160269.2253="",164977.28889=""),"-",(164977.28889-160269.2253)/2276206.61995*100)</f>
        <v>0.20683814679808918</v>
      </c>
      <c r="G11" s="45">
        <f>IF(OR(2362843.47408="",125498.90029="",164977.28889=""),"-",(125498.90029-164977.28889)/2362843.47408*100)</f>
        <v>-1.6707999930199078</v>
      </c>
    </row>
    <row r="12" spans="1:7" s="9" customFormat="1" x14ac:dyDescent="0.25">
      <c r="A12" s="44" t="s">
        <v>5</v>
      </c>
      <c r="B12" s="45">
        <f>IF(76526.11548="","-",76526.11548)</f>
        <v>76526.115479999993</v>
      </c>
      <c r="C12" s="45">
        <f>IF(OR(76876.47591="",76526.11548=""),"-",76526.11548/76876.47591*100)</f>
        <v>99.544255344885784</v>
      </c>
      <c r="D12" s="45">
        <f>IF(76876.47591="","-",76876.47591/2362843.47408*100)</f>
        <v>3.2535577050838178</v>
      </c>
      <c r="E12" s="45">
        <f>IF(76526.11548="","-",76526.11548/1980083.42341*100)</f>
        <v>3.8647924918340339</v>
      </c>
      <c r="F12" s="45">
        <f>IF(OR(2276206.61995="",78946.5275="",76876.47591=""),"-",(76876.47591-78946.5275)/2276206.61995*100)</f>
        <v>-9.0943044091729874E-2</v>
      </c>
      <c r="G12" s="45">
        <f>IF(OR(2362843.47408="",76526.11548="",76876.47591=""),"-",(76526.11548-76876.47591)/2362843.47408*100)</f>
        <v>-1.4827915341976576E-2</v>
      </c>
    </row>
    <row r="13" spans="1:7" s="9" customFormat="1" x14ac:dyDescent="0.25">
      <c r="A13" s="44" t="s">
        <v>128</v>
      </c>
      <c r="B13" s="45">
        <f>IF(57996.25065="","-",57996.25065)</f>
        <v>57996.250650000002</v>
      </c>
      <c r="C13" s="45">
        <f>IF(OR(65411.75334="",57996.25065=""),"-",57996.25065/65411.75334*100)</f>
        <v>88.66334823429149</v>
      </c>
      <c r="D13" s="45">
        <f>IF(65411.75334="","-",65411.75334/2362843.47408*100)</f>
        <v>2.7683489853456678</v>
      </c>
      <c r="E13" s="45">
        <f>IF(57996.25065="","-",57996.25065/1980083.42341*100)</f>
        <v>2.92898016135713</v>
      </c>
      <c r="F13" s="45">
        <f>IF(OR(2276206.61995="",68024.41431="",65411.75334=""),"-",(65411.75334-68024.41431)/2276206.61995*100)</f>
        <v>-0.11478136242558595</v>
      </c>
      <c r="G13" s="45">
        <f>IF(OR(2362843.47408="",57996.25065="",65411.75334=""),"-",(57996.25065-65411.75334)/2362843.47408*100)</f>
        <v>-0.31383808412816305</v>
      </c>
    </row>
    <row r="14" spans="1:7" s="9" customFormat="1" x14ac:dyDescent="0.25">
      <c r="A14" s="44" t="s">
        <v>43</v>
      </c>
      <c r="B14" s="45">
        <f>IF(42298.46556="","-",42298.46556)</f>
        <v>42298.465559999997</v>
      </c>
      <c r="C14" s="45">
        <f>IF(OR(47277.86911="",42298.46556=""),"-",42298.46556/47277.86911*100)</f>
        <v>89.467791920962895</v>
      </c>
      <c r="D14" s="45">
        <f>IF(47277.86911="","-",47277.86911/2362843.47408*100)</f>
        <v>2.0008887439489902</v>
      </c>
      <c r="E14" s="45">
        <f>IF(42298.46556="","-",42298.46556/1980083.42341*100)</f>
        <v>2.1361961349666623</v>
      </c>
      <c r="F14" s="45">
        <f>IF(OR(2276206.61995="",52019.93791="",47277.86911=""),"-",(47277.86911-52019.93791)/2276206.61995*100)</f>
        <v>-0.20833208894296978</v>
      </c>
      <c r="G14" s="45">
        <f>IF(OR(2362843.47408="",42298.46556="",47277.86911=""),"-",(42298.46556-47277.86911)/2362843.47408*100)</f>
        <v>-0.21073776594273938</v>
      </c>
    </row>
    <row r="15" spans="1:7" s="9" customFormat="1" x14ac:dyDescent="0.25">
      <c r="A15" s="44" t="s">
        <v>7</v>
      </c>
      <c r="B15" s="45">
        <f>IF(31547.19875="","-",31547.19875)</f>
        <v>31547.19875</v>
      </c>
      <c r="C15" s="45">
        <f>IF(OR(44984.27509="",31547.19875=""),"-",31547.19875/44984.27509*100)</f>
        <v>70.129392297382907</v>
      </c>
      <c r="D15" s="45">
        <f>IF(44984.27509="","-",44984.27509/2362843.47408*100)</f>
        <v>1.9038195116803132</v>
      </c>
      <c r="E15" s="45">
        <f>IF(31547.19875="","-",31547.19875/1980083.42341*100)</f>
        <v>1.5932257387252402</v>
      </c>
      <c r="F15" s="45">
        <f>IF(OR(2276206.61995="",33391.93649="",44984.27509=""),"-",(44984.27509-33391.93649)/2276206.61995*100)</f>
        <v>0.509283230195273</v>
      </c>
      <c r="G15" s="45">
        <f>IF(OR(2362843.47408="",31547.19875="",44984.27509=""),"-",(31547.19875-44984.27509)/2362843.47408*100)</f>
        <v>-0.56868245769990677</v>
      </c>
    </row>
    <row r="16" spans="1:7" s="9" customFormat="1" x14ac:dyDescent="0.25">
      <c r="A16" s="44" t="s">
        <v>41</v>
      </c>
      <c r="B16" s="45">
        <f>IF(31226.95921="","-",31226.95921)</f>
        <v>31226.959210000001</v>
      </c>
      <c r="C16" s="45">
        <f>IF(OR(35188.76246="",31226.95921=""),"-",31226.95921/35188.76246*100)</f>
        <v>88.741282804408129</v>
      </c>
      <c r="D16" s="45">
        <f>IF(35188.76246="","-",35188.76246/2362843.47408*100)</f>
        <v>1.4892549102813992</v>
      </c>
      <c r="E16" s="45">
        <f>IF(31226.95921="","-",31226.95921/1980083.42341*100)</f>
        <v>1.5770527060027857</v>
      </c>
      <c r="F16" s="45">
        <f>IF(OR(2276206.61995="",34448.96405="",35188.76246=""),"-",(35188.76246-34448.96405)/2276206.61995*100)</f>
        <v>3.2501373272354611E-2</v>
      </c>
      <c r="G16" s="45">
        <f>IF(OR(2362843.47408="",31226.95921="",35188.76246=""),"-",(31226.95921-35188.76246)/2362843.47408*100)</f>
        <v>-0.1676709986700482</v>
      </c>
    </row>
    <row r="17" spans="1:7" s="9" customFormat="1" x14ac:dyDescent="0.25">
      <c r="A17" s="44" t="s">
        <v>8</v>
      </c>
      <c r="B17" s="45">
        <f>IF(23105.27501="","-",23105.27501)</f>
        <v>23105.275010000001</v>
      </c>
      <c r="C17" s="45">
        <f>IF(OR(38420.85678="",23105.27501=""),"-",23105.27501/38420.85678*100)</f>
        <v>60.137323699734523</v>
      </c>
      <c r="D17" s="45">
        <f>IF(38420.85678="","-",38420.85678/2362843.47408*100)</f>
        <v>1.6260432483772376</v>
      </c>
      <c r="E17" s="45">
        <f>IF(23105.27501="","-",23105.27501/1980083.42341*100)</f>
        <v>1.1668839169518048</v>
      </c>
      <c r="F17" s="45">
        <f>IF(OR(2276206.61995="",46594.88351="",38420.85678=""),"-",(38420.85678-46594.88351)/2276206.61995*100)</f>
        <v>-0.35910741399124613</v>
      </c>
      <c r="G17" s="45">
        <f>IF(OR(2362843.47408="",23105.27501="",38420.85678=""),"-",(23105.27501-38420.85678)/2362843.47408*100)</f>
        <v>-0.64818435660293994</v>
      </c>
    </row>
    <row r="18" spans="1:7" s="9" customFormat="1" x14ac:dyDescent="0.25">
      <c r="A18" s="44" t="s">
        <v>10</v>
      </c>
      <c r="B18" s="45">
        <f>IF(21569.4497="","-",21569.4497)</f>
        <v>21569.449700000001</v>
      </c>
      <c r="C18" s="45">
        <f>IF(OR(24435.09942="",21569.4497=""),"-",21569.4497/24435.09942*100)</f>
        <v>88.272404090754478</v>
      </c>
      <c r="D18" s="45">
        <f>IF(24435.09942="","-",24435.09942/2362843.47408*100)</f>
        <v>1.0341395732746994</v>
      </c>
      <c r="E18" s="45">
        <f>IF(21569.4497="","-",21569.4497/1980083.42341*100)</f>
        <v>1.0893202500960379</v>
      </c>
      <c r="F18" s="45">
        <f>IF(OR(2276206.61995="",25586.31869="",24435.09942=""),"-",(24435.09942-25586.31869)/2276206.61995*100)</f>
        <v>-5.057622009838849E-2</v>
      </c>
      <c r="G18" s="45">
        <f>IF(OR(2362843.47408="",21569.4497="",24435.09942=""),"-",(21569.4497-24435.09942)/2362843.47408*100)</f>
        <v>-0.12127971029125281</v>
      </c>
    </row>
    <row r="19" spans="1:7" s="9" customFormat="1" x14ac:dyDescent="0.25">
      <c r="A19" s="44" t="s">
        <v>6</v>
      </c>
      <c r="B19" s="45">
        <f>IF(21458.97488="","-",21458.97488)</f>
        <v>21458.974880000002</v>
      </c>
      <c r="C19" s="45">
        <f>IF(OR(18846.74539="",21458.97488=""),"-",21458.97488/18846.74539*100)</f>
        <v>113.86037448877534</v>
      </c>
      <c r="D19" s="45">
        <f>IF(18846.74539="","-",18846.74539/2362843.47408*100)</f>
        <v>0.79762987251359063</v>
      </c>
      <c r="E19" s="45">
        <f>IF(21458.97488="","-",21458.97488/1980083.42341*100)</f>
        <v>1.0837409488053</v>
      </c>
      <c r="F19" s="45">
        <f>IF(OR(2276206.61995="",26193.64931="",18846.74539=""),"-",(18846.74539-26193.64931)/2276206.61995*100)</f>
        <v>-0.32276964031329392</v>
      </c>
      <c r="G19" s="45">
        <f>IF(OR(2362843.47408="",21458.97488="",18846.74539=""),"-",(21458.97488-18846.74539)/2362843.47408*100)</f>
        <v>0.11055448736472494</v>
      </c>
    </row>
    <row r="20" spans="1:7" s="9" customFormat="1" ht="15.75" customHeight="1" x14ac:dyDescent="0.25">
      <c r="A20" s="44" t="s">
        <v>42</v>
      </c>
      <c r="B20" s="45">
        <f>IF(15271.70262="","-",15271.70262)</f>
        <v>15271.70262</v>
      </c>
      <c r="C20" s="45">
        <f>IF(OR(17264.31821="",15271.70262=""),"-",15271.70262/17264.31821*100)</f>
        <v>88.458185456487826</v>
      </c>
      <c r="D20" s="45">
        <f>IF(17264.31821="","-",17264.31821/2362843.47408*100)</f>
        <v>0.73065856453830735</v>
      </c>
      <c r="E20" s="45">
        <f>IF(15271.70262="","-",15271.70262/1980083.42341*100)</f>
        <v>0.77126561635973101</v>
      </c>
      <c r="F20" s="45">
        <f>IF(OR(2276206.61995="",18610.94423="",17264.31821=""),"-",(17264.31821-18610.94423)/2276206.61995*100)</f>
        <v>-5.9160974588044216E-2</v>
      </c>
      <c r="G20" s="45">
        <f>IF(OR(2362843.47408="",15271.70262="",17264.31821=""),"-",(15271.70262-17264.31821)/2362843.47408*100)</f>
        <v>-8.4331256465299653E-2</v>
      </c>
    </row>
    <row r="21" spans="1:7" s="9" customFormat="1" x14ac:dyDescent="0.25">
      <c r="A21" s="44" t="s">
        <v>9</v>
      </c>
      <c r="B21" s="45">
        <f>IF(9880.25971="","-",9880.25971)</f>
        <v>9880.2597100000003</v>
      </c>
      <c r="C21" s="45">
        <f>IF(OR(8356.53673="",9880.25971=""),"-",9880.25971/8356.53673*100)</f>
        <v>118.23390513596175</v>
      </c>
      <c r="D21" s="45">
        <f>IF(8356.53673="","-",8356.53673/2362843.47408*100)</f>
        <v>0.35366442261917974</v>
      </c>
      <c r="E21" s="45">
        <f>IF(9880.25971="","-",9880.25971/1980083.42341*100)</f>
        <v>0.49898199203065469</v>
      </c>
      <c r="F21" s="45">
        <f>IF(OR(2276206.61995="",9147.95321="",8356.53673=""),"-",(8356.53673-9147.95321)/2276206.61995*100)</f>
        <v>-3.4769096665635053E-2</v>
      </c>
      <c r="G21" s="45">
        <f>IF(OR(2362843.47408="",9880.25971="",8356.53673=""),"-",(9880.25971-8356.53673)/2362843.47408*100)</f>
        <v>6.4486835320028107E-2</v>
      </c>
    </row>
    <row r="22" spans="1:7" s="9" customFormat="1" x14ac:dyDescent="0.25">
      <c r="A22" s="44" t="s">
        <v>53</v>
      </c>
      <c r="B22" s="45">
        <f>IF(9838.54073="","-",9838.54073)</f>
        <v>9838.5407300000006</v>
      </c>
      <c r="C22" s="45">
        <f>IF(OR(9332.43319="",9838.54073=""),"-",9838.54073/9332.43319*100)</f>
        <v>105.4231038111509</v>
      </c>
      <c r="D22" s="45">
        <f>IF(9332.43319="","-",9332.43319/2362843.47408*100)</f>
        <v>0.39496620459100401</v>
      </c>
      <c r="E22" s="45">
        <f>IF(9838.54073="","-",9838.54073/1980083.42341*100)</f>
        <v>0.49687506161010936</v>
      </c>
      <c r="F22" s="45">
        <f>IF(OR(2276206.61995="",8533.7753="",9332.43319=""),"-",(9332.43319-8533.7753)/2276206.61995*100)</f>
        <v>3.5087231668693764E-2</v>
      </c>
      <c r="G22" s="45">
        <f>IF(OR(2362843.47408="",9838.54073="",9332.43319=""),"-",(9838.54073-9332.43319)/2362843.47408*100)</f>
        <v>2.1419427293932772E-2</v>
      </c>
    </row>
    <row r="23" spans="1:7" s="9" customFormat="1" x14ac:dyDescent="0.25">
      <c r="A23" s="44" t="s">
        <v>45</v>
      </c>
      <c r="B23" s="45">
        <f>IF(9224.16448="","-",9224.16448)</f>
        <v>9224.1644799999995</v>
      </c>
      <c r="C23" s="45">
        <f>IF(OR(14103.86159="",9224.16448=""),"-",9224.16448/14103.86159*100)</f>
        <v>65.401694572358608</v>
      </c>
      <c r="D23" s="45">
        <f>IF(14103.86159="","-",14103.86159/2362843.47408*100)</f>
        <v>0.59690206925329647</v>
      </c>
      <c r="E23" s="45">
        <f>IF(9224.16448="","-",9224.16448/1980083.42341*100)</f>
        <v>0.46584726536999177</v>
      </c>
      <c r="F23" s="45">
        <f>IF(OR(2276206.61995="",11485.53931="",14103.86159=""),"-",(14103.86159-11485.53931)/2276206.61995*100)</f>
        <v>0.11503007930174262</v>
      </c>
      <c r="G23" s="45">
        <f>IF(OR(2362843.47408="",9224.16448="",14103.86159=""),"-",(9224.16448-14103.86159)/2362843.47408*100)</f>
        <v>-0.20651800102416715</v>
      </c>
    </row>
    <row r="24" spans="1:7" s="9" customFormat="1" x14ac:dyDescent="0.25">
      <c r="A24" s="44" t="s">
        <v>51</v>
      </c>
      <c r="B24" s="45">
        <f>IF(7465.45514="","-",7465.45514)</f>
        <v>7465.45514</v>
      </c>
      <c r="C24" s="45">
        <f>IF(OR(10215.84397="",7465.45514=""),"-",7465.45514/10215.84397*100)</f>
        <v>73.077223594283225</v>
      </c>
      <c r="D24" s="45">
        <f>IF(10215.84397="","-",10215.84397/2362843.47408*100)</f>
        <v>0.43235381784981142</v>
      </c>
      <c r="E24" s="45">
        <f>IF(7465.45514="","-",7465.45514/1980083.42341*100)</f>
        <v>0.37702730358417774</v>
      </c>
      <c r="F24" s="45">
        <f>IF(OR(2276206.61995="",9791.56617="",10215.84397=""),"-",(10215.84397-9791.56617)/2276206.61995*100)</f>
        <v>1.8639687464282996E-2</v>
      </c>
      <c r="G24" s="45">
        <f>IF(OR(2362843.47408="",7465.45514="",10215.84397=""),"-",(7465.45514-10215.84397)/2362843.47408*100)</f>
        <v>-0.1164016516612847</v>
      </c>
    </row>
    <row r="25" spans="1:7" s="9" customFormat="1" x14ac:dyDescent="0.25">
      <c r="A25" s="44" t="s">
        <v>52</v>
      </c>
      <c r="B25" s="45">
        <f>IF(7127.8818="","-",7127.8818)</f>
        <v>7127.8818000000001</v>
      </c>
      <c r="C25" s="45">
        <f>IF(OR(7214.12192="",7127.8818=""),"-",7127.8818/7214.12192*100)</f>
        <v>98.804565254699781</v>
      </c>
      <c r="D25" s="45">
        <f>IF(7214.12192="","-",7214.12192/2362843.47408*100)</f>
        <v>0.30531526946823678</v>
      </c>
      <c r="E25" s="45">
        <f>IF(7127.8818="","-",7127.8818/1980083.42341*100)</f>
        <v>0.35997886330085632</v>
      </c>
      <c r="F25" s="45">
        <f>IF(OR(2276206.61995="",6672.83788="",7214.12192=""),"-",(7214.12192-6672.83788)/2276206.61995*100)</f>
        <v>2.3780092512510554E-2</v>
      </c>
      <c r="G25" s="45">
        <f>IF(OR(2362843.47408="",7127.8818="",7214.12192=""),"-",(7127.8818-7214.12192)/2362843.47408*100)</f>
        <v>-3.6498448139303027E-3</v>
      </c>
    </row>
    <row r="26" spans="1:7" s="9" customFormat="1" x14ac:dyDescent="0.25">
      <c r="A26" s="44" t="s">
        <v>44</v>
      </c>
      <c r="B26" s="45">
        <f>IF(5818.01701="","-",5818.01701)</f>
        <v>5818.0170099999996</v>
      </c>
      <c r="C26" s="45">
        <f>IF(OR(6721.96451="",5818.01701=""),"-",5818.01701/6721.96451*100)</f>
        <v>86.552331559394077</v>
      </c>
      <c r="D26" s="45">
        <f>IF(6721.96451="","-",6721.96451/2362843.47408*100)</f>
        <v>0.28448623803221973</v>
      </c>
      <c r="E26" s="45">
        <f>IF(5818.01701="","-",5818.01701/1980083.42341*100)</f>
        <v>0.2938268631116816</v>
      </c>
      <c r="F26" s="45">
        <f>IF(OR(2276206.61995="",5356.59742="",6721.96451=""),"-",(6721.96451-5356.59742)/2276206.61995*100)</f>
        <v>5.9984321196201063E-2</v>
      </c>
      <c r="G26" s="45">
        <f>IF(OR(2362843.47408="",5818.01701="",6721.96451=""),"-",(5818.01701-6721.96451)/2362843.47408*100)</f>
        <v>-3.8256766049725846E-2</v>
      </c>
    </row>
    <row r="27" spans="1:7" s="9" customFormat="1" x14ac:dyDescent="0.25">
      <c r="A27" s="44" t="s">
        <v>49</v>
      </c>
      <c r="B27" s="45">
        <f>IF(5254.49695="","-",5254.49695)</f>
        <v>5254.4969499999997</v>
      </c>
      <c r="C27" s="45">
        <f>IF(OR(5133.56742="",5254.49695=""),"-",5254.49695/5133.56742*100)</f>
        <v>102.3556626436592</v>
      </c>
      <c r="D27" s="45">
        <f>IF(5133.56742="","-",5133.56742/2362843.47408*100)</f>
        <v>0.21726227218664212</v>
      </c>
      <c r="E27" s="45">
        <f>IF(5254.49695="","-",5254.49695/1980083.42341*100)</f>
        <v>0.26536745310210058</v>
      </c>
      <c r="F27" s="45">
        <f>IF(OR(2276206.61995="",6523.47022="",5133.56742=""),"-",(5133.56742-6523.47022)/2276206.61995*100)</f>
        <v>-6.1062242233111984E-2</v>
      </c>
      <c r="G27" s="45">
        <f>IF(OR(2362843.47408="",5254.49695="",5133.56742=""),"-",(5254.49695-5133.56742)/2362843.47408*100)</f>
        <v>5.1179661846659022E-3</v>
      </c>
    </row>
    <row r="28" spans="1:7" s="9" customFormat="1" x14ac:dyDescent="0.25">
      <c r="A28" s="44" t="s">
        <v>46</v>
      </c>
      <c r="B28" s="45">
        <f>IF(4264.69189="","-",4264.69189)</f>
        <v>4264.6918900000001</v>
      </c>
      <c r="C28" s="45">
        <f>IF(OR(4444.85408="",4264.69189=""),"-",4264.69189/4444.85408*100)</f>
        <v>95.946724307314042</v>
      </c>
      <c r="D28" s="45">
        <f>IF(4444.85408="","-",4444.85408/2362843.47408*100)</f>
        <v>0.18811462243518498</v>
      </c>
      <c r="E28" s="45">
        <f>IF(4264.69189="","-",4264.69189/1980083.42341*100)</f>
        <v>0.21537940470485645</v>
      </c>
      <c r="F28" s="45">
        <f>IF(OR(2276206.61995="",4760.79268="",4444.85408=""),"-",(4444.85408-4760.79268)/2276206.61995*100)</f>
        <v>-1.3880049255235867E-2</v>
      </c>
      <c r="G28" s="45">
        <f>IF(OR(2362843.47408="",4264.69189="",4444.85408=""),"-",(4264.69189-4444.85408)/2362843.47408*100)</f>
        <v>-7.6248042655533161E-3</v>
      </c>
    </row>
    <row r="29" spans="1:7" s="9" customFormat="1" x14ac:dyDescent="0.25">
      <c r="A29" s="44" t="s">
        <v>50</v>
      </c>
      <c r="B29" s="45">
        <f>IF(4059.90268="","-",4059.90268)</f>
        <v>4059.9026800000001</v>
      </c>
      <c r="C29" s="45">
        <f>IF(OR(5403.57141="",4059.90268=""),"-",4059.90268/5403.57141*100)</f>
        <v>75.133691626368275</v>
      </c>
      <c r="D29" s="45">
        <f>IF(5403.57141="","-",5403.57141/2362843.47408*100)</f>
        <v>0.22868935116846628</v>
      </c>
      <c r="E29" s="45">
        <f>IF(4059.90268="","-",4059.90268/1980083.42341*100)</f>
        <v>0.20503695106988168</v>
      </c>
      <c r="F29" s="45">
        <f>IF(OR(2276206.61995="",4391.58313="",5403.57141=""),"-",(5403.57141-4391.58313)/2276206.61995*100)</f>
        <v>4.4459420824557186E-2</v>
      </c>
      <c r="G29" s="45">
        <f>IF(OR(2362843.47408="",4059.90268="",5403.57141=""),"-",(4059.90268-5403.57141)/2362843.47408*100)</f>
        <v>-5.6866599279208375E-2</v>
      </c>
    </row>
    <row r="30" spans="1:7" s="9" customFormat="1" x14ac:dyDescent="0.25">
      <c r="A30" s="44" t="s">
        <v>54</v>
      </c>
      <c r="B30" s="45">
        <f>IF(3463.71223="","-",3463.71223)</f>
        <v>3463.7122300000001</v>
      </c>
      <c r="C30" s="45">
        <f>IF(OR(2445.15612="",3463.71223=""),"-",3463.71223/2445.15612*100)</f>
        <v>141.65607674981507</v>
      </c>
      <c r="D30" s="45">
        <f>IF(2445.15612="","-",2445.15612/2362843.47408*100)</f>
        <v>0.10348362669059361</v>
      </c>
      <c r="E30" s="45">
        <f>IF(3463.71223="","-",3463.71223/1980083.42341*100)</f>
        <v>0.17492759088074022</v>
      </c>
      <c r="F30" s="45">
        <f>IF(OR(2276206.61995="",2515.00226="",2445.15612=""),"-",(2445.15612-2515.00226)/2276206.61995*100)</f>
        <v>-3.0685325043793418E-3</v>
      </c>
      <c r="G30" s="45">
        <f>IF(OR(2362843.47408="",3463.71223="",2445.15612=""),"-",(3463.71223-2445.15612)/2362843.47408*100)</f>
        <v>4.3107218957725769E-2</v>
      </c>
    </row>
    <row r="31" spans="1:7" s="9" customFormat="1" x14ac:dyDescent="0.25">
      <c r="A31" s="44" t="s">
        <v>129</v>
      </c>
      <c r="B31" s="45">
        <f>IF(1794.10832="","-",1794.10832)</f>
        <v>1794.10832</v>
      </c>
      <c r="C31" s="45">
        <f>IF(OR(2074.86438="",1794.10832=""),"-",1794.10832/2074.86438*100)</f>
        <v>86.468703077354874</v>
      </c>
      <c r="D31" s="45">
        <f>IF(2074.86438="","-",2074.86438/2362843.47408*100)</f>
        <v>8.7812180652714289E-2</v>
      </c>
      <c r="E31" s="45">
        <f>IF(1794.10832="","-",1794.10832/1980083.42341*100)</f>
        <v>9.0607713735125203E-2</v>
      </c>
      <c r="F31" s="45">
        <f>IF(OR(2276206.61995="",1061.51209="",2074.86438=""),"-",(2074.86438-1061.51209)/2276206.61995*100)</f>
        <v>4.4519345525067477E-2</v>
      </c>
      <c r="G31" s="45">
        <f>IF(OR(2362843.47408="",1794.10832="",2074.86438=""),"-",(1794.10832-2074.86438)/2362843.47408*100)</f>
        <v>-1.188212689836831E-2</v>
      </c>
    </row>
    <row r="32" spans="1:7" s="9" customFormat="1" x14ac:dyDescent="0.25">
      <c r="A32" s="44" t="s">
        <v>47</v>
      </c>
      <c r="B32" s="45">
        <f>IF(1388.57767="","-",1388.57767)</f>
        <v>1388.5776699999999</v>
      </c>
      <c r="C32" s="45">
        <f>IF(OR(1919.72853="",1388.57767=""),"-",1388.57767/1919.72853*100)</f>
        <v>72.33198070979337</v>
      </c>
      <c r="D32" s="45">
        <f>IF(1919.72853="","-",1919.72853/2362843.47408*100)</f>
        <v>8.1246538378826311E-2</v>
      </c>
      <c r="E32" s="45">
        <f>IF(1388.57767="","-",1388.57767/1980083.42341*100)</f>
        <v>7.0127230680445837E-2</v>
      </c>
      <c r="F32" s="45">
        <f>IF(OR(2276206.61995="",1919.25248="",1919.72853=""),"-",(1919.72853-1919.25248)/2276206.61995*100)</f>
        <v>2.0914182211210845E-5</v>
      </c>
      <c r="G32" s="45">
        <f>IF(OR(2362843.47408="",1388.57767="",1919.72853=""),"-",(1388.57767-1919.72853)/2362843.47408*100)</f>
        <v>-2.2479307911278796E-2</v>
      </c>
    </row>
    <row r="33" spans="1:7" s="9" customFormat="1" x14ac:dyDescent="0.25">
      <c r="A33" s="44" t="s">
        <v>55</v>
      </c>
      <c r="B33" s="45">
        <f>IF(449.88361="","-",449.88361)</f>
        <v>449.88360999999998</v>
      </c>
      <c r="C33" s="45">
        <f>IF(OR(576.9096="",449.88361=""),"-",449.88361/576.9096*100)</f>
        <v>77.981647384616238</v>
      </c>
      <c r="D33" s="45">
        <f>IF(576.9096="","-",576.9096/2362843.47408*100)</f>
        <v>2.4415904241165458E-2</v>
      </c>
      <c r="E33" s="45">
        <f>IF(449.88361="","-",449.88361/1980083.42341*100)</f>
        <v>2.2720437163462188E-2</v>
      </c>
      <c r="F33" s="45">
        <f>IF(OR(2276206.61995="",452.64233="",576.9096=""),"-",(576.9096-452.64233)/2276206.61995*100)</f>
        <v>5.4594020117000467E-3</v>
      </c>
      <c r="G33" s="45">
        <f>IF(OR(2362843.47408="",449.88361="",576.9096=""),"-",(449.88361-576.9096)/2362843.47408*100)</f>
        <v>-5.3759798900542485E-3</v>
      </c>
    </row>
    <row r="34" spans="1:7" s="9" customFormat="1" x14ac:dyDescent="0.25">
      <c r="A34" s="44" t="s">
        <v>48</v>
      </c>
      <c r="B34" s="45">
        <f>IF(222.59382="","-",222.59382)</f>
        <v>222.59381999999999</v>
      </c>
      <c r="C34" s="45">
        <f>IF(OR(305.84194="",222.59382=""),"-",222.59382/305.84194*100)</f>
        <v>72.78067226489604</v>
      </c>
      <c r="D34" s="45">
        <f>IF(305.84194="","-",305.84194/2362843.47408*100)</f>
        <v>1.2943808735323995E-2</v>
      </c>
      <c r="E34" s="45">
        <f>IF(222.59382="","-",222.59382/1980083.42341*100)</f>
        <v>1.1241638476860744E-2</v>
      </c>
      <c r="F34" s="45">
        <f>IF(OR(2276206.61995="",429.25508="",305.84194=""),"-",(305.84194-429.25508)/2276206.61995*100)</f>
        <v>-5.4218777380900035E-3</v>
      </c>
      <c r="G34" s="45">
        <f>IF(OR(2362843.47408="",222.59382="",305.84194=""),"-",(222.59382-305.84194)/2362843.47408*100)</f>
        <v>-3.5232177210728537E-3</v>
      </c>
    </row>
    <row r="35" spans="1:7" s="9" customFormat="1" x14ac:dyDescent="0.25">
      <c r="A35" s="44" t="s">
        <v>56</v>
      </c>
      <c r="B35" s="45">
        <f>IF(24.27864="","-",24.27864)</f>
        <v>24.278639999999999</v>
      </c>
      <c r="C35" s="45">
        <f>IF(OR(47.63185="",24.27864=""),"-",24.27864/47.63185*100)</f>
        <v>50.971440328267747</v>
      </c>
      <c r="D35" s="45">
        <f>IF(47.63185="","-",47.63185/2362843.47408*100)</f>
        <v>2.0158698839983888E-3</v>
      </c>
      <c r="E35" s="45">
        <f>IF(24.27864="","-",24.27864/1980083.42341*100)</f>
        <v>1.2261422782979794E-3</v>
      </c>
      <c r="F35" s="45">
        <f>IF(OR(2276206.61995="",41.89684="",47.63185=""),"-",(47.63185-41.89684)/2276206.61995*100)</f>
        <v>2.5195471930074519E-4</v>
      </c>
      <c r="G35" s="45">
        <f>IF(OR(2362843.47408="",24.27864="",47.63185=""),"-",(24.27864-47.63185)/2362843.47408*100)</f>
        <v>-9.8835196898063005E-4</v>
      </c>
    </row>
    <row r="36" spans="1:7" s="9" customFormat="1" x14ac:dyDescent="0.25">
      <c r="A36" s="43" t="s">
        <v>181</v>
      </c>
      <c r="B36" s="40">
        <f>IF(489667.8304="","-",489667.8304)</f>
        <v>489667.83039999998</v>
      </c>
      <c r="C36" s="40">
        <f>IF(599803.89432="","-",489667.8304/599803.89432*100)</f>
        <v>81.637987855203633</v>
      </c>
      <c r="D36" s="40">
        <f>IF(599803.89432="","-",599803.89432/2362843.47408*100)</f>
        <v>25.384834031528069</v>
      </c>
      <c r="E36" s="40">
        <f>IF(489667.8304="","-",489667.8304/1980083.42341*100)</f>
        <v>24.729656569555978</v>
      </c>
      <c r="F36" s="40">
        <f>IF(2276206.61995="","-",(599803.89432-533089.43154)/2276206.61995*100)</f>
        <v>2.9309493345320914</v>
      </c>
      <c r="G36" s="40">
        <f>IF(2362843.47408="","-",(489667.8304-599803.89432)/2362843.47408*100)</f>
        <v>-4.6611663078055869</v>
      </c>
    </row>
    <row r="37" spans="1:7" s="9" customFormat="1" x14ac:dyDescent="0.25">
      <c r="A37" s="44" t="s">
        <v>130</v>
      </c>
      <c r="B37" s="45">
        <f>IF(255519.35447="","-",255519.35447)</f>
        <v>255519.35446999999</v>
      </c>
      <c r="C37" s="45">
        <f>IF(OR(312371.0385="",255519.35447=""),"-",255519.35447/312371.0385*100)</f>
        <v>81.799950372159742</v>
      </c>
      <c r="D37" s="45">
        <f>IF(312371.0385="","-",312371.0385/2362843.47408*100)</f>
        <v>13.220132519426631</v>
      </c>
      <c r="E37" s="45">
        <f>IF(255519.35447="","-",255519.35447/1980083.42341*100)</f>
        <v>12.904474197857654</v>
      </c>
      <c r="F37" s="45">
        <f>IF(OR(2276206.61995="",286172.12218="",312371.0385=""),"-",(312371.0385-286172.12218)/2276206.61995*100)</f>
        <v>1.1509902523952553</v>
      </c>
      <c r="G37" s="45">
        <f>IF(OR(2362843.47408="",255519.35447="",312371.0385=""),"-",(255519.35447-312371.0385)/2362843.47408*100)</f>
        <v>-2.4060706794018967</v>
      </c>
    </row>
    <row r="38" spans="1:7" s="9" customFormat="1" x14ac:dyDescent="0.25">
      <c r="A38" s="44" t="s">
        <v>12</v>
      </c>
      <c r="B38" s="45">
        <f>IF(183933.76451="","-",183933.76451)</f>
        <v>183933.76451000001</v>
      </c>
      <c r="C38" s="45">
        <f>IF(OR(224151.43116="",183933.76451=""),"-",183933.76451/224151.43116*100)</f>
        <v>82.05781402247996</v>
      </c>
      <c r="D38" s="45">
        <f>IF(224151.43116="","-",224151.43116/2362843.47408*100)</f>
        <v>9.4865120613745226</v>
      </c>
      <c r="E38" s="45">
        <f>IF(183933.76451="","-",183933.76451/1980083.42341*100)</f>
        <v>9.2891926842778449</v>
      </c>
      <c r="F38" s="45">
        <f>IF(OR(2276206.61995="",204290.25216="",224151.43116=""),"-",(224151.43116-204290.25216)/2276206.61995*100)</f>
        <v>0.87255606876480651</v>
      </c>
      <c r="G38" s="45">
        <f>IF(OR(2362843.47408="",183933.76451="",224151.43116=""),"-",(183933.76451-224151.43116)/2362843.47408*100)</f>
        <v>-1.7020876368316866</v>
      </c>
    </row>
    <row r="39" spans="1:7" s="9" customFormat="1" x14ac:dyDescent="0.25">
      <c r="A39" s="44" t="s">
        <v>11</v>
      </c>
      <c r="B39" s="45">
        <f>IF(37396.51763="","-",37396.51763)</f>
        <v>37396.517630000002</v>
      </c>
      <c r="C39" s="45">
        <f>IF(OR(52775.92007="",37396.51763=""),"-",37396.51763/52775.92007*100)</f>
        <v>70.859053864714554</v>
      </c>
      <c r="D39" s="45">
        <f>IF(52775.92007="","-",52775.92007/2362843.47408*100)</f>
        <v>2.2335766481759398</v>
      </c>
      <c r="E39" s="45">
        <f>IF(37396.51763="","-",37396.51763/1980083.42341*100)</f>
        <v>1.8886334377567588</v>
      </c>
      <c r="F39" s="45">
        <f>IF(OR(2276206.61995="",38913.64511="",52775.92007=""),"-",(52775.92007-38913.64511)/2276206.61995*100)</f>
        <v>0.60900776047758376</v>
      </c>
      <c r="G39" s="45">
        <f>IF(OR(2362843.47408="",37396.51763="",52775.92007=""),"-",(37396.51763-52775.92007)/2362843.47408*100)</f>
        <v>-0.65088536793526464</v>
      </c>
    </row>
    <row r="40" spans="1:7" s="9" customFormat="1" x14ac:dyDescent="0.25">
      <c r="A40" s="44" t="s">
        <v>13</v>
      </c>
      <c r="B40" s="45">
        <f>IF(4302.81312="","-",4302.81312)</f>
        <v>4302.8131199999998</v>
      </c>
      <c r="C40" s="45">
        <f>IF(OR(3926.06436="",4302.81312=""),"-",4302.81312/3926.06436*100)</f>
        <v>109.59609230654588</v>
      </c>
      <c r="D40" s="45">
        <f>IF(3926.06436="","-",3926.06436/2362843.47408*100)</f>
        <v>0.1661584613229049</v>
      </c>
      <c r="E40" s="45">
        <f>IF(4302.81312="","-",4302.81312/1980083.42341*100)</f>
        <v>0.21730463823538865</v>
      </c>
      <c r="F40" s="45">
        <f>IF(OR(2276206.61995="",1223.89514="",3926.06436=""),"-",(3926.06436-1223.89514)/2276206.61995*100)</f>
        <v>0.11871370535155355</v>
      </c>
      <c r="G40" s="45">
        <f>IF(OR(2362843.47408="",4302.81312="",3926.06436=""),"-",(4302.81312-3926.06436)/2362843.47408*100)</f>
        <v>1.5944719323682299E-2</v>
      </c>
    </row>
    <row r="41" spans="1:7" s="9" customFormat="1" x14ac:dyDescent="0.25">
      <c r="A41" s="44" t="s">
        <v>14</v>
      </c>
      <c r="B41" s="45">
        <f>IF(3811.42653="","-",3811.42653)</f>
        <v>3811.4265300000002</v>
      </c>
      <c r="C41" s="45" t="s">
        <v>219</v>
      </c>
      <c r="D41" s="45">
        <f>IF(266.70501="","-",266.70501/2362843.47408*100)</f>
        <v>1.1287459915382023E-2</v>
      </c>
      <c r="E41" s="45">
        <f>IF(3811.42653="","-",3811.42653/1980083.42341*100)</f>
        <v>0.19248817928267653</v>
      </c>
      <c r="F41" s="45">
        <f>IF(OR(2276206.61995="",282.34938="",266.70501=""),"-",(266.70501-282.34938)/2276206.61995*100)</f>
        <v>-6.8730008351981808E-4</v>
      </c>
      <c r="G41" s="45">
        <f>IF(OR(2362843.47408="",3811.42653="",266.70501=""),"-",(3811.42653-266.70501)/2362843.47408*100)</f>
        <v>0.15001931185391693</v>
      </c>
    </row>
    <row r="42" spans="1:7" s="9" customFormat="1" x14ac:dyDescent="0.25">
      <c r="A42" s="44" t="s">
        <v>15</v>
      </c>
      <c r="B42" s="45">
        <f>IF(2907.38094="","-",2907.38094)</f>
        <v>2907.38094</v>
      </c>
      <c r="C42" s="45">
        <f>IF(OR(3891.74553="",2907.38094=""),"-",2907.38094/3891.74553*100)</f>
        <v>74.706347513939335</v>
      </c>
      <c r="D42" s="45">
        <f>IF(3891.74553="","-",3891.74553/2362843.47408*100)</f>
        <v>0.16470602359791503</v>
      </c>
      <c r="E42" s="45">
        <f>IF(2907.38094="","-",2907.38094/1980083.42341*100)</f>
        <v>0.14683123476651577</v>
      </c>
      <c r="F42" s="45">
        <f>IF(OR(2276206.61995="",1790.56967="",3891.74553=""),"-",(3891.74553-1790.56967)/2276206.61995*100)</f>
        <v>9.2310418640560651E-2</v>
      </c>
      <c r="G42" s="45">
        <f>IF(OR(2362843.47408="",2907.38094="",3891.74553=""),"-",(2907.38094-3891.74553)/2362843.47408*100)</f>
        <v>-4.166016923246571E-2</v>
      </c>
    </row>
    <row r="43" spans="1:7" s="9" customFormat="1" x14ac:dyDescent="0.25">
      <c r="A43" s="44" t="s">
        <v>16</v>
      </c>
      <c r="B43" s="45">
        <f>IF(1360.46958="","-",1360.46958)</f>
        <v>1360.46958</v>
      </c>
      <c r="C43" s="45">
        <f>IF(OR(1943.0844="",1360.46958=""),"-",1360.46958/1943.0844*100)</f>
        <v>70.015979748486473</v>
      </c>
      <c r="D43" s="45">
        <f>IF(1943.0844="","-",1943.0844/2362843.47408*100)</f>
        <v>8.2235002924032533E-2</v>
      </c>
      <c r="E43" s="45">
        <f>IF(1360.46958="","-",1360.46958/1980083.42341*100)</f>
        <v>6.8707689984953649E-2</v>
      </c>
      <c r="F43" s="45">
        <f>IF(OR(2276206.61995="",0.918="",1943.0844=""),"-",(1943.0844-0.918)/2276206.61995*100)</f>
        <v>8.5324696931189062E-2</v>
      </c>
      <c r="G43" s="45">
        <f>IF(OR(2362843.47408="",1360.46958="",1943.0844=""),"-",(1360.46958-1943.0844)/2362843.47408*100)</f>
        <v>-2.4657359930574652E-2</v>
      </c>
    </row>
    <row r="44" spans="1:7" s="9" customFormat="1" x14ac:dyDescent="0.25">
      <c r="A44" s="44" t="s">
        <v>17</v>
      </c>
      <c r="B44" s="45">
        <f>IF(379.22349="","-",379.22349)</f>
        <v>379.22349000000003</v>
      </c>
      <c r="C44" s="45">
        <f>IF(OR(424.93483="",379.22349=""),"-",379.22349/424.93483*100)</f>
        <v>89.242741057493461</v>
      </c>
      <c r="D44" s="45">
        <f>IF(424.93483="","-",424.93483/2362843.47408*100)</f>
        <v>1.7984044845181849E-2</v>
      </c>
      <c r="E44" s="45">
        <f>IF(379.22349="","-",379.22349/1980083.42341*100)</f>
        <v>1.9151894587699766E-2</v>
      </c>
      <c r="F44" s="45">
        <f>IF(OR(2276206.61995="",356.94534="",424.93483=""),"-",(424.93483-356.94534)/2276206.61995*100)</f>
        <v>2.9869647774547581E-3</v>
      </c>
      <c r="G44" s="45">
        <f>IF(OR(2362843.47408="",379.22349="",424.93483=""),"-",(379.22349-424.93483)/2362843.47408*100)</f>
        <v>-1.9345902723327106E-3</v>
      </c>
    </row>
    <row r="45" spans="1:7" s="9" customFormat="1" x14ac:dyDescent="0.25">
      <c r="A45" s="44" t="s">
        <v>132</v>
      </c>
      <c r="B45" s="45">
        <f>IF(56.69462="","-",56.69462)</f>
        <v>56.69462</v>
      </c>
      <c r="C45" s="45">
        <f>IF(OR(52.90136="",56.69462=""),"-",56.69462/52.90136*100)</f>
        <v>107.17043947452392</v>
      </c>
      <c r="D45" s="45">
        <f>IF(52.90136="","-",52.90136/2362843.47408*100)</f>
        <v>2.2388855030102128E-3</v>
      </c>
      <c r="E45" s="45">
        <f>IF(56.69462="","-",56.69462/1980083.42341*100)</f>
        <v>2.8632440093035766E-3</v>
      </c>
      <c r="F45" s="45">
        <f>IF(OR(2276206.61995="",58.69841="",52.90136=""),"-",(52.90136-58.69841)/2276206.61995*100)</f>
        <v>-2.5468030666422306E-4</v>
      </c>
      <c r="G45" s="45">
        <f>IF(OR(2362843.47408="",56.69462="",52.90136=""),"-",(56.69462-52.90136)/2362843.47408*100)</f>
        <v>1.6053792989723759E-4</v>
      </c>
    </row>
    <row r="46" spans="1:7" s="9" customFormat="1" x14ac:dyDescent="0.25">
      <c r="A46" s="44" t="s">
        <v>18</v>
      </c>
      <c r="B46" s="45">
        <f>IF(0.18551="","-",0.18551)</f>
        <v>0.18551000000000001</v>
      </c>
      <c r="C46" s="45" t="s">
        <v>220</v>
      </c>
      <c r="D46" s="45">
        <f>IF(0.0691="","-",0.0691/2362843.47408*100)</f>
        <v>2.9244425522898785E-6</v>
      </c>
      <c r="E46" s="45">
        <f>IF(0.18551="","-",0.18551/1980083.42341*100)</f>
        <v>9.3687971833289745E-6</v>
      </c>
      <c r="F46" s="45">
        <f>IF(OR(2276206.61995="",0.03615="",0.0691=""),"-",(0.0691-0.03615)/2276206.61995*100)</f>
        <v>1.4475838753480026E-6</v>
      </c>
      <c r="G46" s="45">
        <f>IF(OR(2362843.47408="",0.18551="",0.0691=""),"-",(0.18551-0.0691)/2362843.47408*100)</f>
        <v>4.9266911362093321E-6</v>
      </c>
    </row>
    <row r="47" spans="1:7" s="9" customFormat="1" x14ac:dyDescent="0.25">
      <c r="A47" s="48" t="s">
        <v>182</v>
      </c>
      <c r="B47" s="40">
        <f>IF(563745.73072="","-",563745.73072)</f>
        <v>563745.73071999999</v>
      </c>
      <c r="C47" s="40">
        <f>IF(621769.25525="","-",563745.73072/621769.25525*100)</f>
        <v>90.667997164531712</v>
      </c>
      <c r="D47" s="40">
        <f>IF(621769.25525="","-",621769.25525/2362843.47408*100)</f>
        <v>26.314449605769717</v>
      </c>
      <c r="E47" s="40">
        <f>IF(563745.73072="","-",563745.73072/1980083.42341*100)</f>
        <v>28.470807040500617</v>
      </c>
      <c r="F47" s="40">
        <f>IF(2276206.61995="","-",(621769.25525-617037.13256)/2276206.61995*100)</f>
        <v>0.20789512905045221</v>
      </c>
      <c r="G47" s="40">
        <f>IF(2362843.47408="","-",(563745.73072-621769.25525)/2362843.47408*100)</f>
        <v>-2.455665183348303</v>
      </c>
    </row>
    <row r="48" spans="1:7" s="9" customFormat="1" x14ac:dyDescent="0.25">
      <c r="A48" s="49" t="s">
        <v>60</v>
      </c>
      <c r="B48" s="45">
        <f>IF(210794.22035="","-",210794.22035)</f>
        <v>210794.22034999999</v>
      </c>
      <c r="C48" s="45">
        <f>IF(OR(234155.67584="",210794.22035=""),"-",210794.22035/234155.67584*100)</f>
        <v>90.023109452207748</v>
      </c>
      <c r="D48" s="45">
        <f>IF(234155.67584="","-",234155.67584/2362843.47408*100)</f>
        <v>9.9099105974919119</v>
      </c>
      <c r="E48" s="45">
        <f>IF(210794.22035="","-",210794.22035/1980083.42341*100)</f>
        <v>10.645724208275062</v>
      </c>
      <c r="F48" s="45">
        <f>IF(OR(2276206.61995="",238870.72996="",234155.67584=""),"-",(234155.67584-238870.72996)/2276206.61995*100)</f>
        <v>-0.20714525995463268</v>
      </c>
      <c r="G48" s="45">
        <f>IF(OR(2362843.47408="",210794.22035="",234155.67584=""),"-",(210794.22035-234155.67584)/2362843.47408*100)</f>
        <v>-0.98870093369583312</v>
      </c>
    </row>
    <row r="49" spans="1:7" s="9" customFormat="1" x14ac:dyDescent="0.25">
      <c r="A49" s="49" t="s">
        <v>57</v>
      </c>
      <c r="B49" s="45">
        <f>IF(134878.86975="","-",134878.86975)</f>
        <v>134878.86975000001</v>
      </c>
      <c r="C49" s="45">
        <f>IF(OR(154691.72655="",134878.86975=""),"-",134878.86975/154691.72655*100)</f>
        <v>87.192038487206361</v>
      </c>
      <c r="D49" s="45">
        <f>IF(154691.72655="","-",154691.72655/2362843.47408*100)</f>
        <v>6.5468461303908834</v>
      </c>
      <c r="E49" s="45">
        <f>IF(134878.86975="","-",134878.86975/1980083.42341*100)</f>
        <v>6.8117771279413279</v>
      </c>
      <c r="F49" s="45">
        <f>IF(OR(2276206.61995="",138502.72538="",154691.72655=""),"-",(154691.72655-138502.72538)/2276206.61995*100)</f>
        <v>0.71122722463374677</v>
      </c>
      <c r="G49" s="45">
        <f>IF(OR(2362843.47408="",134878.86975="",154691.72655=""),"-",(134878.86975-154691.72655)/2362843.47408*100)</f>
        <v>-0.83851753268228391</v>
      </c>
    </row>
    <row r="50" spans="1:7" s="9" customFormat="1" x14ac:dyDescent="0.25">
      <c r="A50" s="49" t="s">
        <v>19</v>
      </c>
      <c r="B50" s="45">
        <f>IF(27071.06223="","-",27071.06223)</f>
        <v>27071.06223</v>
      </c>
      <c r="C50" s="45">
        <f>IF(OR(30082.26799="",27071.06223=""),"-",27071.06223/30082.26799*100)</f>
        <v>89.990097285879528</v>
      </c>
      <c r="D50" s="45">
        <f>IF(30082.26799="","-",30082.26799/2362843.47408*100)</f>
        <v>1.2731384164883319</v>
      </c>
      <c r="E50" s="45">
        <f>IF(27071.06223="","-",27071.06223/1980083.42341*100)</f>
        <v>1.3671677622238552</v>
      </c>
      <c r="F50" s="45">
        <f>IF(OR(2276206.61995="",33016.40187="",30082.26799=""),"-",(30082.26799-33016.40187)/2276206.61995*100)</f>
        <v>-0.1289045490986426</v>
      </c>
      <c r="G50" s="45">
        <f>IF(OR(2362843.47408="",27071.06223="",30082.26799=""),"-",(27071.06223-30082.26799)/2362843.47408*100)</f>
        <v>-0.1274399169065758</v>
      </c>
    </row>
    <row r="51" spans="1:7" s="9" customFormat="1" ht="25.5" x14ac:dyDescent="0.25">
      <c r="A51" s="49" t="s">
        <v>127</v>
      </c>
      <c r="B51" s="45">
        <f>IF(20830.29665="","-",20830.29665)</f>
        <v>20830.29665</v>
      </c>
      <c r="C51" s="45">
        <f>IF(OR(23531.58652="",20830.29665=""),"-",20830.29665/23531.58652*100)</f>
        <v>88.520579062086966</v>
      </c>
      <c r="D51" s="45">
        <f>IF(23531.58652="","-",23531.58652/2362843.47408*100)</f>
        <v>0.99590120031807405</v>
      </c>
      <c r="E51" s="45">
        <f>IF(20830.29665="","-",20830.29665/1980083.42341*100)</f>
        <v>1.0519908607753057</v>
      </c>
      <c r="F51" s="45">
        <f>IF(OR(2276206.61995="",24198.01658="",23531.58652=""),"-",(23531.58652-24198.01658)/2276206.61995*100)</f>
        <v>-2.9278100421948419E-2</v>
      </c>
      <c r="G51" s="45">
        <f>IF(OR(2362843.47408="",20830.29665="",23531.58652=""),"-",(20830.29665-23531.58652)/2362843.47408*100)</f>
        <v>-0.11432369091024018</v>
      </c>
    </row>
    <row r="52" spans="1:7" s="9" customFormat="1" x14ac:dyDescent="0.25">
      <c r="A52" s="49" t="s">
        <v>77</v>
      </c>
      <c r="B52" s="45">
        <f>IF(19624.41685="","-",19624.41685)</f>
        <v>19624.416850000001</v>
      </c>
      <c r="C52" s="45">
        <f>IF(OR(18347.85685="",19624.41685=""),"-",19624.41685/18347.85685*100)</f>
        <v>106.95754283694447</v>
      </c>
      <c r="D52" s="45">
        <f>IF(18347.85685="","-",18347.85685/2362843.47408*100)</f>
        <v>0.77651596693868796</v>
      </c>
      <c r="E52" s="45">
        <f>IF(19624.41685="","-",19624.41685/1980083.42341*100)</f>
        <v>0.99109040649427893</v>
      </c>
      <c r="F52" s="45">
        <f>IF(OR(2276206.61995="",24013.97071="",18347.85685=""),"-",(18347.85685-24013.97071)/2276206.61995*100)</f>
        <v>-0.24892792290202834</v>
      </c>
      <c r="G52" s="45">
        <f>IF(OR(2362843.47408="",19624.41685="",18347.85685=""),"-",(19624.41685-18347.85685)/2362843.47408*100)</f>
        <v>5.4026431035472819E-2</v>
      </c>
    </row>
    <row r="53" spans="1:7" s="9" customFormat="1" x14ac:dyDescent="0.25">
      <c r="A53" s="49" t="s">
        <v>37</v>
      </c>
      <c r="B53" s="45">
        <f>IF(15092.9909="","-",15092.9909)</f>
        <v>15092.990900000001</v>
      </c>
      <c r="C53" s="45">
        <f>IF(OR(13886.97106="",15092.9909=""),"-",15092.9909/13886.97106*100)</f>
        <v>108.68454204152422</v>
      </c>
      <c r="D53" s="45">
        <f>IF(13886.97106="","-",13886.97106/2362843.47408*100)</f>
        <v>0.58772285224720822</v>
      </c>
      <c r="E53" s="45">
        <f>IF(15092.9909="","-",15092.9909/1980083.42341*100)</f>
        <v>0.7622401521854878</v>
      </c>
      <c r="F53" s="45">
        <f>IF(OR(2276206.61995="",14601.17045="",13886.97106=""),"-",(13886.97106-14601.17045)/2276206.61995*100)</f>
        <v>-3.1376738110694365E-2</v>
      </c>
      <c r="G53" s="45">
        <f>IF(OR(2362843.47408="",15092.9909="",13886.97106=""),"-",(15092.9909-13886.97106)/2362843.47408*100)</f>
        <v>5.1041038191054038E-2</v>
      </c>
    </row>
    <row r="54" spans="1:7" s="9" customFormat="1" x14ac:dyDescent="0.25">
      <c r="A54" s="49" t="s">
        <v>70</v>
      </c>
      <c r="B54" s="45">
        <f>IF(13943.65937="","-",13943.65937)</f>
        <v>13943.659369999999</v>
      </c>
      <c r="C54" s="45">
        <f>IF(OR(14884.32898="",13943.65937=""),"-",13943.65937/14884.32898*100)</f>
        <v>93.680134245460621</v>
      </c>
      <c r="D54" s="45">
        <f>IF(14884.32898="","-",14884.32898/2362843.47408*100)</f>
        <v>0.62993292375388443</v>
      </c>
      <c r="E54" s="45">
        <f>IF(13943.65937="","-",13943.65937/1980083.42341*100)</f>
        <v>0.70419555081103258</v>
      </c>
      <c r="F54" s="45">
        <f>IF(OR(2276206.61995="",12991.74925="",14884.32898=""),"-",(14884.32898-12991.74925)/2276206.61995*100)</f>
        <v>8.3146218511638129E-2</v>
      </c>
      <c r="G54" s="45">
        <f>IF(OR(2362843.47408="",13943.65937="",14884.32898=""),"-",(13943.65937-14884.32898)/2362843.47408*100)</f>
        <v>-3.9810915124890413E-2</v>
      </c>
    </row>
    <row r="55" spans="1:7" s="9" customFormat="1" x14ac:dyDescent="0.25">
      <c r="A55" s="49" t="s">
        <v>67</v>
      </c>
      <c r="B55" s="45">
        <f>IF(11148.27811="","-",11148.27811)</f>
        <v>11148.278109999999</v>
      </c>
      <c r="C55" s="45">
        <f>IF(OR(8008.84997="",11148.27811=""),"-",11148.27811/8008.84997*100)</f>
        <v>139.19948746399103</v>
      </c>
      <c r="D55" s="45">
        <f>IF(8008.84997="","-",8008.84997/2362843.47408*100)</f>
        <v>0.33894966204303212</v>
      </c>
      <c r="E55" s="45">
        <f>IF(11148.27811="","-",11148.27811/1980083.42341*100)</f>
        <v>0.56302062722190738</v>
      </c>
      <c r="F55" s="45">
        <f>IF(OR(2276206.61995="",10369.66561="",8008.84997=""),"-",(8008.84997-10369.66561)/2276206.61995*100)</f>
        <v>-0.10371710631664265</v>
      </c>
      <c r="G55" s="45">
        <f>IF(OR(2362843.47408="",11148.27811="",8008.84997=""),"-",(11148.27811-8008.84997)/2362843.47408*100)</f>
        <v>0.13286653028179832</v>
      </c>
    </row>
    <row r="56" spans="1:7" s="9" customFormat="1" x14ac:dyDescent="0.25">
      <c r="A56" s="49" t="s">
        <v>133</v>
      </c>
      <c r="B56" s="45">
        <f>IF(10925.38269="","-",10925.38269)</f>
        <v>10925.38269</v>
      </c>
      <c r="C56" s="45">
        <f>IF(OR(14442.08779="",10925.38269=""),"-",10925.38269/14442.08779*100)</f>
        <v>75.64960723729267</v>
      </c>
      <c r="D56" s="45">
        <f>IF(14442.08779="","-",14442.08779/2362843.47408*100)</f>
        <v>0.61121644105618078</v>
      </c>
      <c r="E56" s="45">
        <f>IF(10925.38269="","-",10925.38269/1980083.42341*100)</f>
        <v>0.55176375706357139</v>
      </c>
      <c r="F56" s="45">
        <f>IF(OR(2276206.61995="",12122.04589="",14442.08779=""),"-",(14442.08779-12122.04589)/2276206.61995*100)</f>
        <v>0.10192580408411968</v>
      </c>
      <c r="G56" s="45">
        <f>IF(OR(2362843.47408="",10925.38269="",14442.08779=""),"-",(10925.38269-14442.08779)/2362843.47408*100)</f>
        <v>-0.14883360402742157</v>
      </c>
    </row>
    <row r="57" spans="1:7" s="9" customFormat="1" x14ac:dyDescent="0.25">
      <c r="A57" s="49" t="s">
        <v>73</v>
      </c>
      <c r="B57" s="45">
        <f>IF(10221.6542="","-",10221.6542)</f>
        <v>10221.654200000001</v>
      </c>
      <c r="C57" s="45">
        <f>IF(OR(16982.9401="",10221.6542=""),"-",10221.6542/16982.9401*100)</f>
        <v>60.187777497961036</v>
      </c>
      <c r="D57" s="45">
        <f>IF(16982.9401="","-",16982.9401/2362843.47408*100)</f>
        <v>0.71875011130868494</v>
      </c>
      <c r="E57" s="45">
        <f>IF(10221.6542="","-",10221.6542/1980083.42341*100)</f>
        <v>0.5162234115569122</v>
      </c>
      <c r="F57" s="45">
        <f>IF(OR(2276206.61995="",13985.65776="",16982.9401=""),"-",(16982.9401-13985.65776)/2276206.61995*100)</f>
        <v>0.13167883415020729</v>
      </c>
      <c r="G57" s="45">
        <f>IF(OR(2362843.47408="",10221.6542="",16982.9401=""),"-",(10221.6542-16982.9401)/2362843.47408*100)</f>
        <v>-0.28615039354786642</v>
      </c>
    </row>
    <row r="58" spans="1:7" s="9" customFormat="1" x14ac:dyDescent="0.25">
      <c r="A58" s="49" t="s">
        <v>80</v>
      </c>
      <c r="B58" s="45">
        <f>IF(8801.0116="","-",8801.0116)</f>
        <v>8801.0115999999998</v>
      </c>
      <c r="C58" s="45">
        <f>IF(OR(8313.04135="",8801.0116=""),"-",8801.0116/8313.04135*100)</f>
        <v>105.86993651848009</v>
      </c>
      <c r="D58" s="45">
        <f>IF(8313.04135="","-",8313.04135/2362843.47408*100)</f>
        <v>0.35182361596071343</v>
      </c>
      <c r="E58" s="45">
        <f>IF(8801.0116="","-",8801.0116/1980083.42341*100)</f>
        <v>0.44447680819646174</v>
      </c>
      <c r="F58" s="45">
        <f>IF(OR(2276206.61995="",7344.88279="",8313.04135=""),"-",(8313.04135-7344.88279)/2276206.61995*100)</f>
        <v>4.2533861008684115E-2</v>
      </c>
      <c r="G58" s="45">
        <f>IF(OR(2362843.47408="",8801.0116="",8313.04135=""),"-",(8801.0116-8313.04135)/2362843.47408*100)</f>
        <v>2.0651822913915069E-2</v>
      </c>
    </row>
    <row r="59" spans="1:7" s="9" customFormat="1" x14ac:dyDescent="0.25">
      <c r="A59" s="49" t="s">
        <v>71</v>
      </c>
      <c r="B59" s="45">
        <f>IF(6308.25799="","-",6308.25799)</f>
        <v>6308.2579900000001</v>
      </c>
      <c r="C59" s="45">
        <f>IF(OR(9067.49802="",6308.25799=""),"-",6308.25799/9067.49802*100)</f>
        <v>69.56999578148239</v>
      </c>
      <c r="D59" s="45">
        <f>IF(9067.49802="","-",9067.49802/2362843.47408*100)</f>
        <v>0.38375364764822323</v>
      </c>
      <c r="E59" s="45">
        <f>IF(6308.25799="","-",6308.25799/1980083.42341*100)</f>
        <v>0.31858546541116112</v>
      </c>
      <c r="F59" s="45">
        <f>IF(OR(2276206.61995="",8393.15166="",9067.49802=""),"-",(9067.49802-8393.15166)/2276206.61995*100)</f>
        <v>2.9625885193797313E-2</v>
      </c>
      <c r="G59" s="45">
        <f>IF(OR(2362843.47408="",6308.25799="",9067.49802=""),"-",(6308.25799-9067.49802)/2362843.47408*100)</f>
        <v>-0.11677625116806953</v>
      </c>
    </row>
    <row r="60" spans="1:7" s="9" customFormat="1" x14ac:dyDescent="0.25">
      <c r="A60" s="49" t="s">
        <v>63</v>
      </c>
      <c r="B60" s="45">
        <f>IF(4989.15965="","-",4989.15965)</f>
        <v>4989.1596499999996</v>
      </c>
      <c r="C60" s="45">
        <f>IF(OR(5613.41607="",4989.15965=""),"-",4989.15965/5613.41607*100)</f>
        <v>88.879206311888424</v>
      </c>
      <c r="D60" s="45">
        <f>IF(5613.41607="","-",5613.41607/2362843.47408*100)</f>
        <v>0.2375703736442232</v>
      </c>
      <c r="E60" s="45">
        <f>IF(4989.15965="","-",4989.15965/1980083.42341*100)</f>
        <v>0.25196714396042563</v>
      </c>
      <c r="F60" s="45">
        <f>IF(OR(2276206.61995="",7101.41976="",5613.41607=""),"-",(5613.41607-7101.41976)/2276206.61995*100)</f>
        <v>-6.5372083402195066E-2</v>
      </c>
      <c r="G60" s="45">
        <f>IF(OR(2362843.47408="",4989.15965="",5613.41607=""),"-",(4989.15965-5613.41607)/2362843.47408*100)</f>
        <v>-2.6419711117049847E-2</v>
      </c>
    </row>
    <row r="61" spans="1:7" s="9" customFormat="1" x14ac:dyDescent="0.25">
      <c r="A61" s="49" t="s">
        <v>64</v>
      </c>
      <c r="B61" s="45">
        <f>IF(4281.87733="","-",4281.87733)</f>
        <v>4281.8773300000003</v>
      </c>
      <c r="C61" s="45">
        <f>IF(OR(4819.05122="",4281.87733=""),"-",4281.87733/4819.05122*100)</f>
        <v>88.853119307580215</v>
      </c>
      <c r="D61" s="45">
        <f>IF(4819.05122="","-",4819.05122/2362843.47408*100)</f>
        <v>0.20395135237963033</v>
      </c>
      <c r="E61" s="45">
        <f>IF(4281.87733="","-",4281.87733/1980083.42341*100)</f>
        <v>0.2162473196521168</v>
      </c>
      <c r="F61" s="45">
        <f>IF(OR(2276206.61995="",3276.70262="",4819.05122=""),"-",(4819.05122-3276.70262)/2276206.61995*100)</f>
        <v>6.7759604355859399E-2</v>
      </c>
      <c r="G61" s="45">
        <f>IF(OR(2362843.47408="",4281.87733="",4819.05122=""),"-",(4281.87733-4819.05122)/2362843.47408*100)</f>
        <v>-2.2734213920334048E-2</v>
      </c>
    </row>
    <row r="62" spans="1:7" s="9" customFormat="1" x14ac:dyDescent="0.25">
      <c r="A62" s="49" t="s">
        <v>62</v>
      </c>
      <c r="B62" s="45">
        <f>IF(4178.71242="","-",4178.71242)</f>
        <v>4178.7124199999998</v>
      </c>
      <c r="C62" s="45">
        <f>IF(OR(4500.49038="",4178.71242=""),"-",4178.71242/4500.49038*100)</f>
        <v>92.850157808803047</v>
      </c>
      <c r="D62" s="45">
        <f>IF(4500.49038="","-",4500.49038/2362843.47408*100)</f>
        <v>0.19046925576618304</v>
      </c>
      <c r="E62" s="45">
        <f>IF(4178.71242="","-",4178.71242/1980083.42341*100)</f>
        <v>0.21103719018078698</v>
      </c>
      <c r="F62" s="45">
        <f>IF(OR(2276206.61995="",3934.57865="",4500.49038=""),"-",(4500.49038-3934.57865)/2276206.61995*100)</f>
        <v>2.4862054483104492E-2</v>
      </c>
      <c r="G62" s="45">
        <f>IF(OR(2362843.47408="",4178.71242="",4500.49038=""),"-",(4178.71242-4500.49038)/2362843.47408*100)</f>
        <v>-1.3618251210029401E-2</v>
      </c>
    </row>
    <row r="63" spans="1:7" s="9" customFormat="1" x14ac:dyDescent="0.25">
      <c r="A63" s="49" t="s">
        <v>84</v>
      </c>
      <c r="B63" s="45">
        <f>IF(3976.49933="","-",3976.49933)</f>
        <v>3976.4993300000001</v>
      </c>
      <c r="C63" s="45">
        <f>IF(OR(3638.31812="",3976.49933=""),"-",3976.49933/3638.31812*100)</f>
        <v>109.29498737729951</v>
      </c>
      <c r="D63" s="45">
        <f>IF(3638.31812="","-",3638.31812/2362843.47408*100)</f>
        <v>0.15398049680022163</v>
      </c>
      <c r="E63" s="45">
        <f>IF(3976.49933="","-",3976.49933/1980083.42341*100)</f>
        <v>0.20082483813494448</v>
      </c>
      <c r="F63" s="45">
        <f>IF(OR(2276206.61995="",5070.77729="",3638.31812=""),"-",(3638.31812-5070.77729)/2276206.61995*100)</f>
        <v>-6.2931860290937294E-2</v>
      </c>
      <c r="G63" s="45">
        <f>IF(OR(2362843.47408="",3976.49933="",3638.31812=""),"-",(3976.49933-3638.31812)/2362843.47408*100)</f>
        <v>1.431246774108365E-2</v>
      </c>
    </row>
    <row r="64" spans="1:7" s="9" customFormat="1" x14ac:dyDescent="0.25">
      <c r="A64" s="49" t="s">
        <v>72</v>
      </c>
      <c r="B64" s="45">
        <f>IF(3863.77629="","-",3863.77629)</f>
        <v>3863.7762899999998</v>
      </c>
      <c r="C64" s="45">
        <f>IF(OR(4226.35234="",3863.77629=""),"-",3863.77629/4226.35234*100)</f>
        <v>91.421064292997386</v>
      </c>
      <c r="D64" s="45">
        <f>IF(4226.35234="","-",4226.35234/2362843.47408*100)</f>
        <v>0.17886721597779889</v>
      </c>
      <c r="E64" s="45">
        <f>IF(3863.77629="","-",3863.77629/1980083.42341*100)</f>
        <v>0.19513199516341581</v>
      </c>
      <c r="F64" s="45">
        <f>IF(OR(2276206.61995="",4912.34651="",4226.35234=""),"-",(4226.35234-4912.34651)/2276206.61995*100)</f>
        <v>-3.0137605434741629E-2</v>
      </c>
      <c r="G64" s="45">
        <f>IF(OR(2362843.47408="",3863.77629="",4226.35234=""),"-",(3863.77629-4226.35234)/2362843.47408*100)</f>
        <v>-1.5344903459640874E-2</v>
      </c>
    </row>
    <row r="65" spans="1:7" s="9" customFormat="1" x14ac:dyDescent="0.25">
      <c r="A65" s="49" t="s">
        <v>75</v>
      </c>
      <c r="B65" s="45">
        <f>IF(3776.65136="","-",3776.65136)</f>
        <v>3776.6513599999998</v>
      </c>
      <c r="C65" s="45">
        <f>IF(OR(2918.22865="",3776.65136=""),"-",3776.65136/2918.22865*100)</f>
        <v>129.41588247377393</v>
      </c>
      <c r="D65" s="45">
        <f>IF(2918.22865="","-",2918.22865/2362843.47408*100)</f>
        <v>0.1235049499474884</v>
      </c>
      <c r="E65" s="45">
        <f>IF(3776.65136="","-",3776.65136/1980083.42341*100)</f>
        <v>0.19073193156155213</v>
      </c>
      <c r="F65" s="45">
        <f>IF(OR(2276206.61995="",1955.10533="",2918.22865=""),"-",(2918.22865-1955.10533)/2276206.61995*100)</f>
        <v>4.2312649104814401E-2</v>
      </c>
      <c r="G65" s="45">
        <f>IF(OR(2362843.47408="",3776.65136="",2918.22865=""),"-",(3776.65136-2918.22865)/2362843.47408*100)</f>
        <v>3.6330070925846517E-2</v>
      </c>
    </row>
    <row r="66" spans="1:7" s="9" customFormat="1" x14ac:dyDescent="0.25">
      <c r="A66" s="49" t="s">
        <v>83</v>
      </c>
      <c r="B66" s="45">
        <f>IF(3528.17938="","-",3528.17938)</f>
        <v>3528.17938</v>
      </c>
      <c r="C66" s="45">
        <f>IF(OR(4099.17671="",3528.17938=""),"-",3528.17938/4099.17671*100)</f>
        <v>86.070438763787777</v>
      </c>
      <c r="D66" s="45">
        <f>IF(4099.17671="","-",4099.17671/2362843.47408*100)</f>
        <v>0.17348490304022618</v>
      </c>
      <c r="E66" s="45">
        <f>IF(3528.17938="","-",3528.17938/1980083.42341*100)</f>
        <v>0.17818337037153451</v>
      </c>
      <c r="F66" s="45">
        <f>IF(OR(2276206.61995="",3791.76572="",4099.17671=""),"-",(4099.17671-3791.76572)/2276206.61995*100)</f>
        <v>1.35054079583844E-2</v>
      </c>
      <c r="G66" s="45">
        <f>IF(OR(2362843.47408="",3528.17938="",4099.17671=""),"-",(3528.17938-4099.17671)/2362843.47408*100)</f>
        <v>-2.4165685804571714E-2</v>
      </c>
    </row>
    <row r="67" spans="1:7" s="9" customFormat="1" x14ac:dyDescent="0.25">
      <c r="A67" s="49" t="s">
        <v>79</v>
      </c>
      <c r="B67" s="45">
        <f>IF(3321.79248="","-",3321.79248)</f>
        <v>3321.7924800000001</v>
      </c>
      <c r="C67" s="45">
        <f>IF(OR(3565.46353="",3321.79248=""),"-",3321.79248/3565.46353*100)</f>
        <v>93.16579603325799</v>
      </c>
      <c r="D67" s="45">
        <f>IF(3565.46353="","-",3565.46353/2362843.47408*100)</f>
        <v>0.15089715290549469</v>
      </c>
      <c r="E67" s="45">
        <f>IF(3321.79248="","-",3321.79248/1980083.42341*100)</f>
        <v>0.16776022872204932</v>
      </c>
      <c r="F67" s="45">
        <f>IF(OR(2276206.61995="",3640.23128="",3565.46353=""),"-",(3565.46353-3640.23128)/2276206.61995*100)</f>
        <v>-3.2847523306843889E-3</v>
      </c>
      <c r="G67" s="45">
        <f>IF(OR(2362843.47408="",3321.79248="",3565.46353=""),"-",(3321.79248-3565.46353)/2362843.47408*100)</f>
        <v>-1.0312619209568082E-2</v>
      </c>
    </row>
    <row r="68" spans="1:7" s="9" customFormat="1" x14ac:dyDescent="0.25">
      <c r="A68" s="49" t="s">
        <v>59</v>
      </c>
      <c r="B68" s="45">
        <f>IF(2848.19983="","-",2848.19983)</f>
        <v>2848.19983</v>
      </c>
      <c r="C68" s="45" t="s">
        <v>100</v>
      </c>
      <c r="D68" s="45">
        <f>IF(1311.65475="","-",1311.65475/2362843.47408*100)</f>
        <v>5.5511707160826956E-2</v>
      </c>
      <c r="E68" s="45">
        <f>IF(2848.19983="","-",2848.19983/1980083.42341*100)</f>
        <v>0.14384241574503834</v>
      </c>
      <c r="F68" s="45">
        <f>IF(OR(2276206.61995="",1464.87521="",1311.65475=""),"-",(1311.65475-1464.87521)/2276206.61995*100)</f>
        <v>-6.7313950612869098E-3</v>
      </c>
      <c r="G68" s="45">
        <f>IF(OR(2362843.47408="",2848.19983="",1311.65475=""),"-",(2848.19983-1311.65475)/2362843.47408*100)</f>
        <v>6.5029490817129609E-2</v>
      </c>
    </row>
    <row r="69" spans="1:7" s="9" customFormat="1" x14ac:dyDescent="0.25">
      <c r="A69" s="49" t="s">
        <v>87</v>
      </c>
      <c r="B69" s="45">
        <f>IF(2427.93351="","-",2427.93351)</f>
        <v>2427.9335099999998</v>
      </c>
      <c r="C69" s="45" t="s">
        <v>150</v>
      </c>
      <c r="D69" s="45">
        <f>IF(964.80974="","-",964.80974/2362843.47408*100)</f>
        <v>4.0832571035017869E-2</v>
      </c>
      <c r="E69" s="45">
        <f>IF(2427.93351="","-",2427.93351/1980083.42341*100)</f>
        <v>0.12261773828795228</v>
      </c>
      <c r="F69" s="45">
        <f>IF(OR(2276206.61995="",674.40418="",964.80974=""),"-",(964.80974-674.40418)/2276206.61995*100)</f>
        <v>1.2758312775945583E-2</v>
      </c>
      <c r="G69" s="45">
        <f>IF(OR(2362843.47408="",2427.93351="",964.80974=""),"-",(2427.93351-964.80974)/2362843.47408*100)</f>
        <v>6.1922162261284941E-2</v>
      </c>
    </row>
    <row r="70" spans="1:7" s="9" customFormat="1" x14ac:dyDescent="0.25">
      <c r="A70" s="49" t="s">
        <v>66</v>
      </c>
      <c r="B70" s="45">
        <f>IF(2312.75938="","-",2312.75938)</f>
        <v>2312.75938</v>
      </c>
      <c r="C70" s="45">
        <f>IF(OR(2148.13569="",2312.75938=""),"-",2312.75938/2148.13569*100)</f>
        <v>107.66356104813843</v>
      </c>
      <c r="D70" s="45">
        <f>IF(2148.13569="","-",2148.13569/2362843.47408*100)</f>
        <v>9.0913160925160358E-2</v>
      </c>
      <c r="E70" s="45">
        <f>IF(2312.75938="","-",2312.75938/1980083.42341*100)</f>
        <v>0.11680110810771205</v>
      </c>
      <c r="F70" s="45">
        <f>IF(OR(2276206.61995="",2213.79379="",2148.13569=""),"-",(2148.13569-2213.79379)/2276206.61995*100)</f>
        <v>-2.8845404202120441E-3</v>
      </c>
      <c r="G70" s="45">
        <f>IF(OR(2362843.47408="",2312.75938="",2148.13569=""),"-",(2312.75938-2148.13569)/2362843.47408*100)</f>
        <v>6.9671855882920044E-3</v>
      </c>
    </row>
    <row r="71" spans="1:7" s="9" customFormat="1" x14ac:dyDescent="0.25">
      <c r="A71" s="49" t="s">
        <v>81</v>
      </c>
      <c r="B71" s="45">
        <f>IF(2169.50827="","-",2169.50827)</f>
        <v>2169.5082699999998</v>
      </c>
      <c r="C71" s="45">
        <f>IF(OR(2569.53629="",2169.50827=""),"-",2169.50827/2569.53629*100)</f>
        <v>84.431898410743983</v>
      </c>
      <c r="D71" s="45">
        <f>IF(2569.53629="","-",2569.53629/2362843.47408*100)</f>
        <v>0.10874763047943657</v>
      </c>
      <c r="E71" s="45">
        <f>IF(2169.50827="","-",2169.50827/1980083.42341*100)</f>
        <v>0.10956650837790369</v>
      </c>
      <c r="F71" s="45">
        <f>IF(OR(2276206.61995="",3412.40069="",2569.53629=""),"-",(2569.53629-3412.40069)/2276206.61995*100)</f>
        <v>-3.702934490272744E-2</v>
      </c>
      <c r="G71" s="45">
        <f>IF(OR(2362843.47408="",2169.50827="",2569.53629=""),"-",(2169.50827-2569.53629)/2362843.47408*100)</f>
        <v>-1.6929941588947429E-2</v>
      </c>
    </row>
    <row r="72" spans="1:7" s="9" customFormat="1" x14ac:dyDescent="0.25">
      <c r="A72" s="49" t="s">
        <v>76</v>
      </c>
      <c r="B72" s="45">
        <f>IF(2154.29381="","-",2154.29381)</f>
        <v>2154.2938100000001</v>
      </c>
      <c r="C72" s="45">
        <f>IF(OR(1689.19126="",2154.29381=""),"-",2154.29381/1689.19126*100)</f>
        <v>127.53403720547311</v>
      </c>
      <c r="D72" s="45">
        <f>IF(1689.19126="","-",1689.19126/2362843.47408*100)</f>
        <v>7.1489765552824255E-2</v>
      </c>
      <c r="E72" s="45">
        <f>IF(2154.29381="","-",2154.29381/1980083.42341*100)</f>
        <v>0.10879813368115489</v>
      </c>
      <c r="F72" s="45">
        <f>IF(OR(2276206.61995="",2250.19585="",1689.19126=""),"-",(1689.19126-2250.19585)/2276206.61995*100)</f>
        <v>-2.4646470363587782E-2</v>
      </c>
      <c r="G72" s="45">
        <f>IF(OR(2362843.47408="",2154.29381="",1689.19126=""),"-",(2154.29381-1689.19126)/2362843.47408*100)</f>
        <v>1.9684018645420132E-2</v>
      </c>
    </row>
    <row r="73" spans="1:7" s="9" customFormat="1" x14ac:dyDescent="0.25">
      <c r="A73" s="49" t="s">
        <v>85</v>
      </c>
      <c r="B73" s="45">
        <f>IF(2079.96619="","-",2079.96619)</f>
        <v>2079.9661900000001</v>
      </c>
      <c r="C73" s="45">
        <f>IF(OR(1879.88215="",2079.96619=""),"-",2079.96619/1879.88215*100)</f>
        <v>110.64343528130209</v>
      </c>
      <c r="D73" s="45">
        <f>IF(1879.88215="","-",1879.88215/2362843.47408*100)</f>
        <v>7.9560164294503397E-2</v>
      </c>
      <c r="E73" s="45">
        <f>IF(2079.96619="","-",2079.96619/1980083.42341*100)</f>
        <v>0.10504437163652364</v>
      </c>
      <c r="F73" s="45">
        <f>IF(OR(2276206.61995="",2679.89765="",1879.88215=""),"-",(1879.88215-2679.89765)/2276206.61995*100)</f>
        <v>-3.5146875199650075E-2</v>
      </c>
      <c r="G73" s="45">
        <f>IF(OR(2362843.47408="",2079.96619="",1879.88215=""),"-",(2079.96619-1879.88215)/2362843.47408*100)</f>
        <v>8.46793459638308E-3</v>
      </c>
    </row>
    <row r="74" spans="1:7" s="9" customFormat="1" x14ac:dyDescent="0.25">
      <c r="A74" s="49" t="s">
        <v>69</v>
      </c>
      <c r="B74" s="45">
        <f>IF(2021.54613="","-",2021.54613)</f>
        <v>2021.5461299999999</v>
      </c>
      <c r="C74" s="45">
        <f>IF(OR(2159.78359="",2021.54613=""),"-",2021.54613/2159.78359*100)</f>
        <v>93.599476325310903</v>
      </c>
      <c r="D74" s="45">
        <f>IF(2159.78359="","-",2159.78359/2362843.47408*100)</f>
        <v>9.1406122059817616E-2</v>
      </c>
      <c r="E74" s="45">
        <f>IF(2021.54613="","-",2021.54613/1980083.42341*100)</f>
        <v>0.10209398786433931</v>
      </c>
      <c r="F74" s="45">
        <f>IF(OR(2276206.61995="",2813.49477="",2159.78359=""),"-",(2159.78359-2813.49477)/2276206.61995*100)</f>
        <v>-2.8719325138170427E-2</v>
      </c>
      <c r="G74" s="45">
        <f>IF(OR(2362843.47408="",2021.54613="",2159.78359=""),"-",(2021.54613-2159.78359)/2362843.47408*100)</f>
        <v>-5.850470482553838E-3</v>
      </c>
    </row>
    <row r="75" spans="1:7" s="9" customFormat="1" x14ac:dyDescent="0.25">
      <c r="A75" s="49" t="s">
        <v>147</v>
      </c>
      <c r="B75" s="45">
        <f>IF(1991.67777="","-",1991.67777)</f>
        <v>1991.67777</v>
      </c>
      <c r="C75" s="45">
        <f>IF(OR(3195.22106="",1991.67777=""),"-",1991.67777/3195.22106*100)</f>
        <v>62.333019612733779</v>
      </c>
      <c r="D75" s="45">
        <f>IF(3195.22106="","-",3195.22106/2362843.47408*100)</f>
        <v>0.13522779206710234</v>
      </c>
      <c r="E75" s="45">
        <f>IF(1991.67777="","-",1991.67777/1980083.42341*100)</f>
        <v>0.10058554838917003</v>
      </c>
      <c r="F75" s="45">
        <f>IF(OR(2276206.61995="",2650.64822="",3195.22106=""),"-",(3195.22106-2650.64822)/2276206.61995*100)</f>
        <v>2.3924578517039989E-2</v>
      </c>
      <c r="G75" s="45">
        <f>IF(OR(2362843.47408="",1991.67777="",3195.22106=""),"-",(1991.67777-3195.22106)/2362843.47408*100)</f>
        <v>-5.0936225916048593E-2</v>
      </c>
    </row>
    <row r="76" spans="1:7" s="9" customFormat="1" x14ac:dyDescent="0.25">
      <c r="A76" s="49" t="s">
        <v>82</v>
      </c>
      <c r="B76" s="45">
        <f>IF(1898.85833="","-",1898.85833)</f>
        <v>1898.85833</v>
      </c>
      <c r="C76" s="45" t="s">
        <v>107</v>
      </c>
      <c r="D76" s="45">
        <f>IF(1224.80158="","-",1224.80158/2362843.47408*100)</f>
        <v>5.1835916912646544E-2</v>
      </c>
      <c r="E76" s="45">
        <f>IF(1898.85833="","-",1898.85833/1980083.42341*100)</f>
        <v>9.5897895389169097E-2</v>
      </c>
      <c r="F76" s="45">
        <f>IF(OR(2276206.61995="",1627.96807="",1224.80158=""),"-",(1224.80158-1627.96807)/2276206.61995*100)</f>
        <v>-1.7712209711825543E-2</v>
      </c>
      <c r="G76" s="45">
        <f>IF(OR(2362843.47408="",1898.85833="",1224.80158=""),"-",(1898.85833-1224.80158)/2362843.47408*100)</f>
        <v>2.8527355171609561E-2</v>
      </c>
    </row>
    <row r="77" spans="1:7" s="9" customFormat="1" x14ac:dyDescent="0.25">
      <c r="A77" s="49" t="s">
        <v>86</v>
      </c>
      <c r="B77" s="45">
        <f>IF(1847.11497="","-",1847.11497)</f>
        <v>1847.1149700000001</v>
      </c>
      <c r="C77" s="45">
        <f>IF(OR(3528.06059="",1847.11497=""),"-",1847.11497/3528.06059*100)</f>
        <v>52.354967350489865</v>
      </c>
      <c r="D77" s="45">
        <f>IF(3528.06059="","-",3528.06059/2362843.47408*100)</f>
        <v>0.14931418981842165</v>
      </c>
      <c r="E77" s="45">
        <f>IF(1847.11497="","-",1847.11497/1980083.42341*100)</f>
        <v>9.3284704480733019E-2</v>
      </c>
      <c r="F77" s="45">
        <f>IF(OR(2276206.61995="",2041.83145="",3528.06059=""),"-",(3528.06059-2041.83145)/2276206.61995*100)</f>
        <v>6.5294122553454625E-2</v>
      </c>
      <c r="G77" s="45">
        <f>IF(OR(2362843.47408="",1847.11497="",3528.06059=""),"-",(1847.11497-3528.06059)/2362843.47408*100)</f>
        <v>-7.1140794489338535E-2</v>
      </c>
    </row>
    <row r="78" spans="1:7" s="9" customFormat="1" x14ac:dyDescent="0.25">
      <c r="A78" s="49" t="s">
        <v>38</v>
      </c>
      <c r="B78" s="45">
        <f>IF(1484.29946="","-",1484.29946)</f>
        <v>1484.29946</v>
      </c>
      <c r="C78" s="45" t="s">
        <v>107</v>
      </c>
      <c r="D78" s="45">
        <f>IF(918.87203="","-",918.87203/2362843.47408*100)</f>
        <v>3.8888400356598872E-2</v>
      </c>
      <c r="E78" s="45">
        <f>IF(1484.29946="","-",1484.29946/1980083.42341*100)</f>
        <v>7.4961460838039548E-2</v>
      </c>
      <c r="F78" s="45">
        <f>IF(OR(2276206.61995="",739.68761="",918.87203=""),"-",(918.87203-739.68761)/2276206.61995*100)</f>
        <v>7.8720630381057428E-3</v>
      </c>
      <c r="G78" s="45">
        <f>IF(OR(2362843.47408="",1484.29946="",918.87203=""),"-",(1484.29946-918.87203)/2362843.47408*100)</f>
        <v>2.3929957113225857E-2</v>
      </c>
    </row>
    <row r="79" spans="1:7" s="9" customFormat="1" x14ac:dyDescent="0.25">
      <c r="A79" s="49" t="s">
        <v>40</v>
      </c>
      <c r="B79" s="45">
        <f>IF(1338.09717="","-",1338.09717)</f>
        <v>1338.09717</v>
      </c>
      <c r="C79" s="45">
        <f>IF(OR(1478.37214="",1338.09717=""),"-",1338.09717/1478.37214*100)</f>
        <v>90.511525061612701</v>
      </c>
      <c r="D79" s="45">
        <f>IF(1478.37214="","-",1478.37214/2362843.47408*100)</f>
        <v>6.2567502088796675E-2</v>
      </c>
      <c r="E79" s="45">
        <f>IF(1338.09717="","-",1338.09717/1980083.42341*100)</f>
        <v>6.757781789292476E-2</v>
      </c>
      <c r="F79" s="45">
        <f>IF(OR(2276206.61995="",2080.33656="",1478.37214=""),"-",(1478.37214-2080.33656)/2276206.61995*100)</f>
        <v>-2.6445948040218915E-2</v>
      </c>
      <c r="G79" s="45">
        <f>IF(OR(2362843.47408="",1338.09717="",1478.37214=""),"-",(1338.09717-1478.37214)/2362843.47408*100)</f>
        <v>-5.9367017552704199E-3</v>
      </c>
    </row>
    <row r="80" spans="1:7" s="9" customFormat="1" x14ac:dyDescent="0.25">
      <c r="A80" s="49" t="s">
        <v>39</v>
      </c>
      <c r="B80" s="45">
        <f>IF(1119.69424="","-",1119.69424)</f>
        <v>1119.69424</v>
      </c>
      <c r="C80" s="45">
        <f>IF(OR(999.45787="",1119.69424=""),"-",1119.69424/999.45787*100)</f>
        <v>112.03015891004991</v>
      </c>
      <c r="D80" s="45">
        <f>IF(999.45787="","-",999.45787/2362843.47408*100)</f>
        <v>4.2298945358162171E-2</v>
      </c>
      <c r="E80" s="45">
        <f>IF(1119.69424="","-",1119.69424/1980083.42341*100)</f>
        <v>5.6547831609625766E-2</v>
      </c>
      <c r="F80" s="45">
        <f>IF(OR(2276206.61995="",911.23465="",999.45787=""),"-",(999.45787-911.23465)/2276206.61995*100)</f>
        <v>3.8758880334834414E-3</v>
      </c>
      <c r="G80" s="45">
        <f>IF(OR(2362843.47408="",1119.69424="",999.45787=""),"-",(1119.69424-999.45787)/2362843.47408*100)</f>
        <v>5.0886303438620909E-3</v>
      </c>
    </row>
    <row r="81" spans="1:7" s="9" customFormat="1" x14ac:dyDescent="0.25">
      <c r="A81" s="49" t="s">
        <v>89</v>
      </c>
      <c r="B81" s="45">
        <f>IF(1035.44087="","-",1035.44087)</f>
        <v>1035.4408699999999</v>
      </c>
      <c r="C81" s="45">
        <f>IF(OR(1348.18762="",1035.44087=""),"-",1035.44087/1348.18762*100)</f>
        <v>76.802431252113109</v>
      </c>
      <c r="D81" s="45">
        <f>IF(1348.18762="","-",1348.18762/2362843.47408*100)</f>
        <v>5.7057847241655822E-2</v>
      </c>
      <c r="E81" s="45">
        <f>IF(1035.44087="","-",1035.44087/1980083.42341*100)</f>
        <v>5.2292790180366026E-2</v>
      </c>
      <c r="F81" s="45">
        <f>IF(OR(2276206.61995="",1007.13373="",1348.18762=""),"-",(1348.18762-1007.13373)/2276206.61995*100)</f>
        <v>1.4983432831220375E-2</v>
      </c>
      <c r="G81" s="45">
        <f>IF(OR(2362843.47408="",1035.44087="",1348.18762=""),"-",(1035.44087-1348.18762)/2362843.47408*100)</f>
        <v>-1.3236033339947393E-2</v>
      </c>
    </row>
    <row r="82" spans="1:7" s="9" customFormat="1" x14ac:dyDescent="0.25">
      <c r="A82" s="49" t="s">
        <v>200</v>
      </c>
      <c r="B82" s="45">
        <f>IF(820.45831="","-",820.45831)</f>
        <v>820.45830999999998</v>
      </c>
      <c r="C82" s="45">
        <f>IF(OR(1065.77486="",820.45831=""),"-",820.45831/1065.77486*100)</f>
        <v>76.9823290821478</v>
      </c>
      <c r="D82" s="45">
        <f>IF(1065.77486="","-",1065.77486/2362843.47408*100)</f>
        <v>4.5105605669244403E-2</v>
      </c>
      <c r="E82" s="45">
        <f>IF(820.45831="","-",820.45831/1980083.42341*100)</f>
        <v>4.1435542578658023E-2</v>
      </c>
      <c r="F82" s="45">
        <f>IF(OR(2276206.61995="",521.79943="",1065.77486=""),"-",(1065.77486-521.79943)/2276206.61995*100)</f>
        <v>2.389833265716225E-2</v>
      </c>
      <c r="G82" s="45">
        <f>IF(OR(2362843.47408="",820.45831="",1065.77486=""),"-",(820.45831-1065.77486)/2362843.47408*100)</f>
        <v>-1.0382259878450763E-2</v>
      </c>
    </row>
    <row r="83" spans="1:7" s="9" customFormat="1" x14ac:dyDescent="0.25">
      <c r="A83" s="49" t="s">
        <v>74</v>
      </c>
      <c r="B83" s="45">
        <f>IF(805.88681="","-",805.88681)</f>
        <v>805.88680999999997</v>
      </c>
      <c r="C83" s="45">
        <f>IF(OR(809.42941="",805.88681=""),"-",805.88681/809.42941*100)</f>
        <v>99.562333669096603</v>
      </c>
      <c r="D83" s="45">
        <f>IF(809.42941="","-",809.42941/2362843.47408*100)</f>
        <v>3.4256581905627942E-2</v>
      </c>
      <c r="E83" s="45">
        <f>IF(805.88681="","-",805.88681/1980083.42341*100)</f>
        <v>4.0699639241065018E-2</v>
      </c>
      <c r="F83" s="45">
        <f>IF(OR(2276206.61995="",779.1047="",809.42941=""),"-",(809.42941-779.1047)/2276206.61995*100)</f>
        <v>1.3322476849955784E-3</v>
      </c>
      <c r="G83" s="45">
        <f>IF(OR(2362843.47408="",805.88681="",809.42941=""),"-",(805.88681-809.42941)/2362843.47408*100)</f>
        <v>-1.4992952511927793E-4</v>
      </c>
    </row>
    <row r="84" spans="1:7" s="9" customFormat="1" x14ac:dyDescent="0.25">
      <c r="A84" s="49" t="s">
        <v>92</v>
      </c>
      <c r="B84" s="45">
        <f>IF(759.75398="","-",759.75398)</f>
        <v>759.75397999999996</v>
      </c>
      <c r="C84" s="45">
        <f>IF(OR(1225.51564="",759.75398=""),"-",759.75398/1225.51564*100)</f>
        <v>61.994637620455009</v>
      </c>
      <c r="D84" s="45">
        <f>IF(1225.51564="","-",1225.51564/2362843.47408*100)</f>
        <v>5.1866137280937259E-2</v>
      </c>
      <c r="E84" s="45">
        <f>IF(759.75398="","-",759.75398/1980083.42341*100)</f>
        <v>3.8369796495320879E-2</v>
      </c>
      <c r="F84" s="45">
        <f>IF(OR(2276206.61995="",797.53085="",1225.51564=""),"-",(1225.51564-797.53085)/2276206.61995*100)</f>
        <v>1.8802545702525077E-2</v>
      </c>
      <c r="G84" s="45">
        <f>IF(OR(2362843.47408="",759.75398="",1225.51564=""),"-",(759.75398-1225.51564)/2362843.47408*100)</f>
        <v>-1.9711913425892492E-2</v>
      </c>
    </row>
    <row r="85" spans="1:7" s="9" customFormat="1" x14ac:dyDescent="0.25">
      <c r="A85" s="49" t="s">
        <v>149</v>
      </c>
      <c r="B85" s="45">
        <f>IF(726.67002="","-",726.67002)</f>
        <v>726.67002000000002</v>
      </c>
      <c r="C85" s="45" t="s">
        <v>221</v>
      </c>
      <c r="D85" s="45">
        <f>IF(60.32119="","-",60.32119/2362843.47408*100)</f>
        <v>2.5529067270732668E-3</v>
      </c>
      <c r="E85" s="45">
        <f>IF(726.67002="","-",726.67002/1980083.42341*100)</f>
        <v>3.6698959822034444E-2</v>
      </c>
      <c r="F85" s="45">
        <f>IF(OR(2276206.61995="",82.81077="",60.32119=""),"-",(60.32119-82.81077)/2276206.61995*100)</f>
        <v>-9.8802893388008932E-4</v>
      </c>
      <c r="G85" s="45">
        <f>IF(OR(2362843.47408="",726.67002="",60.32119=""),"-",(726.67002-60.32119)/2362843.47408*100)</f>
        <v>2.8201141434451155E-2</v>
      </c>
    </row>
    <row r="86" spans="1:7" s="9" customFormat="1" x14ac:dyDescent="0.25">
      <c r="A86" s="49" t="s">
        <v>88</v>
      </c>
      <c r="B86" s="45">
        <f>IF(691.13686="","-",691.13686)</f>
        <v>691.13685999999996</v>
      </c>
      <c r="C86" s="45">
        <f>IF(OR(1047.09994="",691.13686=""),"-",691.13686/1047.09994*100)</f>
        <v>66.004861006868168</v>
      </c>
      <c r="D86" s="45">
        <f>IF(1047.09994="","-",1047.09994/2362843.47408*100)</f>
        <v>4.4315247771869459E-2</v>
      </c>
      <c r="E86" s="45">
        <f>IF(691.13686="","-",691.13686/1980083.42341*100)</f>
        <v>3.4904431390560244E-2</v>
      </c>
      <c r="F86" s="45">
        <f>IF(OR(2276206.61995="",1230.55608="",1047.09994=""),"-",(1047.09994-1230.55608)/2276206.61995*100)</f>
        <v>-8.0597314141907673E-3</v>
      </c>
      <c r="G86" s="45">
        <f>IF(OR(2362843.47408="",691.13686="",1047.09994=""),"-",(691.13686-1047.09994)/2362843.47408*100)</f>
        <v>-1.5065030075197782E-2</v>
      </c>
    </row>
    <row r="87" spans="1:7" s="9" customFormat="1" x14ac:dyDescent="0.25">
      <c r="A87" s="49" t="s">
        <v>151</v>
      </c>
      <c r="B87" s="45">
        <f>IF(673.13678="","-",673.13678)</f>
        <v>673.13678000000004</v>
      </c>
      <c r="C87" s="45">
        <f>IF(OR(1622.20644="",673.13678=""),"-",673.13678/1622.20644*100)</f>
        <v>41.495136710220436</v>
      </c>
      <c r="D87" s="45">
        <f>IF(1622.20644="","-",1622.20644/2362843.47408*100)</f>
        <v>6.8654841414394763E-2</v>
      </c>
      <c r="E87" s="45">
        <f>IF(673.13678="","-",673.13678/1980083.42341*100)</f>
        <v>3.3995374742381193E-2</v>
      </c>
      <c r="F87" s="45">
        <f>IF(OR(2276206.61995="",498.20926="",1622.20644=""),"-",(1622.20644-498.20926)/2276206.61995*100)</f>
        <v>4.9380279019867267E-2</v>
      </c>
      <c r="G87" s="45">
        <f>IF(OR(2362843.47408="",673.13678="",1622.20644=""),"-",(673.13678-1622.20644)/2362843.47408*100)</f>
        <v>-4.0166421111306617E-2</v>
      </c>
    </row>
    <row r="88" spans="1:7" s="9" customFormat="1" x14ac:dyDescent="0.25">
      <c r="A88" s="49" t="s">
        <v>98</v>
      </c>
      <c r="B88" s="45">
        <f>IF(626.62766="","-",626.62766)</f>
        <v>626.62765999999999</v>
      </c>
      <c r="C88" s="45">
        <f>IF(OR(471.08533="",626.62766=""),"-",626.62766/471.08533*100)</f>
        <v>133.01786748485674</v>
      </c>
      <c r="D88" s="45">
        <f>IF(471.08533="","-",471.08533/2362843.47408*100)</f>
        <v>1.99372211984301E-2</v>
      </c>
      <c r="E88" s="45">
        <f>IF(626.62766="","-",626.62766/1980083.42341*100)</f>
        <v>3.1646528251867964E-2</v>
      </c>
      <c r="F88" s="45">
        <f>IF(OR(2276206.61995="",446.72877="",471.08533=""),"-",(471.08533-446.72877)/2276206.61995*100)</f>
        <v>1.0700504860378197E-3</v>
      </c>
      <c r="G88" s="45">
        <f>IF(OR(2362843.47408="",626.62766="",471.08533=""),"-",(626.62766-471.08533)/2362843.47408*100)</f>
        <v>6.5828452754604135E-3</v>
      </c>
    </row>
    <row r="89" spans="1:7" x14ac:dyDescent="0.25">
      <c r="A89" s="49" t="s">
        <v>217</v>
      </c>
      <c r="B89" s="45">
        <f>IF(625.2805="","-",625.2805)</f>
        <v>625.28049999999996</v>
      </c>
      <c r="C89" s="45" t="str">
        <f>IF(OR(""="",625.2805=""),"-",625.2805/""*100)</f>
        <v>-</v>
      </c>
      <c r="D89" s="45" t="str">
        <f>IF(""="","-",""/2362843.47408*100)</f>
        <v>-</v>
      </c>
      <c r="E89" s="45">
        <f>IF(625.2805="","-",625.2805/1980083.42341*100)</f>
        <v>3.1578492734572437E-2</v>
      </c>
      <c r="F89" s="45" t="str">
        <f>IF(OR(2276206.61995="",""="",""=""),"-",(""-"")/2276206.61995*100)</f>
        <v>-</v>
      </c>
      <c r="G89" s="45" t="str">
        <f>IF(OR(2362843.47408="",625.2805="",""=""),"-",(625.2805-"")/2362843.47408*100)</f>
        <v>-</v>
      </c>
    </row>
    <row r="90" spans="1:7" x14ac:dyDescent="0.25">
      <c r="A90" s="49" t="s">
        <v>68</v>
      </c>
      <c r="B90" s="45">
        <f>IF(579.22144="","-",579.22144)</f>
        <v>579.22144000000003</v>
      </c>
      <c r="C90" s="45">
        <f>IF(OR(973.70409="",579.22144=""),"-",579.22144/973.70409*100)</f>
        <v>59.48639283213857</v>
      </c>
      <c r="D90" s="45">
        <f>IF(973.70409="","-",973.70409/2362843.47408*100)</f>
        <v>4.1208996731326969E-2</v>
      </c>
      <c r="E90" s="45">
        <f>IF(579.22144="","-",579.22144/1980083.42341*100)</f>
        <v>2.9252375589433197E-2</v>
      </c>
      <c r="F90" s="45">
        <f>IF(OR(2276206.61995="",1006.70628="",973.70409=""),"-",(973.70409-1006.70628)/2276206.61995*100)</f>
        <v>-1.4498767251948761E-3</v>
      </c>
      <c r="G90" s="45">
        <f>IF(OR(2362843.47408="",579.22144="",973.70409=""),"-",(579.22144-973.70409)/2362843.47408*100)</f>
        <v>-1.6695251053546668E-2</v>
      </c>
    </row>
    <row r="91" spans="1:7" x14ac:dyDescent="0.25">
      <c r="A91" s="49" t="s">
        <v>90</v>
      </c>
      <c r="B91" s="45">
        <f>IF(535.23025="","-",535.23025)</f>
        <v>535.23024999999996</v>
      </c>
      <c r="C91" s="45">
        <f>IF(OR(602.11335="",535.23025=""),"-",535.23025/602.11335*100)</f>
        <v>88.891942023873071</v>
      </c>
      <c r="D91" s="45">
        <f>IF(602.11335="","-",602.11335/2362843.47408*100)</f>
        <v>2.5482574559215758E-2</v>
      </c>
      <c r="E91" s="45">
        <f>IF(535.23025="","-",535.23025/1980083.42341*100)</f>
        <v>2.7030691922982381E-2</v>
      </c>
      <c r="F91" s="45">
        <f>IF(OR(2276206.61995="",768.86809="",602.11335=""),"-",(602.11335-768.86809)/2276206.61995*100)</f>
        <v>-7.3259931035462439E-3</v>
      </c>
      <c r="G91" s="45">
        <f>IF(OR(2362843.47408="",535.23025="",602.11335=""),"-",(535.23025-602.11335)/2362843.47408*100)</f>
        <v>-2.8306191558474564E-3</v>
      </c>
    </row>
    <row r="92" spans="1:7" x14ac:dyDescent="0.25">
      <c r="A92" s="49" t="s">
        <v>95</v>
      </c>
      <c r="B92" s="45">
        <f>IF(423.50163="","-",423.50163)</f>
        <v>423.50162999999998</v>
      </c>
      <c r="C92" s="45" t="s">
        <v>108</v>
      </c>
      <c r="D92" s="45">
        <f>IF(228.49281="","-",228.49281/2362843.47408*100)</f>
        <v>9.6702474161546505E-3</v>
      </c>
      <c r="E92" s="45">
        <f>IF(423.50163="","-",423.50163/1980083.42341*100)</f>
        <v>2.1388070067808899E-2</v>
      </c>
      <c r="F92" s="45">
        <f>IF(OR(2276206.61995="",268.87814="",228.49281=""),"-",(228.49281-268.87814)/2276206.61995*100)</f>
        <v>-1.7742383158909844E-3</v>
      </c>
      <c r="G92" s="45">
        <f>IF(OR(2362843.47408="",423.50163="",228.49281=""),"-",(423.50163-228.49281)/2362843.47408*100)</f>
        <v>8.2531416972480114E-3</v>
      </c>
    </row>
    <row r="93" spans="1:7" x14ac:dyDescent="0.25">
      <c r="A93" s="49" t="s">
        <v>115</v>
      </c>
      <c r="B93" s="45">
        <f>IF(364.98091="","-",364.98091)</f>
        <v>364.98090999999999</v>
      </c>
      <c r="C93" s="45">
        <f>IF(OR(271.0003="",364.98091=""),"-",364.98091/271.0003*100)</f>
        <v>134.67915349171199</v>
      </c>
      <c r="D93" s="45">
        <f>IF(271.0003="","-",271.0003/2362843.47408*100)</f>
        <v>1.1469244703376597E-2</v>
      </c>
      <c r="E93" s="45">
        <f>IF(364.98091="","-",364.98091/1980083.42341*100)</f>
        <v>1.843260267142928E-2</v>
      </c>
      <c r="F93" s="45">
        <f>IF(OR(2276206.61995="",0.56135="",271.0003=""),"-",(271.0003-0.56135)/2276206.61995*100)</f>
        <v>1.1881124834174348E-2</v>
      </c>
      <c r="G93" s="45">
        <f>IF(OR(2362843.47408="",364.98091="",271.0003=""),"-",(364.98091-271.0003)/2362843.47408*100)</f>
        <v>3.9774369750240198E-3</v>
      </c>
    </row>
    <row r="94" spans="1:7" x14ac:dyDescent="0.25">
      <c r="A94" s="49" t="s">
        <v>93</v>
      </c>
      <c r="B94" s="45">
        <f>IF(362.11099="","-",362.11099)</f>
        <v>362.11099000000002</v>
      </c>
      <c r="C94" s="45">
        <f>IF(OR(309.9984="",362.11099=""),"-",362.11099/309.9984*100)</f>
        <v>116.81059966761119</v>
      </c>
      <c r="D94" s="45">
        <f>IF(309.9984="","-",309.9984/2362843.47408*100)</f>
        <v>1.3119717975423719E-2</v>
      </c>
      <c r="E94" s="45">
        <f>IF(362.11099="","-",362.11099/1980083.42341*100)</f>
        <v>1.8287663323618489E-2</v>
      </c>
      <c r="F94" s="45">
        <f>IF(OR(2276206.61995="",736.8032="",309.9984=""),"-",(309.9984-736.8032)/2276206.61995*100)</f>
        <v>-1.8750705505345348E-2</v>
      </c>
      <c r="G94" s="45">
        <f>IF(OR(2362843.47408="",362.11099="",309.9984=""),"-",(362.11099-309.9984)/2362843.47408*100)</f>
        <v>2.2055032663681048E-3</v>
      </c>
    </row>
    <row r="95" spans="1:7" x14ac:dyDescent="0.25">
      <c r="A95" s="49" t="s">
        <v>186</v>
      </c>
      <c r="B95" s="45">
        <f>IF(361.98279="","-",361.98279)</f>
        <v>361.98279000000002</v>
      </c>
      <c r="C95" s="45">
        <f>IF(OR(512.1372="",361.98279=""),"-",361.98279/512.1372*100)</f>
        <v>70.680823419974175</v>
      </c>
      <c r="D95" s="45">
        <f>IF(512.1372="","-",512.1372/2362843.47408*100)</f>
        <v>2.1674613897114215E-2</v>
      </c>
      <c r="E95" s="45">
        <f>IF(361.98279="","-",361.98279/1980083.42341*100)</f>
        <v>1.8281188848933014E-2</v>
      </c>
      <c r="F95" s="45">
        <f>IF(OR(2276206.61995="",375.42505="",512.1372=""),"-",(512.1372-375.42505)/2276206.61995*100)</f>
        <v>6.0061397239501513E-3</v>
      </c>
      <c r="G95" s="45">
        <f>IF(OR(2362843.47408="",361.98279="",512.1372=""),"-",(361.98279-512.1372)/2362843.47408*100)</f>
        <v>-6.3548183215337319E-3</v>
      </c>
    </row>
    <row r="96" spans="1:7" x14ac:dyDescent="0.25">
      <c r="A96" s="49" t="s">
        <v>65</v>
      </c>
      <c r="B96" s="45">
        <f>IF(346.50908="","-",346.50908)</f>
        <v>346.50907999999998</v>
      </c>
      <c r="C96" s="45" t="s">
        <v>106</v>
      </c>
      <c r="D96" s="45">
        <f>IF(200.64895="","-",200.64895/2362843.47408*100)</f>
        <v>8.4918426548811037E-3</v>
      </c>
      <c r="E96" s="45">
        <f>IF(346.50908="","-",346.50908/1980083.42341*100)</f>
        <v>1.749972126948366E-2</v>
      </c>
      <c r="F96" s="45">
        <f>IF(OR(2276206.61995="",139.52749="",200.64895=""),"-",(200.64895-139.52749)/2276206.61995*100)</f>
        <v>2.6852333819037317E-3</v>
      </c>
      <c r="G96" s="45">
        <f>IF(OR(2362843.47408="",346.50908="",200.64895=""),"-",(346.50908-200.64895)/2362843.47408*100)</f>
        <v>6.1730762786473721E-3</v>
      </c>
    </row>
    <row r="97" spans="1:7" x14ac:dyDescent="0.25">
      <c r="A97" s="49" t="s">
        <v>138</v>
      </c>
      <c r="B97" s="45">
        <f>IF(336.7404="","-",336.7404)</f>
        <v>336.74040000000002</v>
      </c>
      <c r="C97" s="45">
        <f>IF(OR(327.2732="",336.7404=""),"-",336.7404/327.2732*100)</f>
        <v>102.89275137713692</v>
      </c>
      <c r="D97" s="45">
        <f>IF(327.2732="","-",327.2732/2362843.47408*100)</f>
        <v>1.3850820149118322E-2</v>
      </c>
      <c r="E97" s="45">
        <f>IF(336.7404="","-",336.7404/1980083.42341*100)</f>
        <v>1.7006374378917968E-2</v>
      </c>
      <c r="F97" s="45">
        <f>IF(OR(2276206.61995="",664.40198="",327.2732=""),"-",(327.2732-664.40198)/2276206.61995*100)</f>
        <v>-1.4810991983118187E-2</v>
      </c>
      <c r="G97" s="45">
        <f>IF(OR(2362843.47408="",336.7404="",327.2732=""),"-",(336.7404-327.2732)/2362843.47408*100)</f>
        <v>4.0066979060837747E-4</v>
      </c>
    </row>
    <row r="98" spans="1:7" x14ac:dyDescent="0.25">
      <c r="A98" s="49" t="s">
        <v>104</v>
      </c>
      <c r="B98" s="45">
        <f>IF(322.19141="","-",322.19141)</f>
        <v>322.19141000000002</v>
      </c>
      <c r="C98" s="45">
        <f>IF(OR(231.37238="",322.19141=""),"-",322.19141/231.37238*100)</f>
        <v>139.25232130127202</v>
      </c>
      <c r="D98" s="45">
        <f>IF(231.37238="","-",231.37238/2362843.47408*100)</f>
        <v>9.7921162589954241E-3</v>
      </c>
      <c r="E98" s="45">
        <f>IF(322.19141="","-",322.19141/1980083.42341*100)</f>
        <v>1.627160786211412E-2</v>
      </c>
      <c r="F98" s="45">
        <f>IF(OR(2276206.61995="",346.57236="",231.37238=""),"-",(231.37238-346.57236)/2276206.61995*100)</f>
        <v>-5.0610510922128203E-3</v>
      </c>
      <c r="G98" s="45">
        <f>IF(OR(2362843.47408="",322.19141="",231.37238=""),"-",(322.19141-231.37238)/2362843.47408*100)</f>
        <v>3.8436329361749809E-3</v>
      </c>
    </row>
    <row r="99" spans="1:7" x14ac:dyDescent="0.25">
      <c r="A99" s="49" t="s">
        <v>185</v>
      </c>
      <c r="B99" s="45">
        <f>IF(310.22628="","-",310.22628)</f>
        <v>310.22627999999997</v>
      </c>
      <c r="C99" s="45">
        <f>IF(OR(361.1418="",310.22628=""),"-",310.22628/361.1418*100)</f>
        <v>85.901515692727898</v>
      </c>
      <c r="D99" s="45">
        <f>IF(361.1418="","-",361.1418/2362843.47408*100)</f>
        <v>1.5284203289877873E-2</v>
      </c>
      <c r="E99" s="45">
        <f>IF(310.22628="","-",310.22628/1980083.42341*100)</f>
        <v>1.5667333827063906E-2</v>
      </c>
      <c r="F99" s="45">
        <f>IF(OR(2276206.61995="",232.55137="",361.1418=""),"-",(361.1418-232.55137)/2276206.61995*100)</f>
        <v>5.6493302880748428E-3</v>
      </c>
      <c r="G99" s="45">
        <f>IF(OR(2362843.47408="",310.22628="",361.1418=""),"-",(310.22628-361.1418)/2362843.47408*100)</f>
        <v>-2.1548410023149991E-3</v>
      </c>
    </row>
    <row r="100" spans="1:7" x14ac:dyDescent="0.25">
      <c r="A100" s="49" t="s">
        <v>94</v>
      </c>
      <c r="B100" s="45">
        <f>IF(278.255="","-",278.255)</f>
        <v>278.255</v>
      </c>
      <c r="C100" s="45">
        <f>IF(OR(373.5401="",278.255=""),"-",278.255/373.5401*100)</f>
        <v>74.491333059020974</v>
      </c>
      <c r="D100" s="45">
        <f>IF(373.5401="","-",373.5401/2362843.47408*100)</f>
        <v>1.5808922770283888E-2</v>
      </c>
      <c r="E100" s="45">
        <f>IF(278.255="","-",278.255/1980083.42341*100)</f>
        <v>1.4052690745766823E-2</v>
      </c>
      <c r="F100" s="45">
        <f>IF(OR(2276206.61995="",275.17453="",373.5401=""),"-",(373.5401-275.17453)/2276206.61995*100)</f>
        <v>4.3214692874481101E-3</v>
      </c>
      <c r="G100" s="45">
        <f>IF(OR(2362843.47408="",278.255="",373.5401=""),"-",(278.255-373.5401)/2362843.47408*100)</f>
        <v>-4.0326454564283123E-3</v>
      </c>
    </row>
    <row r="101" spans="1:7" x14ac:dyDescent="0.25">
      <c r="A101" s="49" t="s">
        <v>103</v>
      </c>
      <c r="B101" s="45">
        <f>IF(217.6188="","-",217.6188)</f>
        <v>217.61879999999999</v>
      </c>
      <c r="C101" s="45">
        <f>IF(OR(266.70861="",217.6188=""),"-",217.6188/266.70861*100)</f>
        <v>81.594216249711621</v>
      </c>
      <c r="D101" s="45">
        <f>IF(266.70861="","-",266.70861/2362843.47408*100)</f>
        <v>1.128761227418359E-2</v>
      </c>
      <c r="E101" s="45">
        <f>IF(217.6188="","-",217.6188/1980083.42341*100)</f>
        <v>1.0990385426550758E-2</v>
      </c>
      <c r="F101" s="45">
        <f>IF(OR(2276206.61995="",587.71691="",266.70861=""),"-",(266.70861-587.71691)/2276206.61995*100)</f>
        <v>-1.4102775081422587E-2</v>
      </c>
      <c r="G101" s="45">
        <f>IF(OR(2362843.47408="",217.6188="",266.70861=""),"-",(217.6188-266.70861)/2362843.47408*100)</f>
        <v>-2.0775735057572404E-3</v>
      </c>
    </row>
    <row r="102" spans="1:7" x14ac:dyDescent="0.25">
      <c r="A102" s="49" t="s">
        <v>91</v>
      </c>
      <c r="B102" s="45">
        <f>IF(197.24883="","-",197.24883)</f>
        <v>197.24883</v>
      </c>
      <c r="C102" s="45">
        <f>IF(OR(289.32222="",197.24883=""),"-",197.24883/289.32222*100)</f>
        <v>68.176177412160044</v>
      </c>
      <c r="D102" s="45">
        <f>IF(289.32222="","-",289.32222/2362843.47408*100)</f>
        <v>1.2244662973820174E-2</v>
      </c>
      <c r="E102" s="45">
        <f>IF(197.24883="","-",197.24883/1980083.42341*100)</f>
        <v>9.9616424069804074E-3</v>
      </c>
      <c r="F102" s="45">
        <f>IF(OR(2276206.61995="",629.01863="",289.32222=""),"-",(289.32222-629.01863)/2276206.61995*100)</f>
        <v>-1.4923795011520611E-2</v>
      </c>
      <c r="G102" s="45">
        <f>IF(OR(2362843.47408="",197.24883="",289.32222=""),"-",(197.24883-289.32222)/2362843.47408*100)</f>
        <v>-3.8967198212674602E-3</v>
      </c>
    </row>
    <row r="103" spans="1:7" x14ac:dyDescent="0.25">
      <c r="A103" s="49" t="s">
        <v>99</v>
      </c>
      <c r="B103" s="45">
        <f>IF(196.03058="","-",196.03058)</f>
        <v>196.03057999999999</v>
      </c>
      <c r="C103" s="45">
        <f>IF(OR(509.76677="",196.03058=""),"-",196.03058/509.76677*100)</f>
        <v>38.454954606005401</v>
      </c>
      <c r="D103" s="45">
        <f>IF(509.76677="","-",509.76677/2362843.47408*100)</f>
        <v>2.1574292821003874E-2</v>
      </c>
      <c r="E103" s="45">
        <f>IF(196.03058="","-",196.03058/1980083.42341*100)</f>
        <v>9.900117221445447E-3</v>
      </c>
      <c r="F103" s="45">
        <f>IF(OR(2276206.61995="",482.97177="",509.76677=""),"-",(509.76677-482.97177)/2276206.61995*100)</f>
        <v>1.1771778433975648E-3</v>
      </c>
      <c r="G103" s="45">
        <f>IF(OR(2362843.47408="",196.03058="",509.76677=""),"-",(196.03058-509.76677)/2362843.47408*100)</f>
        <v>-1.3277908310120152E-2</v>
      </c>
    </row>
    <row r="104" spans="1:7" x14ac:dyDescent="0.25">
      <c r="A104" s="49" t="s">
        <v>153</v>
      </c>
      <c r="B104" s="45">
        <f>IF(169.99808="","-",169.99808)</f>
        <v>169.99807999999999</v>
      </c>
      <c r="C104" s="45" t="s">
        <v>96</v>
      </c>
      <c r="D104" s="45">
        <f>IF(81.60976="","-",81.60976/2362843.47408*100)</f>
        <v>3.4538792304799485E-3</v>
      </c>
      <c r="E104" s="45">
        <f>IF(169.99808="","-",169.99808/1980083.42341*100)</f>
        <v>8.5853998872046436E-3</v>
      </c>
      <c r="F104" s="45">
        <f>IF(OR(2276206.61995="",198.92417="",81.60976=""),"-",(81.60976-198.92417)/2276206.61995*100)</f>
        <v>-5.1539438015770715E-3</v>
      </c>
      <c r="G104" s="45">
        <f>IF(OR(2362843.47408="",169.99808="",81.60976=""),"-",(169.99808-81.60976)/2362843.47408*100)</f>
        <v>3.7407606965761874E-3</v>
      </c>
    </row>
    <row r="105" spans="1:7" x14ac:dyDescent="0.25">
      <c r="A105" s="49" t="s">
        <v>110</v>
      </c>
      <c r="B105" s="45">
        <f>IF(130.11164="","-",130.11164)</f>
        <v>130.11163999999999</v>
      </c>
      <c r="C105" s="45" t="s">
        <v>105</v>
      </c>
      <c r="D105" s="45">
        <f>IF(72.87627="","-",72.87627/2362843.47408*100)</f>
        <v>3.0842614332875018E-3</v>
      </c>
      <c r="E105" s="45">
        <f>IF(130.11164="","-",130.11164/1980083.42341*100)</f>
        <v>6.5710180925573469E-3</v>
      </c>
      <c r="F105" s="45">
        <f>IF(OR(2276206.61995="",16.21787="",72.87627=""),"-",(72.87627-16.21787)/2276206.61995*100)</f>
        <v>2.489158914810843E-3</v>
      </c>
      <c r="G105" s="45">
        <f>IF(OR(2362843.47408="",130.11164="",72.87627=""),"-",(130.11164-72.87627)/2362843.47408*100)</f>
        <v>2.4223089945594142E-3</v>
      </c>
    </row>
    <row r="106" spans="1:7" x14ac:dyDescent="0.25">
      <c r="A106" s="49" t="s">
        <v>172</v>
      </c>
      <c r="B106" s="45">
        <f>IF(117.0751="","-",117.0751)</f>
        <v>117.07510000000001</v>
      </c>
      <c r="C106" s="45">
        <f>IF(OR(121.45322="",117.0751=""),"-",117.0751/121.45322*100)</f>
        <v>96.39522113946424</v>
      </c>
      <c r="D106" s="45">
        <f>IF(121.45322="","-",121.45322/2362843.47408*100)</f>
        <v>5.1401297348860229E-3</v>
      </c>
      <c r="E106" s="45">
        <f>IF(117.0751="","-",117.0751/1980083.42341*100)</f>
        <v>5.9126347211361004E-3</v>
      </c>
      <c r="F106" s="45">
        <f>IF(OR(2276206.61995="",16.97719="",121.45322=""),"-",(121.45322-16.97719)/2276206.61995*100)</f>
        <v>4.5899185550341186E-3</v>
      </c>
      <c r="G106" s="45">
        <f>IF(OR(2362843.47408="",117.0751="",121.45322=""),"-",(117.0751-121.45322)/2362843.47408*100)</f>
        <v>-1.8529031008728442E-4</v>
      </c>
    </row>
    <row r="107" spans="1:7" x14ac:dyDescent="0.25">
      <c r="A107" s="49" t="s">
        <v>159</v>
      </c>
      <c r="B107" s="45">
        <f>IF(110.77225="","-",110.77225)</f>
        <v>110.77225</v>
      </c>
      <c r="C107" s="45" t="s">
        <v>222</v>
      </c>
      <c r="D107" s="45">
        <f>IF(2.52906="","-",2.52906/2362843.47408*100)</f>
        <v>1.0703459741380956E-4</v>
      </c>
      <c r="E107" s="45">
        <f>IF(110.77225="","-",110.77225/1980083.42341*100)</f>
        <v>5.5943223750256751E-3</v>
      </c>
      <c r="F107" s="45">
        <f>IF(OR(2276206.61995="",1.24048="",2.52906=""),"-",(2.52906-1.24048)/2276206.61995*100)</f>
        <v>5.6610853720665533E-5</v>
      </c>
      <c r="G107" s="45">
        <f>IF(OR(2362843.47408="",110.77225="",2.52906=""),"-",(110.77225-2.52906)/2362843.47408*100)</f>
        <v>4.5810563072590203E-3</v>
      </c>
    </row>
    <row r="108" spans="1:7" x14ac:dyDescent="0.25">
      <c r="A108" s="49" t="s">
        <v>61</v>
      </c>
      <c r="B108" s="45">
        <f>IF(108.09211="","-",108.09211)</f>
        <v>108.09211000000001</v>
      </c>
      <c r="C108" s="45">
        <f>IF(OR(199.02677="",108.09211=""),"-",108.09211/199.02677*100)</f>
        <v>54.310337247597396</v>
      </c>
      <c r="D108" s="45">
        <f>IF(199.02677="","-",199.02677/2362843.47408*100)</f>
        <v>8.4231889324574635E-3</v>
      </c>
      <c r="E108" s="45">
        <f>IF(108.09211="","-",108.09211/1980083.42341*100)</f>
        <v>5.4589674718779884E-3</v>
      </c>
      <c r="F108" s="45">
        <f>IF(OR(2276206.61995="",271.13751="",199.02677=""),"-",(199.02677-271.13751)/2276206.61995*100)</f>
        <v>-3.1680225937302663E-3</v>
      </c>
      <c r="G108" s="45">
        <f>IF(OR(2362843.47408="",108.09211="",199.02677=""),"-",(108.09211-199.02677)/2362843.47408*100)</f>
        <v>-3.848526616237516E-3</v>
      </c>
    </row>
    <row r="109" spans="1:7" x14ac:dyDescent="0.25">
      <c r="A109" s="49" t="s">
        <v>139</v>
      </c>
      <c r="B109" s="45">
        <f>IF(100.09432="","-",100.09432)</f>
        <v>100.09432</v>
      </c>
      <c r="C109" s="45">
        <f>IF(OR(113.53679="",100.09432=""),"-",100.09432/113.53679*100)</f>
        <v>88.160251844358115</v>
      </c>
      <c r="D109" s="45">
        <f>IF(113.53679="","-",113.53679/2362843.47408*100)</f>
        <v>4.8050914605846599E-3</v>
      </c>
      <c r="E109" s="45">
        <f>IF(100.09432="","-",100.09432/1980083.42341*100)</f>
        <v>5.055055702028079E-3</v>
      </c>
      <c r="F109" s="45">
        <f>IF(OR(2276206.61995="",87.04962="",113.53679=""),"-",(113.53679-87.04962)/2276206.61995*100)</f>
        <v>1.1636540271806174E-3</v>
      </c>
      <c r="G109" s="45">
        <f>IF(OR(2362843.47408="",100.09432="",113.53679=""),"-",(100.09432-113.53679)/2362843.47408*100)</f>
        <v>-5.6891072758147798E-4</v>
      </c>
    </row>
    <row r="110" spans="1:7" x14ac:dyDescent="0.25">
      <c r="A110" s="49" t="s">
        <v>152</v>
      </c>
      <c r="B110" s="45">
        <f>IF(91.46202="","-",91.46202)</f>
        <v>91.462019999999995</v>
      </c>
      <c r="C110" s="45" t="s">
        <v>187</v>
      </c>
      <c r="D110" s="45">
        <f>IF(2.976="","-",2.976/2362843.47408*100)</f>
        <v>1.2594994262828769E-4</v>
      </c>
      <c r="E110" s="45">
        <f>IF(91.46202="","-",91.46202/1980083.42341*100)</f>
        <v>4.619099322718874E-3</v>
      </c>
      <c r="F110" s="45" t="str">
        <f>IF(OR(2276206.61995="",""="",2.976=""),"-",(2.976-"")/2276206.61995*100)</f>
        <v>-</v>
      </c>
      <c r="G110" s="45">
        <f>IF(OR(2362843.47408="",91.46202="",2.976=""),"-",(91.46202-2.976)/2362843.47408*100)</f>
        <v>3.7448955451631445E-3</v>
      </c>
    </row>
    <row r="111" spans="1:7" x14ac:dyDescent="0.25">
      <c r="A111" s="49" t="s">
        <v>218</v>
      </c>
      <c r="B111" s="45">
        <f>IF(82.95822="","-",82.95822)</f>
        <v>82.958219999999997</v>
      </c>
      <c r="C111" s="45" t="s">
        <v>223</v>
      </c>
      <c r="D111" s="45">
        <f>IF(19.98784="","-",19.98784/2362843.47408*100)</f>
        <v>8.4592315230624796E-4</v>
      </c>
      <c r="E111" s="45">
        <f>IF(82.95822="","-",82.95822/1980083.42341*100)</f>
        <v>4.1896325689719438E-3</v>
      </c>
      <c r="F111" s="45">
        <f>IF(OR(2276206.61995="",7.07164="",19.98784=""),"-",(19.98784-7.07164)/2276206.61995*100)</f>
        <v>5.674440925878565E-4</v>
      </c>
      <c r="G111" s="45">
        <f>IF(OR(2362843.47408="",82.95822="",19.98784=""),"-",(82.95822-19.98784)/2362843.47408*100)</f>
        <v>2.6650254530515708E-3</v>
      </c>
    </row>
    <row r="112" spans="1:7" x14ac:dyDescent="0.25">
      <c r="A112" s="49" t="s">
        <v>160</v>
      </c>
      <c r="B112" s="45">
        <f>IF(78.72282="","-",78.72282)</f>
        <v>78.722819999999999</v>
      </c>
      <c r="C112" s="45">
        <f>IF(OR(124.88103="",78.72282=""),"-",78.72282/124.88103*100)</f>
        <v>63.038253287949345</v>
      </c>
      <c r="D112" s="45">
        <f>IF(124.88103="","-",124.88103/2362843.47408*100)</f>
        <v>5.2852011303297971E-3</v>
      </c>
      <c r="E112" s="45">
        <f>IF(78.72282="","-",78.72282/1980083.42341*100)</f>
        <v>3.9757324903224294E-3</v>
      </c>
      <c r="F112" s="45">
        <f>IF(OR(2276206.61995="",84.18465="",124.88103=""),"-",(124.88103-84.18465)/2276206.61995*100)</f>
        <v>1.7879035955397553E-3</v>
      </c>
      <c r="G112" s="45">
        <f>IF(OR(2362843.47408="",78.72282="",124.88103=""),"-",(78.72282-124.88103)/2362843.47408*100)</f>
        <v>-1.9535026550149379E-3</v>
      </c>
    </row>
    <row r="113" spans="1:7" x14ac:dyDescent="0.25">
      <c r="A113" s="49" t="s">
        <v>161</v>
      </c>
      <c r="B113" s="45">
        <f>IF(65.73616="","-",65.73616)</f>
        <v>65.736159999999998</v>
      </c>
      <c r="C113" s="45">
        <f>IF(OR(72.40079="",65.73616=""),"-",65.73616/72.40079*100)</f>
        <v>90.794810388118691</v>
      </c>
      <c r="D113" s="45">
        <f>IF(72.40079="","-",72.40079/2362843.47408*100)</f>
        <v>3.0641382213517157E-3</v>
      </c>
      <c r="E113" s="45">
        <f>IF(65.73616="","-",65.73616/1980083.42341*100)</f>
        <v>3.3198682046836439E-3</v>
      </c>
      <c r="F113" s="45" t="str">
        <f>IF(OR(2276206.61995="",""="",72.40079=""),"-",(72.40079-"")/2276206.61995*100)</f>
        <v>-</v>
      </c>
      <c r="G113" s="45">
        <f>IF(OR(2362843.47408="",65.73616="",72.40079=""),"-",(65.73616-72.40079)/2362843.47408*100)</f>
        <v>-2.8205973324555285E-4</v>
      </c>
    </row>
    <row r="114" spans="1:7" x14ac:dyDescent="0.25">
      <c r="A114" s="49" t="s">
        <v>154</v>
      </c>
      <c r="B114" s="45">
        <f>IF(49.96022="","-",49.96022)</f>
        <v>49.96022</v>
      </c>
      <c r="C114" s="45" t="s">
        <v>175</v>
      </c>
      <c r="D114" s="45">
        <f>IF(21.11708="","-",21.11708/2362843.47408*100)</f>
        <v>8.9371472260650598E-4</v>
      </c>
      <c r="E114" s="45">
        <f>IF(49.96022="","-",49.96022/1980083.42341*100)</f>
        <v>2.5231371269176638E-3</v>
      </c>
      <c r="F114" s="45">
        <f>IF(OR(2276206.61995="",25.01846="",21.11708=""),"-",(21.11708-25.01846)/2276206.61995*100)</f>
        <v>-1.7139832411548379E-4</v>
      </c>
      <c r="G114" s="45">
        <f>IF(OR(2362843.47408="",49.96022="",21.11708=""),"-",(49.96022-21.11708)/2362843.47408*100)</f>
        <v>1.2206961788372545E-3</v>
      </c>
    </row>
    <row r="115" spans="1:7" x14ac:dyDescent="0.25">
      <c r="A115" s="50" t="s">
        <v>171</v>
      </c>
      <c r="B115" s="47">
        <f>IF(49.35694="","-",49.35694)</f>
        <v>49.356940000000002</v>
      </c>
      <c r="C115" s="47" t="s">
        <v>106</v>
      </c>
      <c r="D115" s="47">
        <f>IF(29.50034="","-",29.50034/2362843.47408*100)</f>
        <v>1.2485101245010015E-3</v>
      </c>
      <c r="E115" s="47">
        <f>IF(49.35694="","-",49.35694/1980083.42341*100)</f>
        <v>2.4926697237331527E-3</v>
      </c>
      <c r="F115" s="47">
        <f>IF(OR(2276206.61995="",42.32051="",29.50034=""),"-",(29.50034-42.32051)/2276206.61995*100)</f>
        <v>-5.63225231296516E-4</v>
      </c>
      <c r="G115" s="47">
        <f>IF(OR(2362843.47408="",49.35694="",29.50034=""),"-",(49.35694-29.50034)/2362843.47408*100)</f>
        <v>8.4036882755136335E-4</v>
      </c>
    </row>
    <row r="116" spans="1:7" x14ac:dyDescent="0.25">
      <c r="A116" s="31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2"/>
  <sheetViews>
    <sheetView workbookViewId="0">
      <selection activeCell="G60" sqref="G60"/>
    </sheetView>
  </sheetViews>
  <sheetFormatPr defaultRowHeight="15.75" x14ac:dyDescent="0.25"/>
  <cols>
    <col min="1" max="1" width="43" customWidth="1"/>
    <col min="2" max="3" width="14.75" customWidth="1"/>
    <col min="4" max="4" width="17.25" customWidth="1"/>
  </cols>
  <sheetData>
    <row r="1" spans="1:5" x14ac:dyDescent="0.25">
      <c r="A1" s="92" t="s">
        <v>165</v>
      </c>
      <c r="B1" s="92"/>
      <c r="C1" s="92"/>
      <c r="D1" s="92"/>
    </row>
    <row r="2" spans="1:5" x14ac:dyDescent="0.25">
      <c r="A2" s="4"/>
    </row>
    <row r="3" spans="1:5" ht="26.25" customHeight="1" x14ac:dyDescent="0.25">
      <c r="A3" s="93"/>
      <c r="B3" s="97" t="s">
        <v>196</v>
      </c>
      <c r="C3" s="98"/>
      <c r="D3" s="95" t="s">
        <v>197</v>
      </c>
      <c r="E3" s="1"/>
    </row>
    <row r="4" spans="1:5" ht="25.5" customHeight="1" x14ac:dyDescent="0.25">
      <c r="A4" s="94"/>
      <c r="B4" s="21">
        <v>2019</v>
      </c>
      <c r="C4" s="20">
        <v>2020</v>
      </c>
      <c r="D4" s="96"/>
      <c r="E4" s="1"/>
    </row>
    <row r="5" spans="1:5" ht="17.25" customHeight="1" x14ac:dyDescent="0.25">
      <c r="A5" s="71" t="s">
        <v>188</v>
      </c>
      <c r="B5" s="39">
        <f>IF(-1203842.33494="","-",-1203842.33494)</f>
        <v>-1203842.33494</v>
      </c>
      <c r="C5" s="39">
        <f>IF(-999533.84472="","-",-999533.84472)</f>
        <v>-999533.84472000005</v>
      </c>
      <c r="D5" s="58">
        <f>IF(-1203842.33494="","-",-999533.84472/-1203842.33494*100)</f>
        <v>83.028633875865253</v>
      </c>
    </row>
    <row r="6" spans="1:5" x14ac:dyDescent="0.25">
      <c r="A6" s="72" t="s">
        <v>157</v>
      </c>
      <c r="B6" s="37"/>
      <c r="C6" s="37"/>
      <c r="D6" s="35"/>
    </row>
    <row r="7" spans="1:5" x14ac:dyDescent="0.25">
      <c r="A7" s="43" t="s">
        <v>176</v>
      </c>
      <c r="B7" s="40">
        <f>IF(-420786.37235="","-",-420786.37235)</f>
        <v>-420786.37235000002</v>
      </c>
      <c r="C7" s="40">
        <f>IF(-308397.71831="","-",-308397.71831)</f>
        <v>-308397.71831000003</v>
      </c>
      <c r="D7" s="60">
        <f>IF(-420786.37235="","-",-308397.71831/-420786.37235*100)</f>
        <v>73.290804687344334</v>
      </c>
    </row>
    <row r="8" spans="1:5" x14ac:dyDescent="0.25">
      <c r="A8" s="44" t="s">
        <v>4</v>
      </c>
      <c r="B8" s="45">
        <f>IF(-95396.80613="","-",-95396.80613)</f>
        <v>-95396.806129999997</v>
      </c>
      <c r="C8" s="45">
        <f>IF(-77712.60909="","-",-77712.60909)</f>
        <v>-77712.609089999998</v>
      </c>
      <c r="D8" s="61">
        <f>IF(OR(-95396.80613="",-77712.60909="",-95396.80613=0),"-",-77712.60909/-95396.80613*100)</f>
        <v>81.462485215803525</v>
      </c>
    </row>
    <row r="9" spans="1:5" x14ac:dyDescent="0.25">
      <c r="A9" s="44" t="s">
        <v>3</v>
      </c>
      <c r="B9" s="45">
        <f>IF(-49954.32841="","-",-49954.32841)</f>
        <v>-49954.328410000002</v>
      </c>
      <c r="C9" s="45">
        <f>IF(-41908.04184="","-",-41908.04184)</f>
        <v>-41908.041839999998</v>
      </c>
      <c r="D9" s="61">
        <f>IF(OR(-49954.32841="",-41908.04184="",-49954.32841=0),"-",-41908.04184/-49954.32841*100)</f>
        <v>83.892713952712711</v>
      </c>
    </row>
    <row r="10" spans="1:5" x14ac:dyDescent="0.25">
      <c r="A10" s="44" t="s">
        <v>128</v>
      </c>
      <c r="B10" s="45">
        <f>IF(-49464.98316="","-",-49464.98316)</f>
        <v>-49464.983160000003</v>
      </c>
      <c r="C10" s="45">
        <f>IF(-41763.94388="","-",-41763.94388)</f>
        <v>-41763.943879999999</v>
      </c>
      <c r="D10" s="61">
        <f>IF(OR(-49464.98316="",-41763.94388="",-49464.98316=0),"-",-41763.94388/-49464.98316*100)</f>
        <v>84.431331442911571</v>
      </c>
    </row>
    <row r="11" spans="1:5" x14ac:dyDescent="0.25">
      <c r="A11" s="44" t="s">
        <v>43</v>
      </c>
      <c r="B11" s="45">
        <f>IF(-44076.51901="","-",-44076.51901)</f>
        <v>-44076.519010000004</v>
      </c>
      <c r="C11" s="45">
        <f>IF(-36160.38599="","-",-36160.38599)</f>
        <v>-36160.385990000002</v>
      </c>
      <c r="D11" s="61">
        <f>IF(OR(-44076.51901="",-36160.38599="",-44076.51901=0),"-",-36160.38599/-44076.51901*100)</f>
        <v>82.040022220892709</v>
      </c>
    </row>
    <row r="12" spans="1:5" x14ac:dyDescent="0.25">
      <c r="A12" s="44" t="s">
        <v>5</v>
      </c>
      <c r="B12" s="45">
        <f>IF(-33145.64228="","-",-33145.64228)</f>
        <v>-33145.64228</v>
      </c>
      <c r="C12" s="45">
        <f>IF(-35959.7433="","-",-35959.7433)</f>
        <v>-35959.743300000002</v>
      </c>
      <c r="D12" s="61">
        <f>IF(OR(-33145.64228="",-35959.7433="",-33145.64228=0),"-",-35959.7433/-33145.64228*100)</f>
        <v>108.49010858268396</v>
      </c>
    </row>
    <row r="13" spans="1:5" x14ac:dyDescent="0.25">
      <c r="A13" s="44" t="s">
        <v>8</v>
      </c>
      <c r="B13" s="45">
        <f>IF(-26033.81629="","-",-26033.81629)</f>
        <v>-26033.816289999999</v>
      </c>
      <c r="C13" s="45">
        <f>IF(-14368.57888="","-",-14368.57888)</f>
        <v>-14368.578879999999</v>
      </c>
      <c r="D13" s="61">
        <f>IF(OR(-26033.81629="",-14368.57888="",-26033.81629=0),"-",-14368.57888/-26033.81629*100)</f>
        <v>55.191980768179569</v>
      </c>
    </row>
    <row r="14" spans="1:5" x14ac:dyDescent="0.25">
      <c r="A14" s="44" t="s">
        <v>41</v>
      </c>
      <c r="B14" s="45">
        <f>IF(-19084.6753="","-",-19084.6753)</f>
        <v>-19084.675299999999</v>
      </c>
      <c r="C14" s="45">
        <f>IF(-11616.50489="","-",-11616.50489)</f>
        <v>-11616.50489</v>
      </c>
      <c r="D14" s="61">
        <f>IF(OR(-19084.6753="",-11616.50489="",-19084.6753=0),"-",-11616.50489/-19084.6753*100)</f>
        <v>60.868234368126771</v>
      </c>
    </row>
    <row r="15" spans="1:5" x14ac:dyDescent="0.25">
      <c r="A15" s="44" t="s">
        <v>42</v>
      </c>
      <c r="B15" s="45">
        <f>IF(-10864.15507="","-",-10864.15507)</f>
        <v>-10864.155070000001</v>
      </c>
      <c r="C15" s="45">
        <f>IF(-10829.77823="","-",-10829.77823)</f>
        <v>-10829.77823</v>
      </c>
      <c r="D15" s="61">
        <f>IF(OR(-10864.15507="",-10829.77823="",-10864.15507=0),"-",-10829.77823/-10864.15507*100)</f>
        <v>99.683575576945444</v>
      </c>
    </row>
    <row r="16" spans="1:5" x14ac:dyDescent="0.25">
      <c r="A16" s="44" t="s">
        <v>53</v>
      </c>
      <c r="B16" s="45">
        <f>IF(-9300.62529="","-",-9300.62529)</f>
        <v>-9300.6252899999999</v>
      </c>
      <c r="C16" s="45">
        <f>IF(-9760.83333="","-",-9760.83333)</f>
        <v>-9760.8333299999995</v>
      </c>
      <c r="D16" s="61">
        <f>IF(OR(-9300.62529="",-9760.83333="",-9300.62529=0),"-",-9760.83333/-9300.62529*100)</f>
        <v>104.94814085774226</v>
      </c>
    </row>
    <row r="17" spans="1:4" x14ac:dyDescent="0.25">
      <c r="A17" s="44" t="s">
        <v>51</v>
      </c>
      <c r="B17" s="45">
        <f>IF(-9813.69403="","-",-9813.69403)</f>
        <v>-9813.6940300000006</v>
      </c>
      <c r="C17" s="45">
        <f>IF(-7277.55632="","-",-7277.55632)</f>
        <v>-7277.5563199999997</v>
      </c>
      <c r="D17" s="61">
        <f>IF(OR(-9813.69403="",-7277.55632="",-9813.69403=0),"-",-7277.55632/-9813.69403*100)</f>
        <v>74.157155274587254</v>
      </c>
    </row>
    <row r="18" spans="1:4" x14ac:dyDescent="0.25">
      <c r="A18" s="44" t="s">
        <v>10</v>
      </c>
      <c r="B18" s="45">
        <f>IF(-8238.52019="","-",-8238.52019)</f>
        <v>-8238.5201899999993</v>
      </c>
      <c r="C18" s="45">
        <f>IF(-6650.59167="","-",-6650.59167)</f>
        <v>-6650.5916699999998</v>
      </c>
      <c r="D18" s="61">
        <f>IF(OR(-8238.52019="",-6650.59167="",-8238.52019=0),"-",-6650.59167/-8238.52019*100)</f>
        <v>80.725561346230066</v>
      </c>
    </row>
    <row r="19" spans="1:4" x14ac:dyDescent="0.25">
      <c r="A19" s="44" t="s">
        <v>2</v>
      </c>
      <c r="B19" s="45">
        <f>IF(-7527.95066="","-",-7527.95066)</f>
        <v>-7527.9506600000004</v>
      </c>
      <c r="C19" s="45">
        <f>IF(-6109.31095="","-",-6109.31095)</f>
        <v>-6109.31095</v>
      </c>
      <c r="D19" s="61">
        <f>IF(OR(-7527.95066="",-6109.31095="",-7527.95066=0),"-",-6109.31095/-7527.95066*100)</f>
        <v>81.155034430047664</v>
      </c>
    </row>
    <row r="20" spans="1:4" x14ac:dyDescent="0.25">
      <c r="A20" s="44" t="s">
        <v>45</v>
      </c>
      <c r="B20" s="45">
        <f>IF(-9463.14155="","-",-9463.14155)</f>
        <v>-9463.1415500000003</v>
      </c>
      <c r="C20" s="45">
        <f>IF(-4942.87664="","-",-4942.87664)</f>
        <v>-4942.8766400000004</v>
      </c>
      <c r="D20" s="61">
        <f>IF(OR(-9463.14155="",-4942.87664="",-9463.14155=0),"-",-4942.87664/-9463.14155*100)</f>
        <v>52.232935689311347</v>
      </c>
    </row>
    <row r="21" spans="1:4" x14ac:dyDescent="0.25">
      <c r="A21" s="44" t="s">
        <v>49</v>
      </c>
      <c r="B21" s="45">
        <f>IF(-4910.59642="","-",-4910.59642)</f>
        <v>-4910.5964199999999</v>
      </c>
      <c r="C21" s="45">
        <f>IF(-4841.43474="","-",-4841.43474)</f>
        <v>-4841.4347399999997</v>
      </c>
      <c r="D21" s="61">
        <f>IF(OR(-4910.59642="",-4841.43474="",-4910.59642=0),"-",-4841.43474/-4910.59642*100)</f>
        <v>98.591582893712939</v>
      </c>
    </row>
    <row r="22" spans="1:4" x14ac:dyDescent="0.25">
      <c r="A22" s="44" t="s">
        <v>6</v>
      </c>
      <c r="B22" s="45">
        <f>IF(-2117.01121="","-",-2117.01121)</f>
        <v>-2117.0112100000001</v>
      </c>
      <c r="C22" s="45">
        <f>IF(-4826.12184="","-",-4826.12184)</f>
        <v>-4826.1218399999998</v>
      </c>
      <c r="D22" s="61" t="s">
        <v>113</v>
      </c>
    </row>
    <row r="23" spans="1:4" x14ac:dyDescent="0.25">
      <c r="A23" s="44" t="s">
        <v>50</v>
      </c>
      <c r="B23" s="45">
        <f>IF(-4938.58607="","-",-4938.58607)</f>
        <v>-4938.5860700000003</v>
      </c>
      <c r="C23" s="45">
        <f>IF(-3480.80455="","-",-3480.80455)</f>
        <v>-3480.8045499999998</v>
      </c>
      <c r="D23" s="61">
        <f>IF(OR(-4938.58607="",-3480.80455="",-4938.58607=0),"-",-3480.80455/-4938.58607*100)</f>
        <v>70.481803914374211</v>
      </c>
    </row>
    <row r="24" spans="1:4" x14ac:dyDescent="0.25">
      <c r="A24" s="44" t="s">
        <v>54</v>
      </c>
      <c r="B24" s="45">
        <f>IF(-2431.24347="","-",-2431.24347)</f>
        <v>-2431.2434699999999</v>
      </c>
      <c r="C24" s="45">
        <f>IF(-3311.4122="","-",-3311.4122)</f>
        <v>-3311.4122000000002</v>
      </c>
      <c r="D24" s="61">
        <f>IF(OR(-2431.24347="",-3311.4122="",-2431.24347=0),"-",-3311.4122/-2431.24347*100)</f>
        <v>136.20241003670438</v>
      </c>
    </row>
    <row r="25" spans="1:4" x14ac:dyDescent="0.25">
      <c r="A25" s="44" t="s">
        <v>44</v>
      </c>
      <c r="B25" s="45">
        <f>IF(-3157.82967="","-",-3157.82967)</f>
        <v>-3157.8296700000001</v>
      </c>
      <c r="C25" s="45">
        <f>IF(-2902.41486="","-",-2902.41486)</f>
        <v>-2902.4148599999999</v>
      </c>
      <c r="D25" s="61">
        <f>IF(OR(-3157.82967="",-2902.41486="",-3157.82967=0),"-",-2902.41486/-3157.82967*100)</f>
        <v>91.911697694575139</v>
      </c>
    </row>
    <row r="26" spans="1:4" x14ac:dyDescent="0.25">
      <c r="A26" s="44" t="s">
        <v>46</v>
      </c>
      <c r="B26" s="45">
        <f>IF(-1239.215="","-",-1239.215)</f>
        <v>-1239.2149999999999</v>
      </c>
      <c r="C26" s="45">
        <f>IF(-2492.82805="","-",-2492.82805)</f>
        <v>-2492.8280500000001</v>
      </c>
      <c r="D26" s="61" t="s">
        <v>20</v>
      </c>
    </row>
    <row r="27" spans="1:4" x14ac:dyDescent="0.25">
      <c r="A27" s="44" t="s">
        <v>129</v>
      </c>
      <c r="B27" s="45">
        <f>IF(-1829.56115="","-",-1829.56115)</f>
        <v>-1829.56115</v>
      </c>
      <c r="C27" s="45">
        <f>IF(-1360.79487="","-",-1360.79487)</f>
        <v>-1360.7948699999999</v>
      </c>
      <c r="D27" s="61">
        <f>IF(OR(-1829.56115="",-1360.79487="",-1829.56115=0),"-",-1360.79487/-1829.56115*100)</f>
        <v>74.378211955364264</v>
      </c>
    </row>
    <row r="28" spans="1:4" x14ac:dyDescent="0.25">
      <c r="A28" s="44" t="s">
        <v>55</v>
      </c>
      <c r="B28" s="45">
        <f>IF(-537.15825="","-",-537.15825)</f>
        <v>-537.15824999999995</v>
      </c>
      <c r="C28" s="45">
        <f>IF(-424.22567="","-",-424.22567)</f>
        <v>-424.22566999999998</v>
      </c>
      <c r="D28" s="61">
        <f>IF(OR(-537.15825="",-424.22567="",-537.15825=0),"-",-424.22567/-537.15825*100)</f>
        <v>78.975920038461666</v>
      </c>
    </row>
    <row r="29" spans="1:4" x14ac:dyDescent="0.25">
      <c r="A29" s="44" t="s">
        <v>56</v>
      </c>
      <c r="B29" s="45">
        <f>IF(413.45734="","-",413.45734)</f>
        <v>413.45733999999999</v>
      </c>
      <c r="C29" s="45">
        <f>IF(-21.909="","-",-21.909)</f>
        <v>-21.908999999999999</v>
      </c>
      <c r="D29" s="61" t="s">
        <v>22</v>
      </c>
    </row>
    <row r="30" spans="1:4" x14ac:dyDescent="0.25">
      <c r="A30" s="44" t="s">
        <v>7</v>
      </c>
      <c r="B30" s="45">
        <f>IF(-25047.40185="","-",-25047.40185)</f>
        <v>-25047.401849999998</v>
      </c>
      <c r="C30" s="45">
        <f>IF(1211.49883="","-",1211.49883)</f>
        <v>1211.49883</v>
      </c>
      <c r="D30" s="61" t="s">
        <v>22</v>
      </c>
    </row>
    <row r="31" spans="1:4" x14ac:dyDescent="0.25">
      <c r="A31" s="44" t="s">
        <v>47</v>
      </c>
      <c r="B31" s="45">
        <f>IF(-480.60803="","-",-480.60803)</f>
        <v>-480.60802999999999</v>
      </c>
      <c r="C31" s="45">
        <f>IF(1343.49103="","-",1343.49103)</f>
        <v>1343.4910299999999</v>
      </c>
      <c r="D31" s="61" t="s">
        <v>22</v>
      </c>
    </row>
    <row r="32" spans="1:4" x14ac:dyDescent="0.25">
      <c r="A32" s="44" t="s">
        <v>52</v>
      </c>
      <c r="B32" s="45">
        <f>IF(-7179.2701="","-",-7179.2701)</f>
        <v>-7179.2700999999997</v>
      </c>
      <c r="C32" s="45">
        <f>IF(1807.98632="","-",1807.98632)</f>
        <v>1807.98632</v>
      </c>
      <c r="D32" s="61" t="s">
        <v>22</v>
      </c>
    </row>
    <row r="33" spans="1:4" x14ac:dyDescent="0.25">
      <c r="A33" s="44" t="s">
        <v>48</v>
      </c>
      <c r="B33" s="45">
        <f>IF(4088.27598="","-",4088.27598)</f>
        <v>4088.2759799999999</v>
      </c>
      <c r="C33" s="45">
        <f>IF(7148.19778="","-",7148.19778)</f>
        <v>7148.1977800000004</v>
      </c>
      <c r="D33" s="61" t="s">
        <v>106</v>
      </c>
    </row>
    <row r="34" spans="1:4" x14ac:dyDescent="0.25">
      <c r="A34" s="44" t="s">
        <v>9</v>
      </c>
      <c r="B34" s="45">
        <f>IF(945.23292="","-",945.23292)</f>
        <v>945.23292000000004</v>
      </c>
      <c r="C34" s="45">
        <f>IF(8813.80852="","-",8813.80852)</f>
        <v>8813.8085200000005</v>
      </c>
      <c r="D34" s="61" t="s">
        <v>241</v>
      </c>
    </row>
    <row r="35" spans="1:4" x14ac:dyDescent="0.25">
      <c r="A35" s="48" t="s">
        <v>181</v>
      </c>
      <c r="B35" s="40">
        <f>IF(-429569.846="","-",-429569.846)</f>
        <v>-429569.84600000002</v>
      </c>
      <c r="C35" s="40">
        <f>IF(-328093.14762="","-",-328093.14762)</f>
        <v>-328093.14762</v>
      </c>
      <c r="D35" s="60">
        <f>IF(-429569.846="","-",-328093.14762/-429569.846*100)</f>
        <v>76.377136494818117</v>
      </c>
    </row>
    <row r="36" spans="1:4" x14ac:dyDescent="0.25">
      <c r="A36" s="49" t="s">
        <v>12</v>
      </c>
      <c r="B36" s="45">
        <f>IF(-193047.99609="","-",-193047.99609)</f>
        <v>-193047.99609</v>
      </c>
      <c r="C36" s="45">
        <f>IF(-160495.62782="","-",-160495.62782)</f>
        <v>-160495.62781999999</v>
      </c>
      <c r="D36" s="61">
        <f>IF(OR(-193047.99609="",-160495.62782="",-193047.99609=0),"-",-160495.62782/-193047.99609*100)</f>
        <v>83.137681338673971</v>
      </c>
    </row>
    <row r="37" spans="1:4" x14ac:dyDescent="0.25">
      <c r="A37" s="49" t="s">
        <v>130</v>
      </c>
      <c r="B37" s="45">
        <f>IF(-216519.39155="","-",-216519.39155)</f>
        <v>-216519.39155</v>
      </c>
      <c r="C37" s="45">
        <f>IF(-153656.19472="","-",-153656.19472)</f>
        <v>-153656.19472</v>
      </c>
      <c r="D37" s="61">
        <f>IF(OR(-216519.39155="",-153656.19472="",-216519.39155=0),"-",-153656.19472/-216519.39155*100)</f>
        <v>70.966481856437682</v>
      </c>
    </row>
    <row r="38" spans="1:4" x14ac:dyDescent="0.25">
      <c r="A38" s="49" t="s">
        <v>11</v>
      </c>
      <c r="B38" s="45">
        <f>IF(-16733.64278="","-",-16733.64278)</f>
        <v>-16733.642779999998</v>
      </c>
      <c r="C38" s="45">
        <f>IF(-9273.45068="","-",-9273.45068)</f>
        <v>-9273.4506799999999</v>
      </c>
      <c r="D38" s="61">
        <f>IF(OR(-16733.64278="",-9273.45068="",-16733.64278=0),"-",-9273.45068/-16733.64278*100)</f>
        <v>55.418003132489488</v>
      </c>
    </row>
    <row r="39" spans="1:4" x14ac:dyDescent="0.25">
      <c r="A39" s="49" t="s">
        <v>14</v>
      </c>
      <c r="B39" s="45">
        <f>IF(1456.15304="","-",1456.15304)</f>
        <v>1456.1530399999999</v>
      </c>
      <c r="C39" s="45">
        <f>IF(-2711.98732="","-",-2711.98732)</f>
        <v>-2711.9873200000002</v>
      </c>
      <c r="D39" s="61" t="s">
        <v>22</v>
      </c>
    </row>
    <row r="40" spans="1:4" x14ac:dyDescent="0.25">
      <c r="A40" s="49" t="s">
        <v>15</v>
      </c>
      <c r="B40" s="45">
        <f>IF(-2675.27807="","-",-2675.27807)</f>
        <v>-2675.2780699999998</v>
      </c>
      <c r="C40" s="45">
        <f>IF(-1617.50943="","-",-1617.50943)</f>
        <v>-1617.5094300000001</v>
      </c>
      <c r="D40" s="61">
        <f>IF(OR(-2675.27807="",-1617.50943="",-2675.27807=0),"-",-1617.50943/-2675.27807*100)</f>
        <v>60.461357200150786</v>
      </c>
    </row>
    <row r="41" spans="1:4" x14ac:dyDescent="0.25">
      <c r="A41" s="49" t="s">
        <v>16</v>
      </c>
      <c r="B41" s="45">
        <f>IF(-1756.19463="","-",-1756.19463)</f>
        <v>-1756.19463</v>
      </c>
      <c r="C41" s="45">
        <f>IF(-1360.46958="","-",-1360.46958)</f>
        <v>-1360.46958</v>
      </c>
      <c r="D41" s="61">
        <f>IF(OR(-1756.19463="",-1360.46958="",-1756.19463=0),"-",-1360.46958/-1756.19463*100)</f>
        <v>77.466902401358553</v>
      </c>
    </row>
    <row r="42" spans="1:4" x14ac:dyDescent="0.25">
      <c r="A42" s="49" t="s">
        <v>17</v>
      </c>
      <c r="B42" s="45">
        <f>IF(37.39764="","-",37.39764)</f>
        <v>37.397640000000003</v>
      </c>
      <c r="C42" s="45">
        <f>IF(-10.23153="","-",-10.23153)</f>
        <v>-10.231529999999999</v>
      </c>
      <c r="D42" s="61" t="s">
        <v>22</v>
      </c>
    </row>
    <row r="43" spans="1:4" x14ac:dyDescent="0.25">
      <c r="A43" s="49" t="s">
        <v>18</v>
      </c>
      <c r="B43" s="45">
        <f>IF(100.28556="","-",100.28556)</f>
        <v>100.28556</v>
      </c>
      <c r="C43" s="45">
        <f>IF(144.99523="","-",144.99523)</f>
        <v>144.99522999999999</v>
      </c>
      <c r="D43" s="61">
        <f>IF(OR(100.28556="",144.99523="",100.28556=0),"-",144.99523/100.28556*100)</f>
        <v>144.58236061103912</v>
      </c>
    </row>
    <row r="44" spans="1:4" x14ac:dyDescent="0.25">
      <c r="A44" s="49" t="s">
        <v>132</v>
      </c>
      <c r="B44" s="45">
        <f>IF(246.22484="","-",246.22484)</f>
        <v>246.22484</v>
      </c>
      <c r="C44" s="45">
        <f>IF(233.55795="","-",233.55795)</f>
        <v>233.55795000000001</v>
      </c>
      <c r="D44" s="61">
        <f>IF(OR(246.22484="",233.55795="",246.22484=0),"-",233.55795/246.22484*100)</f>
        <v>94.855559658400026</v>
      </c>
    </row>
    <row r="45" spans="1:4" x14ac:dyDescent="0.25">
      <c r="A45" s="49" t="s">
        <v>13</v>
      </c>
      <c r="B45" s="45">
        <f>IF(-677.40396="","-",-677.40396)</f>
        <v>-677.40395999999998</v>
      </c>
      <c r="C45" s="45">
        <f>IF(653.77028="","-",653.77028)</f>
        <v>653.77027999999996</v>
      </c>
      <c r="D45" s="61" t="s">
        <v>22</v>
      </c>
    </row>
    <row r="46" spans="1:4" x14ac:dyDescent="0.25">
      <c r="A46" s="43" t="s">
        <v>182</v>
      </c>
      <c r="B46" s="40">
        <f>IF(-353486.11659="","-",-353486.11659)</f>
        <v>-353486.11658999999</v>
      </c>
      <c r="C46" s="40">
        <f>IF(-363042.97879="","-",-363042.97879)</f>
        <v>-363042.97879000002</v>
      </c>
      <c r="D46" s="60">
        <f>IF(-353486.11659="","-",-363042.97879/-353486.11659*100)</f>
        <v>102.70360326798486</v>
      </c>
    </row>
    <row r="47" spans="1:4" x14ac:dyDescent="0.25">
      <c r="A47" s="44" t="s">
        <v>60</v>
      </c>
      <c r="B47" s="45">
        <f>IF(-227715.26232="","-",-227715.26232)</f>
        <v>-227715.26232000001</v>
      </c>
      <c r="C47" s="45">
        <f>IF(-206556.60169="","-",-206556.60169)</f>
        <v>-206556.60169000001</v>
      </c>
      <c r="D47" s="61">
        <f>IF(OR(-227715.26232="",-206556.60169="",-227715.26232=0),"-",-206556.60169/-227715.26232*100)</f>
        <v>90.708281731126789</v>
      </c>
    </row>
    <row r="48" spans="1:4" x14ac:dyDescent="0.25">
      <c r="A48" s="44" t="s">
        <v>57</v>
      </c>
      <c r="B48" s="45">
        <f>IF(-43022.83436="","-",-43022.83436)</f>
        <v>-43022.834360000001</v>
      </c>
      <c r="C48" s="45">
        <f>IF(-64329.25021="","-",-64329.25021)</f>
        <v>-64329.250209999998</v>
      </c>
      <c r="D48" s="61">
        <f>IF(OR(-43022.83436="",-64329.25021="",-43022.83436=0),"-",-64329.25021/-43022.83436*100)</f>
        <v>149.52350575444513</v>
      </c>
    </row>
    <row r="49" spans="1:5" x14ac:dyDescent="0.25">
      <c r="A49" s="44" t="s">
        <v>77</v>
      </c>
      <c r="B49" s="45">
        <f>IF(-17824.2957="","-",-17824.2957)</f>
        <v>-17824.295699999999</v>
      </c>
      <c r="C49" s="45">
        <f>IF(-18752.56776="","-",-18752.56776)</f>
        <v>-18752.567760000002</v>
      </c>
      <c r="D49" s="61">
        <f>IF(OR(-17824.2957="",-18752.56776="",-17824.2957=0),"-",-18752.56776/-17824.2957*100)</f>
        <v>105.20790316556521</v>
      </c>
    </row>
    <row r="50" spans="1:5" x14ac:dyDescent="0.25">
      <c r="A50" s="44" t="s">
        <v>19</v>
      </c>
      <c r="B50" s="45">
        <f>IF(-20946.11869="","-",-20946.11869)</f>
        <v>-20946.118689999999</v>
      </c>
      <c r="C50" s="45">
        <f>IF(-18347.12927="","-",-18347.12927)</f>
        <v>-18347.129270000001</v>
      </c>
      <c r="D50" s="61">
        <f>IF(OR(-20946.11869="",-18347.12927="",-20946.11869=0),"-",-18347.12927/-20946.11869*100)</f>
        <v>87.59202380897041</v>
      </c>
    </row>
    <row r="51" spans="1:5" x14ac:dyDescent="0.25">
      <c r="A51" s="44" t="s">
        <v>37</v>
      </c>
      <c r="B51" s="45">
        <f>IF(-13783.26237="","-",-13783.26237)</f>
        <v>-13783.26237</v>
      </c>
      <c r="C51" s="45">
        <f>IF(-14884.34511="","-",-14884.34511)</f>
        <v>-14884.34511</v>
      </c>
      <c r="D51" s="61">
        <f>IF(OR(-13783.26237="",-14884.34511="",-13783.26237=0),"-",-14884.34511/-13783.26237*100)</f>
        <v>107.98854952073296</v>
      </c>
    </row>
    <row r="52" spans="1:5" x14ac:dyDescent="0.25">
      <c r="A52" s="44" t="s">
        <v>70</v>
      </c>
      <c r="B52" s="45">
        <f>IF(-14699.03181="","-",-14699.03181)</f>
        <v>-14699.03181</v>
      </c>
      <c r="C52" s="45">
        <f>IF(-13941.80617="","-",-13941.80617)</f>
        <v>-13941.80617</v>
      </c>
      <c r="D52" s="61">
        <f>IF(OR(-14699.03181="",-13941.80617="",-14699.03181=0),"-",-13941.80617/-14699.03181*100)</f>
        <v>94.848465873209094</v>
      </c>
    </row>
    <row r="53" spans="1:5" x14ac:dyDescent="0.25">
      <c r="A53" s="44" t="s">
        <v>73</v>
      </c>
      <c r="B53" s="45">
        <f>IF(-16480.44051="","-",-16480.44051)</f>
        <v>-16480.44051</v>
      </c>
      <c r="C53" s="45">
        <f>IF(-9670.95344="","-",-9670.95344)</f>
        <v>-9670.9534399999993</v>
      </c>
      <c r="D53" s="61">
        <f>IF(OR(-16480.44051="",-9670.95344="",-16480.44051=0),"-",-9670.95344/-16480.44051*100)</f>
        <v>58.681401350478822</v>
      </c>
    </row>
    <row r="54" spans="1:5" x14ac:dyDescent="0.25">
      <c r="A54" s="44" t="s">
        <v>80</v>
      </c>
      <c r="B54" s="45">
        <f>IF(-8313.04135="","-",-8313.04135)</f>
        <v>-8313.0413499999995</v>
      </c>
      <c r="C54" s="45">
        <f>IF(-8801.0116="","-",-8801.0116)</f>
        <v>-8801.0115999999998</v>
      </c>
      <c r="D54" s="61">
        <f>IF(OR(-8313.04135="",-8801.0116="",-8313.04135=0),"-",-8801.0116/-8313.04135*100)</f>
        <v>105.86993651848009</v>
      </c>
    </row>
    <row r="55" spans="1:5" x14ac:dyDescent="0.25">
      <c r="A55" s="44" t="s">
        <v>67</v>
      </c>
      <c r="B55" s="45">
        <f>IF(-3643.46389="","-",-3643.46389)</f>
        <v>-3643.46389</v>
      </c>
      <c r="C55" s="45">
        <f>IF(-7726.31921="","-",-7726.31921)</f>
        <v>-7726.3192099999997</v>
      </c>
      <c r="D55" s="61" t="s">
        <v>96</v>
      </c>
    </row>
    <row r="56" spans="1:5" x14ac:dyDescent="0.25">
      <c r="A56" s="44" t="s">
        <v>71</v>
      </c>
      <c r="B56" s="45">
        <f>IF(-9006.70805="","-",-9006.70805)</f>
        <v>-9006.7080499999993</v>
      </c>
      <c r="C56" s="45">
        <f>IF(-5609.98333="","-",-5609.98333)</f>
        <v>-5609.98333</v>
      </c>
      <c r="D56" s="61">
        <f>IF(OR(-9006.70805="",-5609.98333="",-9006.70805=0),"-",-5609.98333/-9006.70805*100)</f>
        <v>62.286723393904175</v>
      </c>
    </row>
    <row r="57" spans="1:5" x14ac:dyDescent="0.25">
      <c r="A57" s="44" t="s">
        <v>127</v>
      </c>
      <c r="B57" s="45">
        <f>IF(-2071.786="","-",-2071.786)</f>
        <v>-2071.7860000000001</v>
      </c>
      <c r="C57" s="45">
        <f>IF(-5473.4241="","-",-5473.4241)</f>
        <v>-5473.4241000000002</v>
      </c>
      <c r="D57" s="61" t="s">
        <v>155</v>
      </c>
    </row>
    <row r="58" spans="1:5" x14ac:dyDescent="0.25">
      <c r="A58" s="44" t="s">
        <v>64</v>
      </c>
      <c r="B58" s="45">
        <f>IF(-3302.57468="","-",-3302.57468)</f>
        <v>-3302.5746800000002</v>
      </c>
      <c r="C58" s="45">
        <f>IF(-4196.76241="","-",-4196.76241)</f>
        <v>-4196.7624100000003</v>
      </c>
      <c r="D58" s="61">
        <f>IF(OR(-3302.57468="",-4196.76241="",-3302.57468=0),"-",-4196.76241/-3302.57468*100)</f>
        <v>127.07547343032377</v>
      </c>
    </row>
    <row r="59" spans="1:5" x14ac:dyDescent="0.25">
      <c r="A59" s="44" t="s">
        <v>84</v>
      </c>
      <c r="B59" s="45">
        <f>IF(-3051.70201="","-",-3051.70201)</f>
        <v>-3051.70201</v>
      </c>
      <c r="C59" s="45">
        <f>IF(-3843.74912="","-",-3843.74912)</f>
        <v>-3843.7491199999999</v>
      </c>
      <c r="D59" s="61">
        <f>IF(OR(-3051.70201="",-3843.74912="",-3051.70201=0),"-",-3843.74912/-3051.70201*100)</f>
        <v>125.95427428381187</v>
      </c>
    </row>
    <row r="60" spans="1:5" x14ac:dyDescent="0.25">
      <c r="A60" s="44" t="s">
        <v>75</v>
      </c>
      <c r="B60" s="45">
        <f>IF(-2463.34244="","-",-2463.34244)</f>
        <v>-2463.3424399999999</v>
      </c>
      <c r="C60" s="45">
        <f>IF(-3734.622="","-",-3734.622)</f>
        <v>-3734.6219999999998</v>
      </c>
      <c r="D60" s="61" t="s">
        <v>131</v>
      </c>
    </row>
    <row r="61" spans="1:5" x14ac:dyDescent="0.25">
      <c r="A61" s="44" t="s">
        <v>72</v>
      </c>
      <c r="B61" s="45">
        <f>IF(-3681.39685="","-",-3681.39685)</f>
        <v>-3681.3968500000001</v>
      </c>
      <c r="C61" s="45">
        <f>IF(-3682.14911="","-",-3682.14911)</f>
        <v>-3682.1491099999998</v>
      </c>
      <c r="D61" s="61">
        <f>IF(OR(-3681.39685="",-3682.14911="",-3681.39685=0),"-",-3682.14911/-3681.39685*100)</f>
        <v>100.02043409147807</v>
      </c>
      <c r="E61" s="1"/>
    </row>
    <row r="62" spans="1:5" x14ac:dyDescent="0.25">
      <c r="A62" s="44" t="s">
        <v>83</v>
      </c>
      <c r="B62" s="45">
        <f>IF(-4097.46487="","-",-4097.46487)</f>
        <v>-4097.4648699999998</v>
      </c>
      <c r="C62" s="45">
        <f>IF(-3225.78549="","-",-3225.78549)</f>
        <v>-3225.7854900000002</v>
      </c>
      <c r="D62" s="61">
        <f>IF(OR(-4097.46487="",-3225.78549="",-4097.46487=0),"-",-3225.78549/-4097.46487*100)</f>
        <v>78.726373314824798</v>
      </c>
    </row>
    <row r="63" spans="1:5" x14ac:dyDescent="0.25">
      <c r="A63" s="44" t="s">
        <v>79</v>
      </c>
      <c r="B63" s="45">
        <f>IF(-3527.91203="","-",-3527.91203)</f>
        <v>-3527.91203</v>
      </c>
      <c r="C63" s="45">
        <f>IF(-3183.59129="","-",-3183.59129)</f>
        <v>-3183.5912899999998</v>
      </c>
      <c r="D63" s="61">
        <f>IF(OR(-3527.91203="",-3183.59129="",-3527.91203=0),"-",-3183.59129/-3527.91203*100)</f>
        <v>90.240098475471342</v>
      </c>
    </row>
    <row r="64" spans="1:5" x14ac:dyDescent="0.25">
      <c r="A64" s="44" t="s">
        <v>63</v>
      </c>
      <c r="B64" s="45">
        <f>IF(-2399.24437="","-",-2399.24437)</f>
        <v>-2399.2443699999999</v>
      </c>
      <c r="C64" s="45">
        <f>IF(-2763.54121="","-",-2763.54121)</f>
        <v>-2763.5412099999999</v>
      </c>
      <c r="D64" s="61">
        <f>IF(OR(-2399.24437="",-2763.54121="",-2399.24437=0),"-",-2763.54121/-2399.24437*100)</f>
        <v>115.1838155610635</v>
      </c>
    </row>
    <row r="65" spans="1:5" x14ac:dyDescent="0.25">
      <c r="A65" s="44" t="s">
        <v>87</v>
      </c>
      <c r="B65" s="45">
        <f>IF(-961.56924="","-",-961.56924)</f>
        <v>-961.56924000000004</v>
      </c>
      <c r="C65" s="45">
        <f>IF(-2179.02213="","-",-2179.02213)</f>
        <v>-2179.0221299999998</v>
      </c>
      <c r="D65" s="61" t="s">
        <v>113</v>
      </c>
    </row>
    <row r="66" spans="1:5" x14ac:dyDescent="0.25">
      <c r="A66" s="44" t="s">
        <v>81</v>
      </c>
      <c r="B66" s="45">
        <f>IF(-2569.53629="","-",-2569.53629)</f>
        <v>-2569.53629</v>
      </c>
      <c r="C66" s="45">
        <f>IF(-2168.22616="","-",-2168.22616)</f>
        <v>-2168.2261600000002</v>
      </c>
      <c r="D66" s="61">
        <f>IF(OR(-2569.53629="",-2168.22616="",-2569.53629=0),"-",-2168.22616/-2569.53629*100)</f>
        <v>84.382001859175929</v>
      </c>
    </row>
    <row r="67" spans="1:5" x14ac:dyDescent="0.25">
      <c r="A67" s="44" t="s">
        <v>85</v>
      </c>
      <c r="B67" s="45">
        <f>IF(-1878.20563="","-",-1878.20563)</f>
        <v>-1878.2056299999999</v>
      </c>
      <c r="C67" s="45">
        <f>IF(-2060.56998="","-",-2060.56998)</f>
        <v>-2060.5699800000002</v>
      </c>
      <c r="D67" s="61">
        <f>IF(OR(-1878.20563="",-2060.56998="",-1878.20563=0),"-",-2060.56998/-1878.20563*100)</f>
        <v>109.70949863460906</v>
      </c>
    </row>
    <row r="68" spans="1:5" x14ac:dyDescent="0.25">
      <c r="A68" s="44" t="s">
        <v>82</v>
      </c>
      <c r="B68" s="45">
        <f>IF(-1224.80158="","-",-1224.80158)</f>
        <v>-1224.8015800000001</v>
      </c>
      <c r="C68" s="45">
        <f>IF(-1893.94833="","-",-1893.94833)</f>
        <v>-1893.9483299999999</v>
      </c>
      <c r="D68" s="61" t="s">
        <v>131</v>
      </c>
      <c r="E68" s="1"/>
    </row>
    <row r="69" spans="1:5" x14ac:dyDescent="0.25">
      <c r="A69" s="44" t="s">
        <v>76</v>
      </c>
      <c r="B69" s="45">
        <f>IF(-499.15044="","-",-499.15044)</f>
        <v>-499.15044</v>
      </c>
      <c r="C69" s="45">
        <f>IF(-1846.31529="","-",-1846.31529)</f>
        <v>-1846.31529</v>
      </c>
      <c r="D69" s="61" t="s">
        <v>215</v>
      </c>
    </row>
    <row r="70" spans="1:5" x14ac:dyDescent="0.25">
      <c r="A70" s="44" t="s">
        <v>62</v>
      </c>
      <c r="B70" s="45">
        <f>IF(-2464.87575="","-",-2464.87575)</f>
        <v>-2464.8757500000002</v>
      </c>
      <c r="C70" s="45">
        <f>IF(-1766.66883="","-",-1766.66883)</f>
        <v>-1766.6688300000001</v>
      </c>
      <c r="D70" s="61">
        <f>IF(OR(-2464.87575="",-1766.66883="",-2464.87575=0),"-",-1766.66883/-2464.87575*100)</f>
        <v>71.673747855241785</v>
      </c>
    </row>
    <row r="71" spans="1:5" x14ac:dyDescent="0.25">
      <c r="A71" s="44" t="s">
        <v>147</v>
      </c>
      <c r="B71" s="45">
        <f>IF(-2692.76467="","-",-2692.76467)</f>
        <v>-2692.76467</v>
      </c>
      <c r="C71" s="45">
        <f>IF(-1397.89794="","-",-1397.89794)</f>
        <v>-1397.8979400000001</v>
      </c>
      <c r="D71" s="61">
        <f>IF(OR(-2692.76467="",-1397.89794="",-2692.76467=0),"-",-1397.89794/-2692.76467*100)</f>
        <v>51.913112035891352</v>
      </c>
    </row>
    <row r="72" spans="1:5" x14ac:dyDescent="0.25">
      <c r="A72" s="44" t="s">
        <v>86</v>
      </c>
      <c r="B72" s="45">
        <f>IF(-2181.43106="","-",-2181.43106)</f>
        <v>-2181.4310599999999</v>
      </c>
      <c r="C72" s="45">
        <f>IF(-1311.14036="","-",-1311.14036)</f>
        <v>-1311.1403600000001</v>
      </c>
      <c r="D72" s="61">
        <f>IF(OR(-2181.43106="",-1311.14036="",-2181.43106=0),"-",-1311.14036/-2181.43106*100)</f>
        <v>60.104597575501664</v>
      </c>
    </row>
    <row r="73" spans="1:5" x14ac:dyDescent="0.25">
      <c r="A73" s="44" t="s">
        <v>89</v>
      </c>
      <c r="B73" s="45">
        <f>IF(-1348.18762="","-",-1348.18762)</f>
        <v>-1348.1876199999999</v>
      </c>
      <c r="C73" s="45">
        <f>IF(-1025.18991="","-",-1025.18991)</f>
        <v>-1025.1899100000001</v>
      </c>
      <c r="D73" s="61">
        <f>IF(OR(-1348.18762="",-1025.18991="",-1348.18762=0),"-",-1025.18991/-1348.18762*100)</f>
        <v>76.042080107515005</v>
      </c>
    </row>
    <row r="74" spans="1:5" x14ac:dyDescent="0.25">
      <c r="A74" s="44" t="s">
        <v>39</v>
      </c>
      <c r="B74" s="45">
        <f>IF(-438.43105="","-",-438.43105)</f>
        <v>-438.43105000000003</v>
      </c>
      <c r="C74" s="45">
        <f>IF(-799.57121="","-",-799.57121)</f>
        <v>-799.57120999999995</v>
      </c>
      <c r="D74" s="61" t="s">
        <v>105</v>
      </c>
    </row>
    <row r="75" spans="1:5" x14ac:dyDescent="0.25">
      <c r="A75" s="44" t="s">
        <v>74</v>
      </c>
      <c r="B75" s="45">
        <f>IF(-809.42941="","-",-809.42941)</f>
        <v>-809.42940999999996</v>
      </c>
      <c r="C75" s="45">
        <f>IF(-735.83444="","-",-735.83444)</f>
        <v>-735.83443999999997</v>
      </c>
      <c r="D75" s="61">
        <f>IF(OR(-809.42941="",-735.83444="",-809.42941=0),"-",-735.83444/-809.42941*100)</f>
        <v>90.90779639449967</v>
      </c>
    </row>
    <row r="76" spans="1:5" x14ac:dyDescent="0.25">
      <c r="A76" s="44" t="s">
        <v>92</v>
      </c>
      <c r="B76" s="45">
        <f>IF(-49.97888="","-",-49.97888)</f>
        <v>-49.978879999999997</v>
      </c>
      <c r="C76" s="45">
        <f>IF(-727.24587="","-",-727.24587)</f>
        <v>-727.24586999999997</v>
      </c>
      <c r="D76" s="61" t="s">
        <v>234</v>
      </c>
      <c r="E76" s="12"/>
    </row>
    <row r="77" spans="1:5" x14ac:dyDescent="0.25">
      <c r="A77" s="44" t="s">
        <v>149</v>
      </c>
      <c r="B77" s="45">
        <f>IF(38.38854="","-",38.38854)</f>
        <v>38.388539999999999</v>
      </c>
      <c r="C77" s="45">
        <f>IF(-701.38331="","-",-701.38331)</f>
        <v>-701.38331000000005</v>
      </c>
      <c r="D77" s="61" t="s">
        <v>22</v>
      </c>
    </row>
    <row r="78" spans="1:5" x14ac:dyDescent="0.25">
      <c r="A78" s="44" t="s">
        <v>151</v>
      </c>
      <c r="B78" s="45">
        <f>IF(-1622.20644="","-",-1622.20644)</f>
        <v>-1622.2064399999999</v>
      </c>
      <c r="C78" s="45">
        <f>IF(-673.13678="","-",-673.13678)</f>
        <v>-673.13678000000004</v>
      </c>
      <c r="D78" s="61">
        <f>IF(OR(-1622.20644="",-673.13678="",-1622.20644=0),"-",-673.13678/-1622.20644*100)</f>
        <v>41.495136710220436</v>
      </c>
    </row>
    <row r="79" spans="1:5" x14ac:dyDescent="0.25">
      <c r="A79" s="44" t="s">
        <v>98</v>
      </c>
      <c r="B79" s="45">
        <f>IF(-471.08533="","-",-471.08533)</f>
        <v>-471.08533</v>
      </c>
      <c r="C79" s="45">
        <f>IF(-626.62766="","-",-626.62766)</f>
        <v>-626.62765999999999</v>
      </c>
      <c r="D79" s="61">
        <f>IF(OR(-471.08533="",-626.62766="",-471.08533=0),"-",-626.62766/-471.08533*100)</f>
        <v>133.01786748485674</v>
      </c>
    </row>
    <row r="80" spans="1:5" x14ac:dyDescent="0.25">
      <c r="A80" s="44" t="s">
        <v>217</v>
      </c>
      <c r="B80" s="45">
        <f>IF(3="","-",3)</f>
        <v>3</v>
      </c>
      <c r="C80" s="45">
        <f>IF(-625.2805="","-",-625.2805)</f>
        <v>-625.28049999999996</v>
      </c>
      <c r="D80" s="61" t="s">
        <v>22</v>
      </c>
    </row>
    <row r="81" spans="1:5" x14ac:dyDescent="0.25">
      <c r="A81" s="44" t="s">
        <v>90</v>
      </c>
      <c r="B81" s="45">
        <f>IF(-601.01571="","-",-601.01571)</f>
        <v>-601.01571000000001</v>
      </c>
      <c r="C81" s="45">
        <f>IF(-526.1153="","-",-526.1153)</f>
        <v>-526.11530000000005</v>
      </c>
      <c r="D81" s="61">
        <f>IF(OR(-601.01571="",-526.1153="",-601.01571=0),"-",-526.1153/-601.01571*100)</f>
        <v>87.53769514610525</v>
      </c>
    </row>
    <row r="82" spans="1:5" x14ac:dyDescent="0.25">
      <c r="A82" s="44" t="s">
        <v>95</v>
      </c>
      <c r="B82" s="45">
        <f>IF(-228.37281="","-",-228.37281)</f>
        <v>-228.37280999999999</v>
      </c>
      <c r="C82" s="45">
        <f>IF(-422.90394="","-",-422.90394)</f>
        <v>-422.90393999999998</v>
      </c>
      <c r="D82" s="61" t="s">
        <v>108</v>
      </c>
    </row>
    <row r="83" spans="1:5" x14ac:dyDescent="0.25">
      <c r="A83" s="44" t="s">
        <v>115</v>
      </c>
      <c r="B83" s="45">
        <f>IF(-14.54836="","-",-14.54836)</f>
        <v>-14.548360000000001</v>
      </c>
      <c r="C83" s="45">
        <f>IF(-364.98091="","-",-364.98091)</f>
        <v>-364.98090999999999</v>
      </c>
      <c r="D83" s="61" t="s">
        <v>235</v>
      </c>
    </row>
    <row r="84" spans="1:5" x14ac:dyDescent="0.25">
      <c r="A84" s="44" t="s">
        <v>93</v>
      </c>
      <c r="B84" s="45">
        <f>IF(-309.9984="","-",-309.9984)</f>
        <v>-309.9984</v>
      </c>
      <c r="C84" s="45">
        <f>IF(-356.04645="","-",-356.04645)</f>
        <v>-356.04644999999999</v>
      </c>
      <c r="D84" s="61">
        <f>IF(OR(-309.9984="",-356.04645="",-309.9984=0),"-",-356.04645/-309.9984*100)</f>
        <v>114.85428634470371</v>
      </c>
    </row>
    <row r="85" spans="1:5" x14ac:dyDescent="0.25">
      <c r="A85" s="44" t="s">
        <v>186</v>
      </c>
      <c r="B85" s="45">
        <f>IF(-512.1372="","-",-512.1372)</f>
        <v>-512.13720000000001</v>
      </c>
      <c r="C85" s="45">
        <f>IF(-354.30679="","-",-354.30679)</f>
        <v>-354.30678999999998</v>
      </c>
      <c r="D85" s="61">
        <f>IF(OR(-512.1372="",-354.30679="",-512.1372=0),"-",-354.30679/-512.1372*100)</f>
        <v>69.182006306122659</v>
      </c>
    </row>
    <row r="86" spans="1:5" x14ac:dyDescent="0.25">
      <c r="A86" s="44" t="s">
        <v>138</v>
      </c>
      <c r="B86" s="45">
        <f>IF(-327.2732="","-",-327.2732)</f>
        <v>-327.27319999999997</v>
      </c>
      <c r="C86" s="45">
        <f>IF(-336.7404="","-",-336.7404)</f>
        <v>-336.74040000000002</v>
      </c>
      <c r="D86" s="61">
        <f>IF(OR(-327.2732="",-336.7404="",-327.2732=0),"-",-336.7404/-327.2732*100)</f>
        <v>102.89275137713692</v>
      </c>
    </row>
    <row r="87" spans="1:5" x14ac:dyDescent="0.25">
      <c r="A87" s="44" t="s">
        <v>153</v>
      </c>
      <c r="B87" s="45">
        <f>IF(-81.60976="","-",-81.60976)</f>
        <v>-81.609759999999994</v>
      </c>
      <c r="C87" s="45">
        <f>IF(-169.99808="","-",-169.99808)</f>
        <v>-169.99807999999999</v>
      </c>
      <c r="D87" s="61" t="s">
        <v>96</v>
      </c>
    </row>
    <row r="88" spans="1:5" x14ac:dyDescent="0.25">
      <c r="A88" s="44" t="s">
        <v>99</v>
      </c>
      <c r="B88" s="45">
        <f>IF(-479.06178="","-",-479.06178)</f>
        <v>-479.06178</v>
      </c>
      <c r="C88" s="45">
        <f>IF(-151.34181="","-",-151.34181)</f>
        <v>-151.34181000000001</v>
      </c>
      <c r="D88" s="61">
        <f>IF(OR(-479.06178="",-151.34181="",-479.06178=0),"-",-151.34181/-479.06178*100)</f>
        <v>31.591292880847227</v>
      </c>
    </row>
    <row r="89" spans="1:5" x14ac:dyDescent="0.25">
      <c r="A89" s="44" t="s">
        <v>103</v>
      </c>
      <c r="B89" s="45">
        <f>IF(-38.91794="","-",-38.91794)</f>
        <v>-38.917940000000002</v>
      </c>
      <c r="C89" s="45">
        <f>IF(-148.78154="","-",-148.78154)</f>
        <v>-148.78154000000001</v>
      </c>
      <c r="D89" s="61" t="s">
        <v>216</v>
      </c>
    </row>
    <row r="90" spans="1:5" x14ac:dyDescent="0.25">
      <c r="A90" s="44" t="s">
        <v>91</v>
      </c>
      <c r="B90" s="45">
        <f>IF(-229.20302="","-",-229.20302)</f>
        <v>-229.20302000000001</v>
      </c>
      <c r="C90" s="45">
        <f>IF(-137.89647="","-",-137.89647)</f>
        <v>-137.89646999999999</v>
      </c>
      <c r="D90" s="61">
        <f>IF(OR(-229.20302="",-137.89647="",-229.20302=0),"-",-137.89647/-229.20302*100)</f>
        <v>60.163461196977238</v>
      </c>
    </row>
    <row r="91" spans="1:5" x14ac:dyDescent="0.25">
      <c r="A91" s="44" t="s">
        <v>185</v>
      </c>
      <c r="B91" s="45">
        <f>IF(-361.1418="","-",-361.1418)</f>
        <v>-361.14179999999999</v>
      </c>
      <c r="C91" s="45">
        <f>IF(-125.80952="","-",-125.80952)</f>
        <v>-125.80952000000001</v>
      </c>
      <c r="D91" s="61">
        <f>IF(OR(-361.1418="",-125.80952="",-361.1418=0),"-",-125.80952/-361.1418*100)</f>
        <v>34.836598809664238</v>
      </c>
    </row>
    <row r="92" spans="1:5" x14ac:dyDescent="0.25">
      <c r="A92" s="44" t="s">
        <v>172</v>
      </c>
      <c r="B92" s="45">
        <f>IF(-121.45322="","-",-121.45322)</f>
        <v>-121.45322</v>
      </c>
      <c r="C92" s="45">
        <f>IF(-116.88804="","-",-116.88804)</f>
        <v>-116.88804</v>
      </c>
      <c r="D92" s="61">
        <f>IF(OR(-121.45322="",-116.88804="",-121.45322=0),"-",-116.88804/-121.45322*100)</f>
        <v>96.241202991571569</v>
      </c>
    </row>
    <row r="93" spans="1:5" x14ac:dyDescent="0.25">
      <c r="A93" s="44" t="s">
        <v>226</v>
      </c>
      <c r="B93" s="45">
        <f>IF(-578.79052="","-",-578.79052)</f>
        <v>-578.79052000000001</v>
      </c>
      <c r="C93" s="45">
        <f>IF(-112.50656="","-",-112.50656)</f>
        <v>-112.50655999999999</v>
      </c>
      <c r="D93" s="61">
        <f>IF(OR(-578.79052="",-112.50656="",-578.79052=0),"-",-112.50656/-578.79052*100)</f>
        <v>19.438217474605491</v>
      </c>
    </row>
    <row r="94" spans="1:5" x14ac:dyDescent="0.25">
      <c r="A94" s="44" t="s">
        <v>159</v>
      </c>
      <c r="B94" s="45">
        <f>IF(-2.52906="","-",-2.52906)</f>
        <v>-2.5290599999999999</v>
      </c>
      <c r="C94" s="45">
        <f>IF(-107.10414="","-",-107.10414)</f>
        <v>-107.10414</v>
      </c>
      <c r="D94" s="61" t="s">
        <v>236</v>
      </c>
    </row>
    <row r="95" spans="1:5" x14ac:dyDescent="0.25">
      <c r="A95" s="44" t="s">
        <v>104</v>
      </c>
      <c r="B95" s="45">
        <f>IF(-130.38779="","-",-130.38779)</f>
        <v>-130.38779</v>
      </c>
      <c r="C95" s="45">
        <f>IF(-106.85178="","-",-106.85178)</f>
        <v>-106.85178000000001</v>
      </c>
      <c r="D95" s="61">
        <f>IF(OR(-130.38779="",-106.85178="",-130.38779=0),"-",-106.85178/-130.38779*100)</f>
        <v>81.949222392679559</v>
      </c>
    </row>
    <row r="96" spans="1:5" x14ac:dyDescent="0.25">
      <c r="A96" s="44" t="s">
        <v>139</v>
      </c>
      <c r="B96" s="45">
        <f>IF(-113.53679="","-",-113.53679)</f>
        <v>-113.53679</v>
      </c>
      <c r="C96" s="45">
        <f>IF(-100.09432="","-",-100.09432)</f>
        <v>-100.09432</v>
      </c>
      <c r="D96" s="61">
        <f>IF(OR(-113.53679="",-100.09432="",-113.53679=0),"-",-100.09432/-113.53679*100)</f>
        <v>88.160251844358115</v>
      </c>
      <c r="E96" s="12"/>
    </row>
    <row r="97" spans="1:5" x14ac:dyDescent="0.25">
      <c r="A97" s="44" t="s">
        <v>152</v>
      </c>
      <c r="B97" s="45">
        <f>IF(-2.976="","-",-2.976)</f>
        <v>-2.976</v>
      </c>
      <c r="C97" s="45">
        <f>IF(-90.86414="","-",-90.86414)</f>
        <v>-90.864140000000006</v>
      </c>
      <c r="D97" s="61" t="s">
        <v>192</v>
      </c>
    </row>
    <row r="98" spans="1:5" x14ac:dyDescent="0.25">
      <c r="A98" s="44" t="s">
        <v>218</v>
      </c>
      <c r="B98" s="45">
        <f>IF(-19.66064="","-",-19.66064)</f>
        <v>-19.660640000000001</v>
      </c>
      <c r="C98" s="45">
        <f>IF(-82.22077="","-",-82.22077)</f>
        <v>-82.220770000000002</v>
      </c>
      <c r="D98" s="61" t="s">
        <v>223</v>
      </c>
      <c r="E98" s="11"/>
    </row>
    <row r="99" spans="1:5" x14ac:dyDescent="0.25">
      <c r="A99" s="44" t="s">
        <v>160</v>
      </c>
      <c r="B99" s="45">
        <f>IF(-124.88103="","-",-124.88103)</f>
        <v>-124.88103</v>
      </c>
      <c r="C99" s="45">
        <f>IF(-78.72282="","-",-78.72282)</f>
        <v>-78.722819999999999</v>
      </c>
      <c r="D99" s="61">
        <f>IF(OR(-124.88103="",-78.72282="",-124.88103=0),"-",-78.72282/-124.88103*100)</f>
        <v>63.038253287949345</v>
      </c>
    </row>
    <row r="100" spans="1:5" x14ac:dyDescent="0.25">
      <c r="A100" s="44" t="s">
        <v>161</v>
      </c>
      <c r="B100" s="45">
        <f>IF(-26.0156="","-",-26.0156)</f>
        <v>-26.015599999999999</v>
      </c>
      <c r="C100" s="45">
        <f>IF(-64.96343="","-",-64.96343)</f>
        <v>-64.963430000000002</v>
      </c>
      <c r="D100" s="61" t="s">
        <v>150</v>
      </c>
      <c r="E100" s="11"/>
    </row>
    <row r="101" spans="1:5" x14ac:dyDescent="0.25">
      <c r="A101" s="44" t="s">
        <v>171</v>
      </c>
      <c r="B101" s="45">
        <f>IF(-29.05927="","-",-29.05927)</f>
        <v>-29.059270000000001</v>
      </c>
      <c r="C101" s="45">
        <f>IF(-49.35694="","-",-49.35694)</f>
        <v>-49.356940000000002</v>
      </c>
      <c r="D101" s="61" t="s">
        <v>106</v>
      </c>
      <c r="E101" s="1"/>
    </row>
    <row r="102" spans="1:5" x14ac:dyDescent="0.25">
      <c r="A102" s="44" t="s">
        <v>189</v>
      </c>
      <c r="B102" s="45">
        <f>IF(-40.0016="","-",-40.0016)</f>
        <v>-40.001600000000003</v>
      </c>
      <c r="C102" s="45">
        <f>IF(-39.97371="","-",-39.97371)</f>
        <v>-39.973709999999997</v>
      </c>
      <c r="D102" s="61">
        <f>IF(OR(-40.0016="",-39.97371="",-40.0016=0),"-",-39.97371/-40.0016*100)</f>
        <v>99.930277788888432</v>
      </c>
    </row>
    <row r="103" spans="1:5" x14ac:dyDescent="0.25">
      <c r="A103" s="44" t="s">
        <v>227</v>
      </c>
      <c r="B103" s="45">
        <f>IF(-37.06524="","-",-37.06524)</f>
        <v>-37.065240000000003</v>
      </c>
      <c r="C103" s="45">
        <f>IF(-36.51012="","-",-36.51012)</f>
        <v>-36.510120000000001</v>
      </c>
      <c r="D103" s="61">
        <f>IF(OR(-37.06524="",-36.51012="",-37.06524=0),"-",-36.51012/-37.06524*100)</f>
        <v>98.502316456065032</v>
      </c>
    </row>
    <row r="104" spans="1:5" x14ac:dyDescent="0.25">
      <c r="A104" s="44" t="s">
        <v>110</v>
      </c>
      <c r="B104" s="45">
        <f>IF(84.779="","-",84.779)</f>
        <v>84.778999999999996</v>
      </c>
      <c r="C104" s="45">
        <f>IF(-31.55605="","-",-31.55605)</f>
        <v>-31.556049999999999</v>
      </c>
      <c r="D104" s="61" t="s">
        <v>22</v>
      </c>
    </row>
    <row r="105" spans="1:5" x14ac:dyDescent="0.25">
      <c r="A105" s="44" t="s">
        <v>40</v>
      </c>
      <c r="B105" s="45">
        <f>IF(-413.14089="","-",-413.14089)</f>
        <v>-413.14089000000001</v>
      </c>
      <c r="C105" s="45">
        <f>IF(-28.17182="","-",-28.17182)</f>
        <v>-28.17182</v>
      </c>
      <c r="D105" s="61">
        <f>IF(OR(-413.14089="",-28.17182="",-413.14089=0),"-",-28.17182/-413.14089*100)</f>
        <v>6.8189377236419269</v>
      </c>
      <c r="E105" s="12"/>
    </row>
    <row r="106" spans="1:5" x14ac:dyDescent="0.25">
      <c r="A106" s="44" t="s">
        <v>190</v>
      </c>
      <c r="B106" s="45">
        <f>IF(-21.67296="","-",-21.67296)</f>
        <v>-21.67296</v>
      </c>
      <c r="C106" s="45">
        <f>IF(-24.83048="","-",-24.83048)</f>
        <v>-24.830480000000001</v>
      </c>
      <c r="D106" s="61">
        <f>IF(OR(-21.67296="",-24.83048="",-21.67296=0),"-",-24.83048/-21.67296*100)</f>
        <v>114.56893751476495</v>
      </c>
      <c r="E106" s="10"/>
    </row>
    <row r="107" spans="1:5" x14ac:dyDescent="0.25">
      <c r="A107" s="44" t="s">
        <v>191</v>
      </c>
      <c r="B107" s="45">
        <f>IF(-53.68034="","-",-53.68034)</f>
        <v>-53.680340000000001</v>
      </c>
      <c r="C107" s="45">
        <f>IF(-23.00669="","-",-23.00669)</f>
        <v>-23.006689999999999</v>
      </c>
      <c r="D107" s="61">
        <f>IF(OR(-53.68034="",-23.00669="",-53.68034=0),"-",-23.00669/-53.68034*100)</f>
        <v>42.858689047051492</v>
      </c>
    </row>
    <row r="108" spans="1:5" x14ac:dyDescent="0.25">
      <c r="A108" s="44" t="s">
        <v>154</v>
      </c>
      <c r="B108" s="45">
        <f>IF(-21.11708="","-",-21.11708)</f>
        <v>-21.117080000000001</v>
      </c>
      <c r="C108" s="45">
        <f>IF(-19.13422="","-",-19.13422)</f>
        <v>-19.134219999999999</v>
      </c>
      <c r="D108" s="61">
        <f>IF(OR(-21.11708="",-19.13422="",-21.11708=0),"-",-19.13422/-21.11708*100)</f>
        <v>90.610160116834322</v>
      </c>
      <c r="E108" s="12"/>
    </row>
    <row r="109" spans="1:5" x14ac:dyDescent="0.25">
      <c r="A109" s="44" t="s">
        <v>228</v>
      </c>
      <c r="B109" s="45">
        <f>IF(-36.1062="","-",-36.1062)</f>
        <v>-36.106200000000001</v>
      </c>
      <c r="C109" s="45">
        <f>IF(-17.88279="","-",-17.88279)</f>
        <v>-17.88279</v>
      </c>
      <c r="D109" s="61">
        <f>IF(OR(-36.1062="",-17.88279="",-36.1062=0),"-",-17.88279/-36.1062*100)</f>
        <v>49.528308157601742</v>
      </c>
    </row>
    <row r="110" spans="1:5" x14ac:dyDescent="0.25">
      <c r="A110" s="44" t="s">
        <v>229</v>
      </c>
      <c r="B110" s="45">
        <f>IF(-9.06919="","-",-9.06919)</f>
        <v>-9.0691900000000008</v>
      </c>
      <c r="C110" s="45">
        <f>IF(-10.10171="","-",-10.10171)</f>
        <v>-10.101710000000001</v>
      </c>
      <c r="D110" s="61">
        <f>IF(OR(-9.06919="",-10.10171="",-9.06919=0),"-",-10.10171/-9.06919*100)</f>
        <v>111.38491971168318</v>
      </c>
    </row>
    <row r="111" spans="1:5" x14ac:dyDescent="0.25">
      <c r="A111" s="44" t="s">
        <v>230</v>
      </c>
      <c r="B111" s="45">
        <f>IF(30.38124="","-",30.38124)</f>
        <v>30.381239999999998</v>
      </c>
      <c r="C111" s="45">
        <f>IF(4.92723="","-",4.92723)</f>
        <v>4.9272299999999998</v>
      </c>
      <c r="D111" s="61">
        <f>IF(OR(30.38124="",4.92723="",30.38124=0),"-",4.92723/30.38124*100)</f>
        <v>16.218001635219629</v>
      </c>
      <c r="E111" s="12"/>
    </row>
    <row r="112" spans="1:5" x14ac:dyDescent="0.25">
      <c r="A112" s="44" t="s">
        <v>231</v>
      </c>
      <c r="B112" s="45">
        <f>IF(80.75211="","-",80.75211)</f>
        <v>80.752110000000002</v>
      </c>
      <c r="C112" s="45">
        <f>IF(15.83932="","-",15.83932)</f>
        <v>15.839320000000001</v>
      </c>
      <c r="D112" s="61">
        <f>IF(OR(80.75211="",15.83932="",80.75211=0),"-",15.83932/80.75211*100)</f>
        <v>19.614744432064995</v>
      </c>
    </row>
    <row r="113" spans="1:4" x14ac:dyDescent="0.25">
      <c r="A113" s="44" t="s">
        <v>232</v>
      </c>
      <c r="B113" s="45">
        <f>IF(21.9375="","-",21.9375)</f>
        <v>21.9375</v>
      </c>
      <c r="C113" s="45">
        <f>IF(23.05="","-",23.05)</f>
        <v>23.05</v>
      </c>
      <c r="D113" s="61">
        <f>IF(OR(21.9375="",23.05="",21.9375=0),"-",23.05/21.9375*100)</f>
        <v>105.07122507122509</v>
      </c>
    </row>
    <row r="114" spans="1:4" x14ac:dyDescent="0.25">
      <c r="A114" s="44" t="s">
        <v>233</v>
      </c>
      <c r="B114" s="45">
        <f>IF(19.081="","-",19.081)</f>
        <v>19.081</v>
      </c>
      <c r="C114" s="45">
        <f>IF(24.012="","-",24.012)</f>
        <v>24.012</v>
      </c>
      <c r="D114" s="61">
        <f>IF(OR(19.081="",24.012="",19.081=0),"-",24.012/19.081*100)</f>
        <v>125.84246108694512</v>
      </c>
    </row>
    <row r="115" spans="1:4" x14ac:dyDescent="0.25">
      <c r="A115" s="44" t="s">
        <v>148</v>
      </c>
      <c r="B115" s="45">
        <f>IF(-33.53186="","-",-33.53186)</f>
        <v>-33.531860000000002</v>
      </c>
      <c r="C115" s="45">
        <f>IF(32.3968="","-",32.3968)</f>
        <v>32.396799999999999</v>
      </c>
      <c r="D115" s="61" t="s">
        <v>22</v>
      </c>
    </row>
    <row r="116" spans="1:4" x14ac:dyDescent="0.25">
      <c r="A116" s="44" t="s">
        <v>158</v>
      </c>
      <c r="B116" s="45">
        <f>IF(43.23246="","-",43.23246)</f>
        <v>43.232460000000003</v>
      </c>
      <c r="C116" s="45">
        <f>IF(50.18097="","-",50.18097)</f>
        <v>50.180970000000002</v>
      </c>
      <c r="D116" s="61">
        <f>IF(OR(43.23246="",50.18097="",43.23246=0),"-",50.18097/43.23246*100)</f>
        <v>116.07243723813079</v>
      </c>
    </row>
    <row r="117" spans="1:4" x14ac:dyDescent="0.25">
      <c r="A117" s="44" t="s">
        <v>203</v>
      </c>
      <c r="B117" s="45">
        <f>IF(270.25243="","-",270.25243)</f>
        <v>270.25243</v>
      </c>
      <c r="C117" s="45">
        <f>IF(61.4613="","-",61.4613)</f>
        <v>61.461300000000001</v>
      </c>
      <c r="D117" s="61">
        <f>IF(OR(270.25243="",61.4613="",270.25243=0),"-",61.4613/270.25243*100)</f>
        <v>22.742182188704092</v>
      </c>
    </row>
    <row r="118" spans="1:4" x14ac:dyDescent="0.25">
      <c r="A118" s="44" t="s">
        <v>202</v>
      </c>
      <c r="B118" s="45">
        <f>IF(200.3737="","-",200.3737)</f>
        <v>200.37370000000001</v>
      </c>
      <c r="C118" s="45">
        <f>IF(75.4646="","-",75.4646)</f>
        <v>75.464600000000004</v>
      </c>
      <c r="D118" s="61">
        <f>IF(OR(200.3737="",75.4646="",200.3737=0),"-",75.4646/200.3737*100)</f>
        <v>37.661928686249738</v>
      </c>
    </row>
    <row r="119" spans="1:4" x14ac:dyDescent="0.25">
      <c r="A119" s="44" t="s">
        <v>173</v>
      </c>
      <c r="B119" s="45">
        <f>IF(9.49156="","-",9.49156)</f>
        <v>9.4915599999999998</v>
      </c>
      <c r="C119" s="45">
        <f>IF(76.99941="","-",76.99941)</f>
        <v>76.999409999999997</v>
      </c>
      <c r="D119" s="61" t="s">
        <v>237</v>
      </c>
    </row>
    <row r="120" spans="1:4" x14ac:dyDescent="0.25">
      <c r="A120" s="44" t="s">
        <v>135</v>
      </c>
      <c r="B120" s="45">
        <f>IF(2588.27613="","-",2588.27613)</f>
        <v>2588.2761300000002</v>
      </c>
      <c r="C120" s="45">
        <f>IF(80.65195="","-",80.65195)</f>
        <v>80.651949999999999</v>
      </c>
      <c r="D120" s="61">
        <f>IF(OR(2588.27613="",80.65195="",2588.27613=0),"-",80.65195/2588.27613*100)</f>
        <v>3.1160489047202238</v>
      </c>
    </row>
    <row r="121" spans="1:4" x14ac:dyDescent="0.25">
      <c r="A121" s="44" t="s">
        <v>65</v>
      </c>
      <c r="B121" s="45">
        <f>IF(500.42862="","-",500.42862)</f>
        <v>500.42862000000002</v>
      </c>
      <c r="C121" s="45">
        <f>IF(85.70989="","-",85.70989)</f>
        <v>85.709890000000001</v>
      </c>
      <c r="D121" s="61">
        <f>IF(OR(500.42862="",85.70989="",500.42862=0),"-",85.70989/500.42862*100)</f>
        <v>17.127295796951021</v>
      </c>
    </row>
    <row r="122" spans="1:4" x14ac:dyDescent="0.25">
      <c r="A122" s="44" t="s">
        <v>88</v>
      </c>
      <c r="B122" s="45">
        <f>IF(-953.7702="","-",-953.7702)</f>
        <v>-953.77020000000005</v>
      </c>
      <c r="C122" s="45">
        <f>IF(110.56736="","-",110.56736)</f>
        <v>110.56735999999999</v>
      </c>
      <c r="D122" s="61" t="s">
        <v>22</v>
      </c>
    </row>
    <row r="123" spans="1:4" x14ac:dyDescent="0.25">
      <c r="A123" s="44" t="s">
        <v>141</v>
      </c>
      <c r="B123" s="45">
        <f>IF(219.73291="","-",219.73291)</f>
        <v>219.73291</v>
      </c>
      <c r="C123" s="45">
        <f>IF(116.30255="","-",116.30255)</f>
        <v>116.30255</v>
      </c>
      <c r="D123" s="61">
        <f>IF(OR(219.73291="",116.30255="",219.73291=0),"-",116.30255/219.73291*100)</f>
        <v>52.929053731641737</v>
      </c>
    </row>
    <row r="124" spans="1:4" x14ac:dyDescent="0.25">
      <c r="A124" s="44" t="s">
        <v>174</v>
      </c>
      <c r="B124" s="45">
        <f>IF(124.02514="","-",124.02514)</f>
        <v>124.02513999999999</v>
      </c>
      <c r="C124" s="45">
        <f>IF(135.07132="","-",135.07132)</f>
        <v>135.07131999999999</v>
      </c>
      <c r="D124" s="61">
        <f>IF(OR(124.02514="",135.07132="",124.02514=0),"-",135.07132/124.02514*100)</f>
        <v>108.90640397583908</v>
      </c>
    </row>
    <row r="125" spans="1:4" x14ac:dyDescent="0.25">
      <c r="A125" s="44" t="s">
        <v>97</v>
      </c>
      <c r="B125" s="45">
        <f>IF(323.47451="","-",323.47451)</f>
        <v>323.47451000000001</v>
      </c>
      <c r="C125" s="45">
        <f>IF(159.60595="","-",159.60595)</f>
        <v>159.60595000000001</v>
      </c>
      <c r="D125" s="61">
        <f>IF(OR(323.47451="",159.60595="",323.47451=0),"-",159.60595/323.47451*100)</f>
        <v>49.34112119066198</v>
      </c>
    </row>
    <row r="126" spans="1:4" x14ac:dyDescent="0.25">
      <c r="A126" s="44" t="s">
        <v>183</v>
      </c>
      <c r="B126" s="45">
        <f>IF(51.317="","-",51.317)</f>
        <v>51.317</v>
      </c>
      <c r="C126" s="45">
        <f>IF(179.7168="","-",179.7168)</f>
        <v>179.71680000000001</v>
      </c>
      <c r="D126" s="61" t="s">
        <v>214</v>
      </c>
    </row>
    <row r="127" spans="1:4" x14ac:dyDescent="0.25">
      <c r="A127" s="44" t="s">
        <v>201</v>
      </c>
      <c r="B127" s="45">
        <f>IF(7.66136="","-",7.66136)</f>
        <v>7.6613600000000002</v>
      </c>
      <c r="C127" s="45">
        <f>IF(198.22941="","-",198.22941)</f>
        <v>198.22941</v>
      </c>
      <c r="D127" s="61" t="s">
        <v>238</v>
      </c>
    </row>
    <row r="128" spans="1:4" x14ac:dyDescent="0.25">
      <c r="A128" s="44" t="s">
        <v>94</v>
      </c>
      <c r="B128" s="45">
        <f>IF(-337.82264="","-",-337.82264)</f>
        <v>-337.82263999999998</v>
      </c>
      <c r="C128" s="45">
        <f>IF(230.03792="","-",230.03792)</f>
        <v>230.03792000000001</v>
      </c>
      <c r="D128" s="61" t="s">
        <v>22</v>
      </c>
    </row>
    <row r="129" spans="1:4" x14ac:dyDescent="0.25">
      <c r="A129" s="44" t="s">
        <v>146</v>
      </c>
      <c r="B129" s="45">
        <f>IF(22.90269="","-",22.90269)</f>
        <v>22.90269</v>
      </c>
      <c r="C129" s="45">
        <f>IF(243.83722="","-",243.83722)</f>
        <v>243.83722</v>
      </c>
      <c r="D129" s="61" t="s">
        <v>239</v>
      </c>
    </row>
    <row r="130" spans="1:4" x14ac:dyDescent="0.25">
      <c r="A130" s="44" t="s">
        <v>112</v>
      </c>
      <c r="B130" s="45">
        <f>IF(721.83181="","-",721.83181)</f>
        <v>721.83181000000002</v>
      </c>
      <c r="C130" s="45">
        <f>IF(378.27825="","-",378.27825)</f>
        <v>378.27825000000001</v>
      </c>
      <c r="D130" s="61">
        <f>IF(OR(721.83181="",378.27825="",721.83181=0),"-",378.27825/721.83181*100)</f>
        <v>52.405317244192936</v>
      </c>
    </row>
    <row r="131" spans="1:4" x14ac:dyDescent="0.25">
      <c r="A131" s="44" t="s">
        <v>69</v>
      </c>
      <c r="B131" s="45">
        <f>IF(2400.29557="","-",2400.29557)</f>
        <v>2400.2955700000002</v>
      </c>
      <c r="C131" s="45">
        <f>IF(380.87411="","-",380.87411)</f>
        <v>380.87410999999997</v>
      </c>
      <c r="D131" s="61">
        <f>IF(OR(2400.29557="",380.87411="",2400.29557=0),"-",380.87411/2400.29557*100)</f>
        <v>15.867800397598531</v>
      </c>
    </row>
    <row r="132" spans="1:4" x14ac:dyDescent="0.25">
      <c r="A132" s="44" t="s">
        <v>140</v>
      </c>
      <c r="B132" s="45">
        <f>IF(86.0057="","-",86.0057)</f>
        <v>86.005700000000004</v>
      </c>
      <c r="C132" s="45">
        <f>IF(440.2442="","-",440.2442)</f>
        <v>440.24419999999998</v>
      </c>
      <c r="D132" s="61" t="s">
        <v>240</v>
      </c>
    </row>
    <row r="133" spans="1:4" x14ac:dyDescent="0.25">
      <c r="A133" s="44" t="s">
        <v>78</v>
      </c>
      <c r="B133" s="45">
        <f>IF(497.48638="","-",497.48638)</f>
        <v>497.48638</v>
      </c>
      <c r="C133" s="45">
        <f>IF(485.9883="","-",485.9883)</f>
        <v>485.98829999999998</v>
      </c>
      <c r="D133" s="61">
        <f>IF(OR(497.48638="",485.9883="",497.48638=0),"-",485.9883/497.48638*100)</f>
        <v>97.688764866286377</v>
      </c>
    </row>
    <row r="134" spans="1:4" x14ac:dyDescent="0.25">
      <c r="A134" s="44" t="s">
        <v>68</v>
      </c>
      <c r="B134" s="45">
        <f>IF(-951.43537="","-",-951.43537)</f>
        <v>-951.43537000000003</v>
      </c>
      <c r="C134" s="45">
        <f>IF(936.43789="","-",936.43789)</f>
        <v>936.43789000000004</v>
      </c>
      <c r="D134" s="61" t="s">
        <v>22</v>
      </c>
    </row>
    <row r="135" spans="1:4" x14ac:dyDescent="0.25">
      <c r="A135" s="44" t="s">
        <v>38</v>
      </c>
      <c r="B135" s="45">
        <f>IF(561.79292="","-",561.79292)</f>
        <v>561.79291999999998</v>
      </c>
      <c r="C135" s="45">
        <f>IF(955.56018="","-",955.56018)</f>
        <v>955.56017999999995</v>
      </c>
      <c r="D135" s="61" t="s">
        <v>106</v>
      </c>
    </row>
    <row r="136" spans="1:4" x14ac:dyDescent="0.25">
      <c r="A136" s="44" t="s">
        <v>66</v>
      </c>
      <c r="B136" s="45">
        <f>IF(3203.58138="","-",3203.58138)</f>
        <v>3203.5813800000001</v>
      </c>
      <c r="C136" s="45">
        <f>IF(2085.34885="","-",2085.34885)</f>
        <v>2085.3488499999999</v>
      </c>
      <c r="D136" s="61">
        <f>IF(OR(3203.58138="",2085.34885="",3203.58138=0),"-",2085.34885/3203.58138*100)</f>
        <v>65.094299243305002</v>
      </c>
    </row>
    <row r="137" spans="1:4" x14ac:dyDescent="0.25">
      <c r="A137" s="44" t="s">
        <v>134</v>
      </c>
      <c r="B137" s="45">
        <f>IF(5875.36543="","-",5875.36543)</f>
        <v>5875.3654299999998</v>
      </c>
      <c r="C137" s="45">
        <f>IF(2903.92176="","-",2903.92176)</f>
        <v>2903.9217600000002</v>
      </c>
      <c r="D137" s="61">
        <f>IF(OR(5875.36543="",2903.92176="",5875.36543=0),"-",2903.92176/5875.36543*100)</f>
        <v>49.425381188587622</v>
      </c>
    </row>
    <row r="138" spans="1:4" x14ac:dyDescent="0.25">
      <c r="A138" s="44" t="s">
        <v>58</v>
      </c>
      <c r="B138" s="45">
        <f>IF(5609.2559="","-",5609.2559)</f>
        <v>5609.2559000000001</v>
      </c>
      <c r="C138" s="45">
        <f>IF(3234.2293="","-",3234.2293)</f>
        <v>3234.2293</v>
      </c>
      <c r="D138" s="61">
        <f>IF(OR(5609.2559="",3234.2293="",5609.2559=0),"-",3234.2293/5609.2559*100)</f>
        <v>57.658793923094144</v>
      </c>
    </row>
    <row r="139" spans="1:4" x14ac:dyDescent="0.25">
      <c r="A139" s="44" t="s">
        <v>59</v>
      </c>
      <c r="B139" s="45">
        <f>IF(6102.91995="","-",6102.91995)</f>
        <v>6102.9199500000004</v>
      </c>
      <c r="C139" s="45">
        <f>IF(4868.8146="","-",4868.8146)</f>
        <v>4868.8145999999997</v>
      </c>
      <c r="D139" s="61">
        <f>IF(OR(6102.91995="",4868.8146="",6102.91995=0),"-",4868.8146/6102.91995*100)</f>
        <v>79.778444414955814</v>
      </c>
    </row>
    <row r="140" spans="1:4" x14ac:dyDescent="0.25">
      <c r="A140" s="44" t="s">
        <v>61</v>
      </c>
      <c r="B140" s="45">
        <f>IF(5819.33725="","-",5819.33725)</f>
        <v>5819.3372499999996</v>
      </c>
      <c r="C140" s="45">
        <f>IF(6586.68698="","-",6586.68698)</f>
        <v>6586.6869800000004</v>
      </c>
      <c r="D140" s="61">
        <f>IF(OR(5819.33725="",6586.68698="",5819.33725=0),"-",6586.68698/5819.33725*100)</f>
        <v>113.18620483801658</v>
      </c>
    </row>
    <row r="141" spans="1:4" x14ac:dyDescent="0.25">
      <c r="A141" s="46" t="s">
        <v>133</v>
      </c>
      <c r="B141" s="47">
        <f>IF(17416.67137="","-",17416.67137)</f>
        <v>17416.67137</v>
      </c>
      <c r="C141" s="47">
        <f>IF(26318.1092="","-",26318.1092)</f>
        <v>26318.109199999999</v>
      </c>
      <c r="D141" s="78" t="s">
        <v>131</v>
      </c>
    </row>
    <row r="142" spans="1:4" x14ac:dyDescent="0.25">
      <c r="A142" s="31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H32" sqref="H32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79" t="s">
        <v>166</v>
      </c>
      <c r="B1" s="79"/>
      <c r="C1" s="79"/>
      <c r="D1" s="79"/>
      <c r="E1" s="79"/>
    </row>
    <row r="2" spans="1:6" x14ac:dyDescent="0.25">
      <c r="A2" s="9"/>
      <c r="B2" s="9"/>
      <c r="C2" s="9"/>
      <c r="D2" s="9"/>
      <c r="E2" s="9"/>
    </row>
    <row r="3" spans="1:6" x14ac:dyDescent="0.25">
      <c r="A3" s="80"/>
      <c r="B3" s="83" t="s">
        <v>193</v>
      </c>
      <c r="C3" s="84"/>
      <c r="D3" s="83" t="s">
        <v>111</v>
      </c>
      <c r="E3" s="99"/>
      <c r="F3" s="1"/>
    </row>
    <row r="4" spans="1:6" ht="18" customHeight="1" x14ac:dyDescent="0.25">
      <c r="A4" s="81"/>
      <c r="B4" s="87" t="s">
        <v>126</v>
      </c>
      <c r="C4" s="89" t="s">
        <v>198</v>
      </c>
      <c r="D4" s="91" t="s">
        <v>195</v>
      </c>
      <c r="E4" s="83"/>
      <c r="F4" s="1"/>
    </row>
    <row r="5" spans="1:6" ht="22.5" customHeight="1" x14ac:dyDescent="0.25">
      <c r="A5" s="82"/>
      <c r="B5" s="88"/>
      <c r="C5" s="90"/>
      <c r="D5" s="23">
        <v>2019</v>
      </c>
      <c r="E5" s="22">
        <v>2020</v>
      </c>
      <c r="F5" s="1"/>
    </row>
    <row r="6" spans="1:6" ht="15.75" customHeight="1" x14ac:dyDescent="0.25">
      <c r="A6" s="71" t="s">
        <v>162</v>
      </c>
      <c r="B6" s="64">
        <f>IF(980549.57869="","-",980549.57869)</f>
        <v>980549.57868999999</v>
      </c>
      <c r="C6" s="58">
        <f>IF(1159001.13914="","-",980549.57869/1159001.13914*100)</f>
        <v>84.602986621530462</v>
      </c>
      <c r="D6" s="65">
        <v>100</v>
      </c>
      <c r="E6" s="65">
        <v>100</v>
      </c>
    </row>
    <row r="7" spans="1:6" ht="15.75" customHeight="1" x14ac:dyDescent="0.25">
      <c r="A7" s="72" t="s">
        <v>142</v>
      </c>
      <c r="B7" s="32"/>
      <c r="C7" s="66"/>
      <c r="D7" s="32"/>
      <c r="E7" s="32"/>
    </row>
    <row r="8" spans="1:6" x14ac:dyDescent="0.25">
      <c r="A8" s="73" t="s">
        <v>116</v>
      </c>
      <c r="B8" s="45">
        <f>IF(92944.81451="","-",92944.81451)</f>
        <v>92944.814509999997</v>
      </c>
      <c r="C8" s="67">
        <v>105.967</v>
      </c>
      <c r="D8" s="45">
        <f>IF(87711.11469="","-",87711.11469/1159001.13914*100)</f>
        <v>7.5678195411510334</v>
      </c>
      <c r="E8" s="45">
        <f>IF(92944.81451="","-",92944.81451/980549.57869*100)</f>
        <v>9.4788490587261194</v>
      </c>
    </row>
    <row r="9" spans="1:6" x14ac:dyDescent="0.25">
      <c r="A9" s="73" t="s">
        <v>117</v>
      </c>
      <c r="B9" s="45">
        <f>IF(47285.66466="","-",47285.66466)</f>
        <v>47285.664660000002</v>
      </c>
      <c r="C9" s="67">
        <v>85.512500000000003</v>
      </c>
      <c r="D9" s="45">
        <f>IF(55296.80054="","-",55296.80054/1159001.13914*100)</f>
        <v>4.771073873234605</v>
      </c>
      <c r="E9" s="45">
        <f>IF(47285.66466="","-",47285.66466/980549.57869*100)</f>
        <v>4.8223634671459408</v>
      </c>
    </row>
    <row r="10" spans="1:6" x14ac:dyDescent="0.25">
      <c r="A10" s="73" t="s">
        <v>118</v>
      </c>
      <c r="B10" s="45">
        <f>IF(828551.83378="","-",828551.83378)</f>
        <v>828551.83377999999</v>
      </c>
      <c r="C10" s="67">
        <v>83.134399999999999</v>
      </c>
      <c r="D10" s="45">
        <f>IF(996640.87563="","-",996640.87563/1159001.13914*100)</f>
        <v>85.99136290491704</v>
      </c>
      <c r="E10" s="45">
        <f>IF(828551.83378="","-",828551.83378/980549.57869*100)</f>
        <v>84.498719063949139</v>
      </c>
    </row>
    <row r="11" spans="1:6" x14ac:dyDescent="0.25">
      <c r="A11" s="73" t="s">
        <v>119</v>
      </c>
      <c r="B11" s="45">
        <f>IF(11298.5324="","-",11298.5324)</f>
        <v>11298.5324</v>
      </c>
      <c r="C11" s="67">
        <v>61.271799999999999</v>
      </c>
      <c r="D11" s="45">
        <f>IF(18440.01089="","-",18440.01089/1159001.13914*100)</f>
        <v>1.5910261230358085</v>
      </c>
      <c r="E11" s="45">
        <f>IF(11298.5324="","-",11298.5324/980549.57869*100)</f>
        <v>1.1522652852591784</v>
      </c>
    </row>
    <row r="12" spans="1:6" x14ac:dyDescent="0.25">
      <c r="A12" s="73" t="s">
        <v>120</v>
      </c>
      <c r="B12" s="45">
        <f>IF(450.04333="","-",450.04333)</f>
        <v>450.04333000000003</v>
      </c>
      <c r="C12" s="67">
        <v>71.2517</v>
      </c>
      <c r="D12" s="45">
        <f>IF(631.62096="","-",631.62096/1159001.13914*100)</f>
        <v>5.4497009422154172E-2</v>
      </c>
      <c r="E12" s="45">
        <f>IF(450.04333="","-",450.04333/980549.57869*100)</f>
        <v>4.5897049958580516E-2</v>
      </c>
    </row>
    <row r="13" spans="1:6" x14ac:dyDescent="0.25">
      <c r="A13" s="73" t="s">
        <v>121</v>
      </c>
      <c r="B13" s="45">
        <f>IF(3.25568="","-",3.25568)</f>
        <v>3.2556799999999999</v>
      </c>
      <c r="C13" s="67">
        <v>107.2368</v>
      </c>
      <c r="D13" s="45">
        <f>IF(3.03565="","-",3.03565/1159001.13914*100)</f>
        <v>2.6191950098103503E-4</v>
      </c>
      <c r="E13" s="45">
        <f>IF(3.25568="","-",3.25568/980549.57869*100)</f>
        <v>3.320260464901266E-4</v>
      </c>
    </row>
    <row r="14" spans="1:6" x14ac:dyDescent="0.25">
      <c r="A14" s="73" t="s">
        <v>122</v>
      </c>
      <c r="B14" s="45">
        <f>IF(15.43433="","-",15.43433)</f>
        <v>15.434329999999999</v>
      </c>
      <c r="C14" s="67">
        <v>5.5568</v>
      </c>
      <c r="D14" s="45">
        <f>IF(277.68078="","-",277.68078/1159001.13914*100)</f>
        <v>2.3958628738367266E-2</v>
      </c>
      <c r="E14" s="45">
        <f>IF(15.43433="","-",15.43433/980549.57869*100)</f>
        <v>1.5740489145505566E-3</v>
      </c>
    </row>
    <row r="15" spans="1:6" x14ac:dyDescent="0.25">
      <c r="A15" s="43" t="s">
        <v>177</v>
      </c>
      <c r="B15" s="40">
        <f>IF(618272.14398="","-",618272.14398)</f>
        <v>618272.14398000005</v>
      </c>
      <c r="C15" s="60">
        <f>IF(720483.95216="","-",618272.14398/720483.95216*100)</f>
        <v>85.813451101364507</v>
      </c>
      <c r="D15" s="40">
        <f>IF(720483.95216="","-",720483.95216/1159001.13914*100)</f>
        <v>62.164214324639246</v>
      </c>
      <c r="E15" s="40">
        <f>IF(618272.14398="","-",618272.14398/980549.57869*100)</f>
        <v>63.053634147291426</v>
      </c>
    </row>
    <row r="16" spans="1:6" x14ac:dyDescent="0.25">
      <c r="A16" s="72" t="s">
        <v>142</v>
      </c>
      <c r="B16" s="33"/>
      <c r="C16" s="38"/>
      <c r="D16" s="33"/>
      <c r="E16" s="33"/>
    </row>
    <row r="17" spans="1:11" x14ac:dyDescent="0.25">
      <c r="A17" s="73" t="s">
        <v>116</v>
      </c>
      <c r="B17" s="45">
        <f>IF(49546.29059="","-",49546.29059)</f>
        <v>49546.290589999997</v>
      </c>
      <c r="C17" s="67">
        <v>151.47059999999999</v>
      </c>
      <c r="D17" s="45">
        <f>IF(32710.16047="","-",32710.16047/1159001.13914*100)</f>
        <v>2.8222716411022279</v>
      </c>
      <c r="E17" s="45">
        <f>IF(49546.29059="","-",49546.29059/980549.57869*100)</f>
        <v>5.0529102930412888</v>
      </c>
      <c r="K17" s="25"/>
    </row>
    <row r="18" spans="1:11" x14ac:dyDescent="0.25">
      <c r="A18" s="73" t="s">
        <v>117</v>
      </c>
      <c r="B18" s="45">
        <f>IF(10349.44646="","-",10349.44646)</f>
        <v>10349.446459999999</v>
      </c>
      <c r="C18" s="67">
        <v>89.637600000000006</v>
      </c>
      <c r="D18" s="45">
        <f>IF(11545.88014="","-",11545.88014/1159001.13914*100)</f>
        <v>0.99619230301768746</v>
      </c>
      <c r="E18" s="45">
        <f>IF(10349.44646="","-",10349.44646/980549.57869*100)</f>
        <v>1.0554740611715634</v>
      </c>
    </row>
    <row r="19" spans="1:11" x14ac:dyDescent="0.25">
      <c r="A19" s="73" t="s">
        <v>118</v>
      </c>
      <c r="B19" s="45">
        <f>IF(555796.53114="","-",555796.53114)</f>
        <v>555796.53113999998</v>
      </c>
      <c r="C19" s="67">
        <v>82.488299999999995</v>
      </c>
      <c r="D19" s="45">
        <f>IF(673788.27338="","-",673788.27338/1159001.13914*100)</f>
        <v>58.135255490772266</v>
      </c>
      <c r="E19" s="45">
        <f>IF(555796.53114="","-",555796.53114/980549.57869*100)</f>
        <v>56.68214470935127</v>
      </c>
    </row>
    <row r="20" spans="1:11" x14ac:dyDescent="0.25">
      <c r="A20" s="73" t="s">
        <v>119</v>
      </c>
      <c r="B20" s="45">
        <f>IF(2415.61113="","-",2415.61113)</f>
        <v>2415.6111299999998</v>
      </c>
      <c r="C20" s="67">
        <v>114.7373</v>
      </c>
      <c r="D20" s="45">
        <f>IF(2105.33825="","-",2105.33825/1159001.13914*100)</f>
        <v>0.18165109411041641</v>
      </c>
      <c r="E20" s="45">
        <f>IF(2415.61113="","-",2415.61113/980549.57869*100)</f>
        <v>0.24635277832939576</v>
      </c>
    </row>
    <row r="21" spans="1:11" x14ac:dyDescent="0.25">
      <c r="A21" s="73" t="s">
        <v>120</v>
      </c>
      <c r="B21" s="45">
        <f>IF(164.26466="","-",164.26466)</f>
        <v>164.26465999999999</v>
      </c>
      <c r="C21" s="68">
        <v>89.049099999999996</v>
      </c>
      <c r="D21" s="45">
        <f>IF(184.46105="","-",184.46105/1159001.13914*100)</f>
        <v>1.5915519301117637E-2</v>
      </c>
      <c r="E21" s="45">
        <f>IF(164.26466="","-",164.26466/980549.57869*100)</f>
        <v>1.6752305397903001E-2</v>
      </c>
    </row>
    <row r="22" spans="1:11" x14ac:dyDescent="0.25">
      <c r="A22" s="42" t="s">
        <v>122</v>
      </c>
      <c r="B22" s="57" t="s">
        <v>156</v>
      </c>
      <c r="C22" s="68" t="s">
        <v>22</v>
      </c>
      <c r="D22" s="45">
        <f>IF(149.83887="","-",149.83887/1159001.13914*100)</f>
        <v>1.2928276335533471E-2</v>
      </c>
      <c r="E22" s="57" t="s">
        <v>156</v>
      </c>
    </row>
    <row r="23" spans="1:11" x14ac:dyDescent="0.25">
      <c r="A23" s="43" t="s">
        <v>178</v>
      </c>
      <c r="B23" s="40">
        <f>IF(161574.68278="","-",161574.68278)</f>
        <v>161574.68278</v>
      </c>
      <c r="C23" s="60">
        <f>IF(170234.04832="","-",161574.68278/170234.04832*100)</f>
        <v>94.913258760243764</v>
      </c>
      <c r="D23" s="40">
        <f>IF(170234.04832="","-",170234.04832/1159001.13914*100)</f>
        <v>14.687996635302426</v>
      </c>
      <c r="E23" s="40">
        <f>IF(161574.68278="","-",161574.68278/980549.57869*100)</f>
        <v>16.477971771285794</v>
      </c>
    </row>
    <row r="24" spans="1:11" x14ac:dyDescent="0.25">
      <c r="A24" s="72" t="s">
        <v>142</v>
      </c>
      <c r="B24" s="33"/>
      <c r="C24" s="38"/>
      <c r="D24" s="33"/>
      <c r="E24" s="33"/>
    </row>
    <row r="25" spans="1:11" x14ac:dyDescent="0.25">
      <c r="A25" s="73" t="s">
        <v>116</v>
      </c>
      <c r="B25" s="45">
        <f>IF(1252.01706="","-",1252.01706)</f>
        <v>1252.0170599999999</v>
      </c>
      <c r="C25" s="67">
        <v>43.539400000000001</v>
      </c>
      <c r="D25" s="45">
        <f>IF(2875.60081="","-",2875.60081/1159001.13914*100)</f>
        <v>0.24811026606356471</v>
      </c>
      <c r="E25" s="45">
        <f>IF(1252.01706="","-",1252.01706/980549.57869*100)</f>
        <v>0.12768523766770432</v>
      </c>
    </row>
    <row r="26" spans="1:11" x14ac:dyDescent="0.25">
      <c r="A26" s="73" t="s">
        <v>117</v>
      </c>
      <c r="B26" s="45">
        <f>IF(2863.44838="","-",2863.44838)</f>
        <v>2863.4483799999998</v>
      </c>
      <c r="C26" s="67">
        <v>37.3127</v>
      </c>
      <c r="D26" s="45">
        <f>IF(7674.18793="","-",7674.18793/1159001.13914*100)</f>
        <v>0.66213808346162517</v>
      </c>
      <c r="E26" s="45">
        <f>IF(2863.44838="","-",2863.44838/980549.57869*100)</f>
        <v>0.29202484425372205</v>
      </c>
      <c r="F26" s="1"/>
      <c r="G26" s="1"/>
    </row>
    <row r="27" spans="1:11" x14ac:dyDescent="0.25">
      <c r="A27" s="73" t="s">
        <v>118</v>
      </c>
      <c r="B27" s="45">
        <f>IF(154467.96539="","-",154467.96539)</f>
        <v>154467.96539</v>
      </c>
      <c r="C27" s="69">
        <v>99.324799999999996</v>
      </c>
      <c r="D27" s="45">
        <f>IF(155518.02306="","-",155518.02306/1159001.13914*100)</f>
        <v>13.418280432010377</v>
      </c>
      <c r="E27" s="45">
        <f>IF(154467.96539="","-",154467.96539/980549.57869*100)</f>
        <v>15.753202973822797</v>
      </c>
      <c r="F27" s="12"/>
      <c r="G27" s="12"/>
    </row>
    <row r="28" spans="1:11" x14ac:dyDescent="0.25">
      <c r="A28" s="73" t="s">
        <v>119</v>
      </c>
      <c r="B28" s="45">
        <f>IF(2928.0115="","-",2928.0115)</f>
        <v>2928.0115000000001</v>
      </c>
      <c r="C28" s="69">
        <v>77.252099999999999</v>
      </c>
      <c r="D28" s="45">
        <f>IF(3790.20145="","-",3790.20145/1159001.13914*100)</f>
        <v>0.32702309963322368</v>
      </c>
      <c r="E28" s="45">
        <f>IF(2928.0115="","-",2928.0115/980549.57869*100)</f>
        <v>0.29860922523793049</v>
      </c>
    </row>
    <row r="29" spans="1:11" x14ac:dyDescent="0.25">
      <c r="A29" s="73" t="s">
        <v>120</v>
      </c>
      <c r="B29" s="45">
        <f>IF(44.55044="","-",44.55044)</f>
        <v>44.550440000000002</v>
      </c>
      <c r="C29" s="69">
        <v>12.4497</v>
      </c>
      <c r="D29" s="45">
        <f>IF(357.84198="","-",357.84198/1159001.13914*100)</f>
        <v>3.0875032639357477E-2</v>
      </c>
      <c r="E29" s="45">
        <f>IF(44.55044="","-",44.55044/980549.57869*100)</f>
        <v>4.5434153425998863E-3</v>
      </c>
    </row>
    <row r="30" spans="1:11" x14ac:dyDescent="0.25">
      <c r="A30" s="73" t="s">
        <v>121</v>
      </c>
      <c r="B30" s="45">
        <f>IF(3.25568="","-",3.25568)</f>
        <v>3.2556799999999999</v>
      </c>
      <c r="C30" s="69">
        <v>107.2368</v>
      </c>
      <c r="D30" s="45">
        <f>IF(3.03565="","-",3.03565/1159001.13914*100)</f>
        <v>2.6191950098103503E-4</v>
      </c>
      <c r="E30" s="45">
        <f>IF(3.25568="","-",3.25568/980549.57869*100)</f>
        <v>3.320260464901266E-4</v>
      </c>
    </row>
    <row r="31" spans="1:11" x14ac:dyDescent="0.25">
      <c r="A31" s="73" t="s">
        <v>122</v>
      </c>
      <c r="B31" s="45">
        <f>IF(15.43433="","-",15.43433)</f>
        <v>15.434329999999999</v>
      </c>
      <c r="C31" s="69">
        <v>101.78100000000001</v>
      </c>
      <c r="D31" s="45">
        <f>IF(15.15744="","-",15.15744/1159001.13914*100)</f>
        <v>1.3078019932963219E-3</v>
      </c>
      <c r="E31" s="45">
        <f>IF(15.43433="","-",15.43433/980549.57869*100)</f>
        <v>1.5740489145505566E-3</v>
      </c>
    </row>
    <row r="32" spans="1:11" x14ac:dyDescent="0.25">
      <c r="A32" s="43" t="s">
        <v>179</v>
      </c>
      <c r="B32" s="40">
        <f>IF(200702.75193="","-",200702.75193)</f>
        <v>200702.75193</v>
      </c>
      <c r="C32" s="60">
        <f>IF(268283.13866="","-",200702.75193/268283.13866*100)</f>
        <v>74.810050654862124</v>
      </c>
      <c r="D32" s="40">
        <f>IF(268283.13866="","-",268283.13866/1159001.13914*100)</f>
        <v>23.147789040058317</v>
      </c>
      <c r="E32" s="40">
        <f>IF(200702.75193="","-",200702.75193/980549.57869*100)</f>
        <v>20.468394081422783</v>
      </c>
    </row>
    <row r="33" spans="1:5" x14ac:dyDescent="0.25">
      <c r="A33" s="72" t="s">
        <v>142</v>
      </c>
      <c r="B33" s="33"/>
      <c r="C33" s="38"/>
      <c r="D33" s="33"/>
      <c r="E33" s="33"/>
    </row>
    <row r="34" spans="1:5" x14ac:dyDescent="0.25">
      <c r="A34" s="73" t="s">
        <v>116</v>
      </c>
      <c r="B34" s="45">
        <f>IF(42146.50686="","-",42146.50686)</f>
        <v>42146.506860000001</v>
      </c>
      <c r="C34" s="67">
        <v>80.856099999999998</v>
      </c>
      <c r="D34" s="45">
        <f>IF(52125.35341="","-",52125.35341/1159001.13914*100)</f>
        <v>4.49743763398524</v>
      </c>
      <c r="E34" s="45">
        <f>IF(42146.50686="","-",42146.50686/980549.57869*100)</f>
        <v>4.2982535280171268</v>
      </c>
    </row>
    <row r="35" spans="1:5" x14ac:dyDescent="0.25">
      <c r="A35" s="73" t="s">
        <v>117</v>
      </c>
      <c r="B35" s="45">
        <f>IF(34072.76982="","-",34072.76982)</f>
        <v>34072.769820000001</v>
      </c>
      <c r="C35" s="67">
        <v>94.445300000000003</v>
      </c>
      <c r="D35" s="45">
        <f>IF(36076.73247="","-",36076.73247/1159001.13914*100)</f>
        <v>3.112743486755293</v>
      </c>
      <c r="E35" s="45">
        <f>IF(34072.76982="","-",34072.76982/980549.57869*100)</f>
        <v>3.4748645617206551</v>
      </c>
    </row>
    <row r="36" spans="1:5" x14ac:dyDescent="0.25">
      <c r="A36" s="73" t="s">
        <v>118</v>
      </c>
      <c r="B36" s="45">
        <f>IF(118287.33725="","-",118287.33725)</f>
        <v>118287.33725</v>
      </c>
      <c r="C36" s="67">
        <v>70.689099999999996</v>
      </c>
      <c r="D36" s="45">
        <f>IF(167334.57919="","-",167334.57919/1159001.13914*100)</f>
        <v>14.4378269821344</v>
      </c>
      <c r="E36" s="45">
        <f>IF(118287.33725="","-",118287.33725/980549.57869*100)</f>
        <v>12.063371380775072</v>
      </c>
    </row>
    <row r="37" spans="1:5" x14ac:dyDescent="0.25">
      <c r="A37" s="73" t="s">
        <v>119</v>
      </c>
      <c r="B37" s="45">
        <f>IF(5954.90977="","-",5954.90977)</f>
        <v>5954.9097700000002</v>
      </c>
      <c r="C37" s="68">
        <v>47.470399999999998</v>
      </c>
      <c r="D37" s="45">
        <f>IF(12544.47119="","-",12544.47119/1159001.13914*100)</f>
        <v>1.0823519292921684</v>
      </c>
      <c r="E37" s="45">
        <f>IF(5954.90977="","-",5954.90977/980549.57869*100)</f>
        <v>0.6073032816918521</v>
      </c>
    </row>
    <row r="38" spans="1:5" x14ac:dyDescent="0.25">
      <c r="A38" s="42" t="s">
        <v>120</v>
      </c>
      <c r="B38" s="45">
        <f>IF(241.22823="","-",241.22823)</f>
        <v>241.22823</v>
      </c>
      <c r="C38" s="68" t="s">
        <v>220</v>
      </c>
      <c r="D38" s="45">
        <f>IF(89.31793="","-",89.31793/1159001.13914*100)</f>
        <v>7.7064574816790542E-3</v>
      </c>
      <c r="E38" s="45">
        <f>IF(241.22823="","-",241.22823/980549.57869*100)</f>
        <v>2.460132921807762E-2</v>
      </c>
    </row>
    <row r="39" spans="1:5" x14ac:dyDescent="0.25">
      <c r="A39" s="74" t="s">
        <v>122</v>
      </c>
      <c r="B39" s="47" t="s">
        <v>156</v>
      </c>
      <c r="C39" s="70" t="s">
        <v>22</v>
      </c>
      <c r="D39" s="47">
        <f>IF(112.68447="","-",112.68447/1159001.13914*100)</f>
        <v>9.7225504095374681E-3</v>
      </c>
      <c r="E39" s="47" t="s">
        <v>156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I28" sqref="I28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79" t="s">
        <v>167</v>
      </c>
      <c r="B1" s="79"/>
      <c r="C1" s="79"/>
      <c r="D1" s="79"/>
      <c r="E1" s="79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0"/>
      <c r="B3" s="83" t="s">
        <v>193</v>
      </c>
      <c r="C3" s="84"/>
      <c r="D3" s="83" t="s">
        <v>111</v>
      </c>
      <c r="E3" s="99"/>
      <c r="F3" s="1"/>
    </row>
    <row r="4" spans="1:6" ht="19.5" customHeight="1" x14ac:dyDescent="0.25">
      <c r="A4" s="81"/>
      <c r="B4" s="87" t="s">
        <v>126</v>
      </c>
      <c r="C4" s="89" t="s">
        <v>198</v>
      </c>
      <c r="D4" s="91" t="s">
        <v>195</v>
      </c>
      <c r="E4" s="83"/>
      <c r="F4" s="1"/>
    </row>
    <row r="5" spans="1:6" ht="20.25" customHeight="1" x14ac:dyDescent="0.25">
      <c r="A5" s="82"/>
      <c r="B5" s="88"/>
      <c r="C5" s="90"/>
      <c r="D5" s="30">
        <v>2019</v>
      </c>
      <c r="E5" s="29">
        <v>2020</v>
      </c>
      <c r="F5" s="1"/>
    </row>
    <row r="6" spans="1:6" ht="15.75" customHeight="1" x14ac:dyDescent="0.25">
      <c r="A6" s="71" t="s">
        <v>143</v>
      </c>
      <c r="B6" s="64">
        <f>IF(1980083.42341="","-",1980083.42341)</f>
        <v>1980083.42341</v>
      </c>
      <c r="C6" s="75">
        <f>IF(2362843.47408="","-",1980083.42341/2362843.47408*100)</f>
        <v>83.800871497887428</v>
      </c>
      <c r="D6" s="65">
        <v>100</v>
      </c>
      <c r="E6" s="65">
        <v>100</v>
      </c>
    </row>
    <row r="7" spans="1:6" ht="15.75" customHeight="1" x14ac:dyDescent="0.25">
      <c r="A7" s="72" t="s">
        <v>142</v>
      </c>
      <c r="B7" s="32"/>
      <c r="C7" s="66"/>
      <c r="D7" s="32"/>
      <c r="E7" s="32"/>
    </row>
    <row r="8" spans="1:6" x14ac:dyDescent="0.25">
      <c r="A8" s="73" t="s">
        <v>116</v>
      </c>
      <c r="B8" s="45">
        <f>IF(35533.51189="","-",35533.51189)</f>
        <v>35533.511890000002</v>
      </c>
      <c r="C8" s="67">
        <v>69.495800000000003</v>
      </c>
      <c r="D8" s="45">
        <f>IF(51130.47066="","-",51130.47066/2362843.47408*100)</f>
        <v>2.1639381203576438</v>
      </c>
      <c r="E8" s="45">
        <f>IF(35533.51189="","-",35533.51189/1980083.42341*100)</f>
        <v>1.7945462029476504</v>
      </c>
    </row>
    <row r="9" spans="1:6" x14ac:dyDescent="0.25">
      <c r="A9" s="73" t="s">
        <v>117</v>
      </c>
      <c r="B9" s="45">
        <f>IF(82064.98498="","-",82064.98498)</f>
        <v>82064.984979999994</v>
      </c>
      <c r="C9" s="67">
        <v>73.966200000000001</v>
      </c>
      <c r="D9" s="45">
        <f>IF(110949.32628="","-",110949.32628/2362843.47408*100)</f>
        <v>4.6955851073968988</v>
      </c>
      <c r="E9" s="45">
        <f>IF(82064.98498="","-",82064.98498/1980083.42341*100)</f>
        <v>4.1445215898364429</v>
      </c>
    </row>
    <row r="10" spans="1:6" x14ac:dyDescent="0.25">
      <c r="A10" s="73" t="s">
        <v>118</v>
      </c>
      <c r="B10" s="45">
        <f>IF(1697414.4167="","-",1697414.4167)</f>
        <v>1697414.4166999999</v>
      </c>
      <c r="C10" s="67">
        <v>86.514799999999994</v>
      </c>
      <c r="D10" s="45">
        <f>IF(1961993.60619="","-",1961993.60619/2362843.47408*100)</f>
        <v>83.03527625561081</v>
      </c>
      <c r="E10" s="45">
        <f>IF(1697414.4167="","-",1697414.4167/1980083.42341*100)</f>
        <v>85.724389014721325</v>
      </c>
    </row>
    <row r="11" spans="1:6" x14ac:dyDescent="0.25">
      <c r="A11" s="73" t="s">
        <v>119</v>
      </c>
      <c r="B11" s="45">
        <f>IF(47919.40689="","-",47919.40689)</f>
        <v>47919.406889999998</v>
      </c>
      <c r="C11" s="67">
        <v>79.065299999999993</v>
      </c>
      <c r="D11" s="45">
        <f>IF(60607.35508="","-",60607.35508/2362843.47408*100)</f>
        <v>2.5650177739174262</v>
      </c>
      <c r="E11" s="45">
        <f>IF(47919.40689="","-",47919.40689/1980083.42341*100)</f>
        <v>2.4200701002524228</v>
      </c>
    </row>
    <row r="12" spans="1:6" x14ac:dyDescent="0.25">
      <c r="A12" s="73" t="s">
        <v>120</v>
      </c>
      <c r="B12" s="45">
        <f>IF(3481.20604="","-",3481.20604)</f>
        <v>3481.20604</v>
      </c>
      <c r="C12" s="67">
        <v>79.037800000000004</v>
      </c>
      <c r="D12" s="45">
        <f>IF(4404.48962="","-",4404.48962/2362843.47408*100)</f>
        <v>0.1864063222264411</v>
      </c>
      <c r="E12" s="45">
        <f>IF(3481.20604="","-",3481.20604/1980083.42341*100)</f>
        <v>0.17581107941426236</v>
      </c>
    </row>
    <row r="13" spans="1:6" x14ac:dyDescent="0.25">
      <c r="A13" s="73" t="s">
        <v>121</v>
      </c>
      <c r="B13" s="45">
        <f>IF(105435.37292="","-",105435.37292)</f>
        <v>105435.37291999999</v>
      </c>
      <c r="C13" s="67">
        <v>66.6404</v>
      </c>
      <c r="D13" s="45">
        <f>IF(158215.41169="","-",158215.41169/2362843.47408*100)</f>
        <v>6.6959751428986625</v>
      </c>
      <c r="E13" s="45">
        <f>IF(105435.37292="","-",105435.37292/1980083.42341*100)</f>
        <v>5.324794484589165</v>
      </c>
    </row>
    <row r="14" spans="1:6" x14ac:dyDescent="0.25">
      <c r="A14" s="73" t="s">
        <v>122</v>
      </c>
      <c r="B14" s="45">
        <f>IF(8234.52399="","-",8234.52399)</f>
        <v>8234.5239899999997</v>
      </c>
      <c r="C14" s="67">
        <v>52.979599999999998</v>
      </c>
      <c r="D14" s="45">
        <f>IF(15542.81456="","-",15542.81456/2362843.47408*100)</f>
        <v>0.65780127759210849</v>
      </c>
      <c r="E14" s="45">
        <f>IF(8234.52399="","-",8234.52399/1980083.42341*100)</f>
        <v>0.41586752823873036</v>
      </c>
    </row>
    <row r="15" spans="1:6" x14ac:dyDescent="0.25">
      <c r="A15" s="43" t="s">
        <v>177</v>
      </c>
      <c r="B15" s="40">
        <f>IF(926669.86229="","-",926669.86229)</f>
        <v>926669.86228999996</v>
      </c>
      <c r="C15" s="76">
        <f>IF(1141270.32451="","-",926669.86229/1141270.32451*100)</f>
        <v>81.196351327882127</v>
      </c>
      <c r="D15" s="40">
        <f>IF(1141270.32451="","-",1141270.32451/2362843.47408*100)</f>
        <v>48.300716362702211</v>
      </c>
      <c r="E15" s="40">
        <f>IF(926669.86229="","-",926669.86229/1980083.42341*100)</f>
        <v>46.799536389943398</v>
      </c>
    </row>
    <row r="16" spans="1:6" x14ac:dyDescent="0.25">
      <c r="A16" s="72" t="s">
        <v>142</v>
      </c>
      <c r="B16" s="32"/>
      <c r="C16" s="77"/>
      <c r="D16" s="32"/>
      <c r="E16" s="32"/>
    </row>
    <row r="17" spans="1:7" x14ac:dyDescent="0.25">
      <c r="A17" s="73" t="s">
        <v>116</v>
      </c>
      <c r="B17" s="45">
        <f>IF(11224.11223="","-",11224.11223)</f>
        <v>11224.112230000001</v>
      </c>
      <c r="C17" s="67">
        <v>31.098600000000001</v>
      </c>
      <c r="D17" s="45">
        <f>IF(36091.98965="","-",36091.98965/2362843.47408*100)</f>
        <v>1.5274811914510262</v>
      </c>
      <c r="E17" s="45">
        <f>IF(11224.11223="","-",11224.11223/1980083.42341*100)</f>
        <v>0.56685047191953153</v>
      </c>
    </row>
    <row r="18" spans="1:7" x14ac:dyDescent="0.25">
      <c r="A18" s="73" t="s">
        <v>117</v>
      </c>
      <c r="B18" s="45">
        <f>IF(11169.12765="","-",11169.12765)</f>
        <v>11169.12765</v>
      </c>
      <c r="C18" s="67">
        <v>79.873699999999999</v>
      </c>
      <c r="D18" s="45">
        <f>IF(13983.48501="","-",13983.48501/2362843.47408*100)</f>
        <v>0.59180750495733236</v>
      </c>
      <c r="E18" s="45">
        <f>IF(11169.12765="","-",11169.12765/1980083.42341*100)</f>
        <v>0.56407358992809964</v>
      </c>
    </row>
    <row r="19" spans="1:7" x14ac:dyDescent="0.25">
      <c r="A19" s="73" t="s">
        <v>118</v>
      </c>
      <c r="B19" s="45">
        <f>IF(883270.24606="","-",883270.24606)</f>
        <v>883270.24606000003</v>
      </c>
      <c r="C19" s="67">
        <v>83.361000000000004</v>
      </c>
      <c r="D19" s="45">
        <f>IF(1059572.56576="","-",1059572.56576/2362843.47408*100)</f>
        <v>44.84311285886411</v>
      </c>
      <c r="E19" s="45">
        <f>IF(883270.24606="","-",883270.24606/1980083.42341*100)</f>
        <v>44.607728927848726</v>
      </c>
    </row>
    <row r="20" spans="1:7" x14ac:dyDescent="0.25">
      <c r="A20" s="73" t="s">
        <v>119</v>
      </c>
      <c r="B20" s="45">
        <f>IF(12346.00437="","-",12346.00437)</f>
        <v>12346.004370000001</v>
      </c>
      <c r="C20" s="67">
        <v>71.038899999999998</v>
      </c>
      <c r="D20" s="45">
        <f>IF(17379.21017="","-",17379.21017/2362843.47408*100)</f>
        <v>0.73552100935364706</v>
      </c>
      <c r="E20" s="45">
        <f>IF(12346.00437="","-",12346.00437/1980083.42341*100)</f>
        <v>0.62350930390287962</v>
      </c>
    </row>
    <row r="21" spans="1:7" x14ac:dyDescent="0.25">
      <c r="A21" s="73" t="s">
        <v>120</v>
      </c>
      <c r="B21" s="45">
        <f>IF(1436.18239="","-",1436.18239)</f>
        <v>1436.1823899999999</v>
      </c>
      <c r="C21" s="67">
        <v>74.432000000000002</v>
      </c>
      <c r="D21" s="45">
        <f>IF(1929.51645="","-",1929.51645/2362843.47408*100)</f>
        <v>8.1660781645778682E-2</v>
      </c>
      <c r="E21" s="45">
        <f>IF(1436.18239="","-",1436.18239/1980083.42341*100)</f>
        <v>7.2531408173029346E-2</v>
      </c>
    </row>
    <row r="22" spans="1:7" x14ac:dyDescent="0.25">
      <c r="A22" s="73" t="s">
        <v>122</v>
      </c>
      <c r="B22" s="45">
        <f>IF(7224.18959="","-",7224.18959)</f>
        <v>7224.18959</v>
      </c>
      <c r="C22" s="67">
        <v>58.668599999999998</v>
      </c>
      <c r="D22" s="45">
        <f>IF(12313.55747="","-",12313.55747/2362843.47408*100)</f>
        <v>0.52113301643031706</v>
      </c>
      <c r="E22" s="45">
        <f>IF(7224.18959="","-",7224.18959/1980083.42341*100)</f>
        <v>0.36484268817113091</v>
      </c>
    </row>
    <row r="23" spans="1:7" x14ac:dyDescent="0.25">
      <c r="A23" s="43" t="s">
        <v>178</v>
      </c>
      <c r="B23" s="40">
        <f>IF(489667.8304="","-",489667.8304)</f>
        <v>489667.83039999998</v>
      </c>
      <c r="C23" s="76">
        <f>IF(599803.89432="","-",489667.8304/599803.89432*100)</f>
        <v>81.637987855203633</v>
      </c>
      <c r="D23" s="40">
        <f>IF(599803.89432="","-",599803.89432/2362843.47408*100)</f>
        <v>25.384834031528069</v>
      </c>
      <c r="E23" s="40">
        <f>IF(489667.8304="","-",489667.8304/1980083.42341*100)</f>
        <v>24.729656569555978</v>
      </c>
    </row>
    <row r="24" spans="1:7" x14ac:dyDescent="0.25">
      <c r="A24" s="73" t="s">
        <v>142</v>
      </c>
      <c r="B24" s="32"/>
      <c r="C24" s="77"/>
      <c r="D24" s="32"/>
      <c r="E24" s="32"/>
    </row>
    <row r="25" spans="1:7" x14ac:dyDescent="0.25">
      <c r="A25" s="73" t="s">
        <v>116</v>
      </c>
      <c r="B25" s="45">
        <f>IF(17300.06726="","-",17300.06726)</f>
        <v>17300.06726</v>
      </c>
      <c r="C25" s="67">
        <v>146.96360000000001</v>
      </c>
      <c r="D25" s="45">
        <f>IF(11771.66954="","-",11771.66954/2362843.47408*100)</f>
        <v>0.49819929543083402</v>
      </c>
      <c r="E25" s="45">
        <f>IF(17300.06726="","-",17300.06726/1980083.42341*100)</f>
        <v>0.87370395890728147</v>
      </c>
    </row>
    <row r="26" spans="1:7" x14ac:dyDescent="0.25">
      <c r="A26" s="73" t="s">
        <v>117</v>
      </c>
      <c r="B26" s="45">
        <f>IF(70786.9841="","-",70786.9841)</f>
        <v>70786.984100000001</v>
      </c>
      <c r="C26" s="67">
        <v>73.223699999999994</v>
      </c>
      <c r="D26" s="45">
        <f>IF(96672.2141="","-",96672.2141/2362843.47408*100)</f>
        <v>4.0913507458483007</v>
      </c>
      <c r="E26" s="45">
        <f>IF(70786.9841="","-",70786.9841/1980083.42341*100)</f>
        <v>3.5749495835935146</v>
      </c>
      <c r="F26" s="1"/>
      <c r="G26" s="1"/>
    </row>
    <row r="27" spans="1:7" x14ac:dyDescent="0.25">
      <c r="A27" s="73" t="s">
        <v>118</v>
      </c>
      <c r="B27" s="45">
        <f>IF(290885.2087="","-",290885.2087)</f>
        <v>290885.20870000002</v>
      </c>
      <c r="C27" s="67">
        <v>89.545599999999993</v>
      </c>
      <c r="D27" s="45">
        <f>IF(324845.87685="","-",324845.87685/2362843.47408*100)</f>
        <v>13.748091247410388</v>
      </c>
      <c r="E27" s="45">
        <f>IF(290885.2087="","-",290885.2087/1980083.42341*100)</f>
        <v>14.690553198968361</v>
      </c>
      <c r="F27" s="1"/>
      <c r="G27" s="1"/>
    </row>
    <row r="28" spans="1:7" x14ac:dyDescent="0.25">
      <c r="A28" s="73" t="s">
        <v>119</v>
      </c>
      <c r="B28" s="45">
        <f>IF(4911.79643="","-",4911.79643)</f>
        <v>4911.7964300000003</v>
      </c>
      <c r="C28" s="67">
        <v>78.851200000000006</v>
      </c>
      <c r="D28" s="45">
        <f>IF(6229.19773="","-",6229.19773/2362843.47408*100)</f>
        <v>0.26363141690650532</v>
      </c>
      <c r="E28" s="45">
        <f>IF(4911.79643="","-",4911.79643/1980083.42341*100)</f>
        <v>0.24806007524375676</v>
      </c>
      <c r="F28" s="12"/>
      <c r="G28" s="12"/>
    </row>
    <row r="29" spans="1:7" x14ac:dyDescent="0.25">
      <c r="A29" s="73" t="s">
        <v>120</v>
      </c>
      <c r="B29" s="45">
        <f>IF(216.5078="","-",216.5078)</f>
        <v>216.5078</v>
      </c>
      <c r="C29" s="67">
        <v>105.2501</v>
      </c>
      <c r="D29" s="45">
        <f>IF(205.71367="","-",205.71367/2362843.47408*100)</f>
        <v>8.7061911741782624E-3</v>
      </c>
      <c r="E29" s="45">
        <f>IF(216.5078="","-",216.5078/1980083.42341*100)</f>
        <v>1.0934276679471472E-2</v>
      </c>
    </row>
    <row r="30" spans="1:7" x14ac:dyDescent="0.25">
      <c r="A30" s="73" t="s">
        <v>121</v>
      </c>
      <c r="B30" s="45">
        <f>IF(105435.37292="","-",105435.37292)</f>
        <v>105435.37291999999</v>
      </c>
      <c r="C30" s="67">
        <v>66.6404</v>
      </c>
      <c r="D30" s="45">
        <f>IF(158215.41169="","-",158215.41169/2362843.47408*100)</f>
        <v>6.6959751428986625</v>
      </c>
      <c r="E30" s="45">
        <f>IF(105435.37292="","-",105435.37292/1980083.42341*100)</f>
        <v>5.324794484589165</v>
      </c>
    </row>
    <row r="31" spans="1:7" x14ac:dyDescent="0.25">
      <c r="A31" s="73" t="s">
        <v>122</v>
      </c>
      <c r="B31" s="45">
        <f>IF(131.89319="","-",131.89319)</f>
        <v>131.89319</v>
      </c>
      <c r="C31" s="67">
        <v>7.0763999999999996</v>
      </c>
      <c r="D31" s="45">
        <f>IF(1863.81074="","-",1863.81074/2362843.47408*100)</f>
        <v>7.8879991859202428E-2</v>
      </c>
      <c r="E31" s="45">
        <f>IF(131.89319="","-",131.89319/1980083.42341*100)</f>
        <v>6.6609915744287266E-3</v>
      </c>
    </row>
    <row r="32" spans="1:7" x14ac:dyDescent="0.25">
      <c r="A32" s="43" t="s">
        <v>180</v>
      </c>
      <c r="B32" s="40">
        <f>IF(563745.73072="","-",563745.73072)</f>
        <v>563745.73071999999</v>
      </c>
      <c r="C32" s="76">
        <f>IF(621769.25525="","-",563745.73072/621769.25525*100)</f>
        <v>90.667997164531712</v>
      </c>
      <c r="D32" s="40">
        <f>IF(621769.25525="","-",621769.25525/2362843.47408*100)</f>
        <v>26.314449605769717</v>
      </c>
      <c r="E32" s="40">
        <f>IF(563745.73072="","-",563745.73072/1980083.42341*100)</f>
        <v>28.470807040500617</v>
      </c>
    </row>
    <row r="33" spans="1:5" x14ac:dyDescent="0.25">
      <c r="A33" s="73" t="s">
        <v>142</v>
      </c>
      <c r="B33" s="32"/>
      <c r="C33" s="77"/>
      <c r="D33" s="34"/>
      <c r="E33" s="32"/>
    </row>
    <row r="34" spans="1:5" x14ac:dyDescent="0.25">
      <c r="A34" s="73" t="s">
        <v>116</v>
      </c>
      <c r="B34" s="45">
        <f>IF(7009.3324="","-",7009.3324)</f>
        <v>7009.3324000000002</v>
      </c>
      <c r="C34" s="67" t="s">
        <v>96</v>
      </c>
      <c r="D34" s="45">
        <f>IF(3266.81147="","-",3266.81147/2362843.47408*100)</f>
        <v>0.13825763347578365</v>
      </c>
      <c r="E34" s="45">
        <f>IF(7009.3324="","-",7009.3324/1980083.42341*100)</f>
        <v>0.35399177212083727</v>
      </c>
    </row>
    <row r="35" spans="1:5" x14ac:dyDescent="0.25">
      <c r="A35" s="73" t="s">
        <v>117</v>
      </c>
      <c r="B35" s="45">
        <f>IF(108.87323="","-",108.87323)</f>
        <v>108.87323000000001</v>
      </c>
      <c r="C35" s="67">
        <v>37.077300000000001</v>
      </c>
      <c r="D35" s="45">
        <f>IF(293.62717="","-",293.62717/2362843.47408*100)</f>
        <v>1.2426856591265616E-2</v>
      </c>
      <c r="E35" s="45">
        <f>IF(108.87323="","-",108.87323/1980083.42341*100)</f>
        <v>5.4984163148289987E-3</v>
      </c>
    </row>
    <row r="36" spans="1:5" x14ac:dyDescent="0.25">
      <c r="A36" s="73" t="s">
        <v>118</v>
      </c>
      <c r="B36" s="45">
        <f>IF(523258.96194="","-",523258.96194)</f>
        <v>523258.96194000001</v>
      </c>
      <c r="C36" s="67">
        <v>90.595799999999997</v>
      </c>
      <c r="D36" s="45">
        <f>IF(577575.16358="","-",577575.16358/2362843.47408*100)</f>
        <v>24.444072149336321</v>
      </c>
      <c r="E36" s="45">
        <f>IF(523258.96194="","-",523258.96194/1980083.42341*100)</f>
        <v>26.426106887904233</v>
      </c>
    </row>
    <row r="37" spans="1:5" x14ac:dyDescent="0.25">
      <c r="A37" s="73" t="s">
        <v>119</v>
      </c>
      <c r="B37" s="45">
        <f>IF(30661.60609="","-",30661.60609)</f>
        <v>30661.606090000001</v>
      </c>
      <c r="C37" s="67">
        <v>82.871600000000001</v>
      </c>
      <c r="D37" s="45">
        <f>IF(36998.94718="","-",36998.94718/2362843.47408*100)</f>
        <v>1.5658653476572741</v>
      </c>
      <c r="E37" s="45">
        <f>IF(30661.60609="","-",30661.60609/1980083.42341*100)</f>
        <v>1.5485007211057868</v>
      </c>
    </row>
    <row r="38" spans="1:5" x14ac:dyDescent="0.25">
      <c r="A38" s="73" t="s">
        <v>120</v>
      </c>
      <c r="B38" s="45">
        <f>IF(1828.51585="","-",1828.51585)</f>
        <v>1828.51585</v>
      </c>
      <c r="C38" s="67">
        <v>80.577799999999996</v>
      </c>
      <c r="D38" s="45">
        <f>IF(2269.2595="","-",2269.2595/2362843.47408*100)</f>
        <v>9.6039349406484162E-2</v>
      </c>
      <c r="E38" s="45">
        <f>IF(1828.51585="","-",1828.51585/1980083.42341*100)</f>
        <v>9.2345394561761537E-2</v>
      </c>
    </row>
    <row r="39" spans="1:5" x14ac:dyDescent="0.25">
      <c r="A39" s="74" t="s">
        <v>122</v>
      </c>
      <c r="B39" s="47">
        <f>IF(878.44121="","-",878.44121)</f>
        <v>878.44120999999996</v>
      </c>
      <c r="C39" s="70">
        <v>64.333399999999997</v>
      </c>
      <c r="D39" s="47">
        <f>IF(1365.44635="","-",1365.44635/2362843.47408*100)</f>
        <v>5.7788269302588985E-2</v>
      </c>
      <c r="E39" s="47">
        <f>IF(878.44121="","-",878.44121/1980083.42341*100)</f>
        <v>4.4363848493170696E-2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8"/>
  <sheetViews>
    <sheetView zoomScaleNormal="100" workbookViewId="0">
      <selection sqref="A1:G1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2" t="s">
        <v>168</v>
      </c>
      <c r="B1" s="92"/>
      <c r="C1" s="92"/>
      <c r="D1" s="92"/>
      <c r="E1" s="92"/>
      <c r="F1" s="92"/>
      <c r="G1" s="92"/>
    </row>
    <row r="2" spans="1:9" x14ac:dyDescent="0.25">
      <c r="A2" s="92" t="s">
        <v>23</v>
      </c>
      <c r="B2" s="92"/>
      <c r="C2" s="92"/>
      <c r="D2" s="92"/>
      <c r="E2" s="92"/>
      <c r="F2" s="92"/>
      <c r="G2" s="92"/>
    </row>
    <row r="3" spans="1:9" x14ac:dyDescent="0.25">
      <c r="A3" s="6"/>
    </row>
    <row r="4" spans="1:9" ht="57" customHeight="1" x14ac:dyDescent="0.25">
      <c r="A4" s="100"/>
      <c r="B4" s="103" t="s">
        <v>193</v>
      </c>
      <c r="C4" s="98"/>
      <c r="D4" s="103" t="s">
        <v>0</v>
      </c>
      <c r="E4" s="98"/>
      <c r="F4" s="95" t="s">
        <v>109</v>
      </c>
      <c r="G4" s="104"/>
    </row>
    <row r="5" spans="1:9" ht="26.25" customHeight="1" x14ac:dyDescent="0.25">
      <c r="A5" s="101"/>
      <c r="B5" s="105" t="s">
        <v>114</v>
      </c>
      <c r="C5" s="93" t="s">
        <v>194</v>
      </c>
      <c r="D5" s="107" t="s">
        <v>195</v>
      </c>
      <c r="E5" s="107"/>
      <c r="F5" s="107" t="s">
        <v>195</v>
      </c>
      <c r="G5" s="103"/>
    </row>
    <row r="6" spans="1:9" ht="26.25" customHeight="1" x14ac:dyDescent="0.25">
      <c r="A6" s="102"/>
      <c r="B6" s="106"/>
      <c r="C6" s="94"/>
      <c r="D6" s="24">
        <v>2019</v>
      </c>
      <c r="E6" s="24">
        <v>2020</v>
      </c>
      <c r="F6" s="24" t="s">
        <v>125</v>
      </c>
      <c r="G6" s="20" t="s">
        <v>145</v>
      </c>
    </row>
    <row r="7" spans="1:9" ht="16.5" customHeight="1" x14ac:dyDescent="0.25">
      <c r="A7" s="41" t="s">
        <v>102</v>
      </c>
      <c r="B7" s="39">
        <f>IF(980549.57869="","-",980549.57869)</f>
        <v>980549.57868999999</v>
      </c>
      <c r="C7" s="39">
        <f>IF(1159001.13914="","-",980549.57869/1159001.13914*100)</f>
        <v>84.602986621530462</v>
      </c>
      <c r="D7" s="39">
        <v>100</v>
      </c>
      <c r="E7" s="39">
        <v>100</v>
      </c>
      <c r="F7" s="39">
        <f>IF(1100674.36139="","-",(1159001.13914-1100674.36139)/1100674.36139*100)</f>
        <v>5.2991856443663723</v>
      </c>
      <c r="G7" s="39">
        <f>IF(1159001.13914="","-",(980549.57869-1159001.13914)/1159001.13914*100)</f>
        <v>-15.397013378469534</v>
      </c>
    </row>
    <row r="8" spans="1:9" ht="13.5" customHeight="1" x14ac:dyDescent="0.25">
      <c r="A8" s="42" t="s">
        <v>142</v>
      </c>
      <c r="B8" s="51"/>
      <c r="C8" s="51"/>
      <c r="D8" s="51"/>
      <c r="E8" s="51"/>
      <c r="F8" s="51"/>
      <c r="G8" s="51"/>
    </row>
    <row r="9" spans="1:9" ht="13.5" customHeight="1" x14ac:dyDescent="0.25">
      <c r="A9" s="52" t="s">
        <v>242</v>
      </c>
      <c r="B9" s="40">
        <f>IF(285545.0294="","-",285545.0294)</f>
        <v>285545.0294</v>
      </c>
      <c r="C9" s="40">
        <f>IF(251539.15568="","-",285545.0294/251539.15568*100)</f>
        <v>113.51911738276692</v>
      </c>
      <c r="D9" s="40">
        <f>IF(251539.15568="","-",251539.15568/1159001.13914*100)</f>
        <v>21.703098227034239</v>
      </c>
      <c r="E9" s="40">
        <f>IF(285545.0294="","-",285545.0294/980549.57869*100)</f>
        <v>29.120917045467909</v>
      </c>
      <c r="F9" s="40">
        <f>IF(1100674.36139="","-",(251539.15568-239508.16038)/1100674.36139*100)</f>
        <v>1.0930567406700125</v>
      </c>
      <c r="G9" s="40">
        <f>IF(1159001.13914="","-",(285545.0294-251539.15568)/1159001.13914*100)</f>
        <v>2.9340673250099631</v>
      </c>
      <c r="I9" s="17"/>
    </row>
    <row r="10" spans="1:9" s="9" customFormat="1" ht="13.5" customHeight="1" x14ac:dyDescent="0.25">
      <c r="A10" s="44" t="s">
        <v>24</v>
      </c>
      <c r="B10" s="45">
        <f>IF(5481.70788="","-",5481.70788)</f>
        <v>5481.7078799999999</v>
      </c>
      <c r="C10" s="45">
        <f>IF(OR(4026.12612="",5481.70788=""),"-",5481.70788/4026.12612*100)</f>
        <v>136.15340693798237</v>
      </c>
      <c r="D10" s="45">
        <f>IF(4026.12612="","-",4026.12612/1159001.13914*100)</f>
        <v>0.34737896142081953</v>
      </c>
      <c r="E10" s="45">
        <f>IF(5481.70788="","-",5481.70788/980549.57869*100)</f>
        <v>0.55904443784713898</v>
      </c>
      <c r="F10" s="45">
        <f>IF(OR(1100674.36139="",5882.10325="",4026.12612=""),"-",(4026.12612-5882.10325)/1100674.36139*100)</f>
        <v>-0.16862181905065518</v>
      </c>
      <c r="G10" s="45">
        <f>IF(OR(1159001.13914="",5481.70788="",4026.12612=""),"-",(5481.70788-4026.12612)/1159001.13914*100)</f>
        <v>0.12558932953940563</v>
      </c>
      <c r="I10" s="17"/>
    </row>
    <row r="11" spans="1:9" s="9" customFormat="1" ht="14.25" customHeight="1" x14ac:dyDescent="0.25">
      <c r="A11" s="44" t="s">
        <v>243</v>
      </c>
      <c r="B11" s="45">
        <f>IF(1297.4416="","-",1297.4416)</f>
        <v>1297.4416000000001</v>
      </c>
      <c r="C11" s="45">
        <f>IF(OR(2282.29333="",1297.4416=""),"-",1297.4416/2282.29333*100)</f>
        <v>56.84815281828827</v>
      </c>
      <c r="D11" s="45">
        <f>IF(2282.29333="","-",2282.29333/1159001.13914*100)</f>
        <v>0.19691898937161553</v>
      </c>
      <c r="E11" s="45">
        <f>IF(1297.4416="","-",1297.4416/980549.57869*100)</f>
        <v>0.13231779689644693</v>
      </c>
      <c r="F11" s="45">
        <f>IF(OR(1100674.36139="",2258.89698="",2282.29333=""),"-",(2282.29333-2258.89698)/1100674.36139*100)</f>
        <v>2.1256377745052244E-3</v>
      </c>
      <c r="G11" s="45">
        <f>IF(OR(1159001.13914="",1297.4416="",2282.29333=""),"-",(1297.4416-2282.29333)/1159001.13914*100)</f>
        <v>-8.4974181365410711E-2</v>
      </c>
      <c r="I11" s="17"/>
    </row>
    <row r="12" spans="1:9" s="9" customFormat="1" x14ac:dyDescent="0.25">
      <c r="A12" s="44" t="s">
        <v>244</v>
      </c>
      <c r="B12" s="45">
        <f>IF(3984.90764="","-",3984.90764)</f>
        <v>3984.9076399999999</v>
      </c>
      <c r="C12" s="45">
        <f>IF(OR(7027.49399="",3984.90764=""),"-",3984.90764/7027.49399*100)</f>
        <v>56.704532877160098</v>
      </c>
      <c r="D12" s="45">
        <f>IF(7027.49399="","-",7027.49399/1159001.13914*100)</f>
        <v>0.60634055935566444</v>
      </c>
      <c r="E12" s="45">
        <f>IF(3984.90764="","-",3984.90764/980549.57869*100)</f>
        <v>0.40639532427557395</v>
      </c>
      <c r="F12" s="45">
        <f>IF(OR(1100674.36139="",8805.54175="",7027.49399=""),"-",(7027.49399-8805.54175)/1100674.36139*100)</f>
        <v>-0.16154167139448686</v>
      </c>
      <c r="G12" s="45">
        <f>IF(OR(1159001.13914="",3984.90764="",7027.49399=""),"-",(3984.90764-7027.49399)/1159001.13914*100)</f>
        <v>-0.26251797752827533</v>
      </c>
      <c r="I12" s="17"/>
    </row>
    <row r="13" spans="1:9" s="9" customFormat="1" x14ac:dyDescent="0.25">
      <c r="A13" s="44" t="s">
        <v>245</v>
      </c>
      <c r="B13" s="45">
        <f>IF(2.95359="","-",2.95359)</f>
        <v>2.9535900000000002</v>
      </c>
      <c r="C13" s="45">
        <f>IF(OR(13.59376="",2.95359=""),"-",2.95359/13.59376*100)</f>
        <v>21.727542637210014</v>
      </c>
      <c r="D13" s="45">
        <f>IF(13.59376="","-",13.59376/1159001.13914*100)</f>
        <v>1.1728858187392997E-3</v>
      </c>
      <c r="E13" s="45">
        <f>IF(2.95359="","-",2.95359/980549.57869*100)</f>
        <v>3.0121781337624494E-4</v>
      </c>
      <c r="F13" s="45">
        <f>IF(OR(1100674.36139="",8.5687="",13.59376=""),"-",(13.59376-8.5687)/1100674.36139*100)</f>
        <v>4.5654374956586083E-4</v>
      </c>
      <c r="G13" s="45">
        <f>IF(OR(1159001.13914="",2.95359="",13.59376=""),"-",(2.95359-13.59376)/1159001.13914*100)</f>
        <v>-9.1804655238692857E-4</v>
      </c>
      <c r="I13" s="17"/>
    </row>
    <row r="14" spans="1:9" s="9" customFormat="1" ht="15" customHeight="1" x14ac:dyDescent="0.25">
      <c r="A14" s="44" t="s">
        <v>246</v>
      </c>
      <c r="B14" s="45">
        <f>IF(102065.1954="","-",102065.1954)</f>
        <v>102065.1954</v>
      </c>
      <c r="C14" s="45">
        <f>IF(OR(99954.94924="",102065.1954=""),"-",102065.1954/99954.94924*100)</f>
        <v>102.11119727041542</v>
      </c>
      <c r="D14" s="45">
        <f>IF(99954.94924="","-",99954.94924/1159001.13914*100)</f>
        <v>8.6242321827369732</v>
      </c>
      <c r="E14" s="45">
        <f>IF(102065.1954="","-",102065.1954/980549.57869*100)</f>
        <v>10.408978558366993</v>
      </c>
      <c r="F14" s="45">
        <f>IF(OR(1100674.36139="",83774.63915="",99954.94924=""),"-",(99954.94924-83774.63915)/1100674.36139*100)</f>
        <v>1.4700360667587913</v>
      </c>
      <c r="G14" s="45">
        <f>IF(OR(1159001.13914="",102065.1954="",99954.94924=""),"-",(102065.1954-99954.94924)/1159001.13914*100)</f>
        <v>0.18207455443623083</v>
      </c>
      <c r="I14" s="17"/>
    </row>
    <row r="15" spans="1:9" s="9" customFormat="1" ht="15.75" customHeight="1" x14ac:dyDescent="0.25">
      <c r="A15" s="44" t="s">
        <v>247</v>
      </c>
      <c r="B15" s="45">
        <f>IF(145009.45985="","-",145009.45985)</f>
        <v>145009.45985000001</v>
      </c>
      <c r="C15" s="45">
        <f>IF(OR(117723.33774="",145009.45985=""),"-",145009.45985/117723.33774*100)</f>
        <v>123.17817574138381</v>
      </c>
      <c r="D15" s="45">
        <f>IF(117723.33774="","-",117723.33774/1159001.13914*100)</f>
        <v>10.157309925282116</v>
      </c>
      <c r="E15" s="45">
        <f>IF(145009.45985="","-",145009.45985/980549.57869*100)</f>
        <v>14.788590296854807</v>
      </c>
      <c r="F15" s="45">
        <f>IF(OR(1100674.36139="",113132.83268="",117723.33774=""),"-",(117723.33774-113132.83268)/1100674.36139*100)</f>
        <v>0.41706295894844148</v>
      </c>
      <c r="G15" s="45">
        <f>IF(OR(1159001.13914="",145009.45985="",117723.33774=""),"-",(145009.45985-117723.33774)/1159001.13914*100)</f>
        <v>2.3542791450789089</v>
      </c>
      <c r="I15" s="17"/>
    </row>
    <row r="16" spans="1:9" s="9" customFormat="1" ht="15" customHeight="1" x14ac:dyDescent="0.25">
      <c r="A16" s="44" t="s">
        <v>248</v>
      </c>
      <c r="B16" s="45">
        <f>IF(9100.55302="","-",9100.55302)</f>
        <v>9100.5530199999994</v>
      </c>
      <c r="C16" s="45" t="s">
        <v>108</v>
      </c>
      <c r="D16" s="45">
        <f>IF(4820.59831="","-",4820.59831/1159001.13914*100)</f>
        <v>0.41592696911212457</v>
      </c>
      <c r="E16" s="45">
        <f>IF(9100.55302="","-",9100.55302/980549.57869*100)</f>
        <v>0.92810738159290285</v>
      </c>
      <c r="F16" s="45">
        <f>IF(OR(1100674.36139="",9388.68904="",4820.59831=""),"-",(4820.59831-9388.68904)/1100674.36139*100)</f>
        <v>-0.41502654102264452</v>
      </c>
      <c r="G16" s="45">
        <f>IF(OR(1159001.13914="",9100.55302="",4820.59831=""),"-",(9100.55302-4820.59831)/1159001.13914*100)</f>
        <v>0.36927959477035571</v>
      </c>
      <c r="I16" s="17"/>
    </row>
    <row r="17" spans="1:9" s="9" customFormat="1" ht="25.5" x14ac:dyDescent="0.25">
      <c r="A17" s="44" t="s">
        <v>249</v>
      </c>
      <c r="B17" s="45">
        <f>IF(3370.3496="","-",3370.3496)</f>
        <v>3370.3496</v>
      </c>
      <c r="C17" s="45">
        <f>IF(OR(4128.01604="",3370.3496=""),"-",3370.3496/4128.01604*100)</f>
        <v>81.645748643941801</v>
      </c>
      <c r="D17" s="45">
        <f>IF(4128.01604="","-",4128.01604/1159001.13914*100)</f>
        <v>0.35617014518752443</v>
      </c>
      <c r="E17" s="45">
        <f>IF(3370.3496="","-",3370.3496/980549.57869*100)</f>
        <v>0.34372046791379363</v>
      </c>
      <c r="F17" s="45">
        <f>IF(OR(1100674.36139="",4561.49899="",4128.01604=""),"-",(4128.01604-4561.49899)/1100674.36139*100)</f>
        <v>-3.9383396688968966E-2</v>
      </c>
      <c r="G17" s="45">
        <f>IF(OR(1159001.13914="",3370.3496="",4128.01604=""),"-",(3370.3496-4128.01604)/1159001.13914*100)</f>
        <v>-6.5372363702955696E-2</v>
      </c>
      <c r="I17" s="17"/>
    </row>
    <row r="18" spans="1:9" s="9" customFormat="1" ht="25.5" x14ac:dyDescent="0.25">
      <c r="A18" s="44" t="s">
        <v>250</v>
      </c>
      <c r="B18" s="45">
        <f>IF(14025.08415="","-",14025.08415)</f>
        <v>14025.084150000001</v>
      </c>
      <c r="C18" s="45">
        <f>IF(OR(10394.37274="",14025.08415=""),"-",14025.08415/10394.37274*100)</f>
        <v>134.92958642928173</v>
      </c>
      <c r="D18" s="45">
        <f>IF(10394.37274="","-",10394.37274/1159001.13914*100)</f>
        <v>0.89683887176442412</v>
      </c>
      <c r="E18" s="45">
        <f>IF(14025.08415="","-",14025.08415/980549.57869*100)</f>
        <v>1.4303289150087963</v>
      </c>
      <c r="F18" s="45">
        <f>IF(OR(1100674.36139="",10721.0219="",10394.37274=""),"-",(10394.37274-10721.0219)/1100674.36139*100)</f>
        <v>-2.9677184411517153E-2</v>
      </c>
      <c r="G18" s="45">
        <f>IF(OR(1159001.13914="",14025.08415="",10394.37274=""),"-",(14025.08415-10394.37274)/1159001.13914*100)</f>
        <v>0.31326210884434968</v>
      </c>
      <c r="I18" s="17"/>
    </row>
    <row r="19" spans="1:9" s="9" customFormat="1" x14ac:dyDescent="0.25">
      <c r="A19" s="44" t="s">
        <v>251</v>
      </c>
      <c r="B19" s="45">
        <f>IF(1207.37667="","-",1207.37667)</f>
        <v>1207.3766700000001</v>
      </c>
      <c r="C19" s="45">
        <f>IF(OR(1168.37441="",1207.37667=""),"-",1207.37667/1168.37441*100)</f>
        <v>103.33816451868371</v>
      </c>
      <c r="D19" s="45">
        <f>IF(1168.37441="","-",1168.37441/1159001.13914*100)</f>
        <v>0.10080873698424102</v>
      </c>
      <c r="E19" s="45">
        <f>IF(1207.37667="","-",1207.37667/980549.57869*100)</f>
        <v>0.12313264889808405</v>
      </c>
      <c r="F19" s="45">
        <f>IF(OR(1100674.36139="",974.36794="",1168.37441=""),"-",(1168.37441-974.36794)/1100674.36139*100)</f>
        <v>1.7626146006980349E-2</v>
      </c>
      <c r="G19" s="45">
        <f>IF(OR(1159001.13914="",1207.37667="",1168.37441=""),"-",(1207.37667-1168.37441)/1159001.13914*100)</f>
        <v>3.365161489741122E-3</v>
      </c>
    </row>
    <row r="20" spans="1:9" s="9" customFormat="1" x14ac:dyDescent="0.25">
      <c r="A20" s="52" t="s">
        <v>252</v>
      </c>
      <c r="B20" s="40">
        <f>IF(70855.26313="","-",70855.26313)</f>
        <v>70855.263130000007</v>
      </c>
      <c r="C20" s="40">
        <f>IF(84488.90186="","-",70855.26313/84488.90186*100)</f>
        <v>83.863396931597904</v>
      </c>
      <c r="D20" s="40">
        <f>IF(84488.90186="","-",84488.90186/1159001.13914*100)</f>
        <v>7.2898031767848215</v>
      </c>
      <c r="E20" s="40">
        <f>IF(70855.26313="","-",70855.26313/980549.57869*100)</f>
        <v>7.226076546242731</v>
      </c>
      <c r="F20" s="40">
        <f>IF(1100674.36139="","-",(84488.90186-89069.56505)/1100674.36139*100)</f>
        <v>-0.41616879166834236</v>
      </c>
      <c r="G20" s="40">
        <f>IF(1159001.13914="","-",(70855.26313-84488.90186)/1159001.13914*100)</f>
        <v>-1.1763266031055326</v>
      </c>
    </row>
    <row r="21" spans="1:9" s="9" customFormat="1" x14ac:dyDescent="0.25">
      <c r="A21" s="44" t="s">
        <v>253</v>
      </c>
      <c r="B21" s="45">
        <f>IF(66253.15743="","-",66253.15743)</f>
        <v>66253.157430000007</v>
      </c>
      <c r="C21" s="45">
        <f>IF(OR(74225.67809="",66253.15743=""),"-",66253.15743/74225.67809*100)</f>
        <v>89.259080058072129</v>
      </c>
      <c r="D21" s="45">
        <f>IF(74225.67809="","-",74225.67809/1159001.13914*100)</f>
        <v>6.4042799945025761</v>
      </c>
      <c r="E21" s="45">
        <f>IF(66253.15743="","-",66253.15743/980549.57869*100)</f>
        <v>6.7567371267971232</v>
      </c>
      <c r="F21" s="45">
        <f>IF(OR(1100674.36139="",80118.35783="",74225.67809=""),"-",(74225.67809-80118.35783)/1100674.36139*100)</f>
        <v>-0.53536994652608694</v>
      </c>
      <c r="G21" s="45">
        <f>IF(OR(1159001.13914="",66253.15743="",74225.67809=""),"-",(66253.15743-74225.67809)/1159001.13914*100)</f>
        <v>-0.68787858706642435</v>
      </c>
    </row>
    <row r="22" spans="1:9" s="9" customFormat="1" x14ac:dyDescent="0.25">
      <c r="A22" s="44" t="s">
        <v>254</v>
      </c>
      <c r="B22" s="45">
        <f>IF(4602.1057="","-",4602.1057)</f>
        <v>4602.1057000000001</v>
      </c>
      <c r="C22" s="45">
        <f>IF(OR(10263.22377="",4602.1057=""),"-",4602.1057/10263.22377*100)</f>
        <v>44.840742081958915</v>
      </c>
      <c r="D22" s="45">
        <f>IF(10263.22377="","-",10263.22377/1159001.13914*100)</f>
        <v>0.88552318228224502</v>
      </c>
      <c r="E22" s="45">
        <f>IF(4602.1057="","-",4602.1057/980549.57869*100)</f>
        <v>0.46933941944560786</v>
      </c>
      <c r="F22" s="45">
        <f>IF(OR(1100674.36139="",8951.20722="",10263.22377=""),"-",(10263.22377-8951.20722)/1100674.36139*100)</f>
        <v>0.11920115485774598</v>
      </c>
      <c r="G22" s="45">
        <f>IF(OR(1159001.13914="",4602.1057="",10263.22377=""),"-",(4602.1057-10263.22377)/1159001.13914*100)</f>
        <v>-0.4884480160391087</v>
      </c>
    </row>
    <row r="23" spans="1:9" s="9" customFormat="1" ht="25.5" x14ac:dyDescent="0.25">
      <c r="A23" s="52" t="s">
        <v>25</v>
      </c>
      <c r="B23" s="40">
        <f>IF(91883.98205="","-",91883.98205)</f>
        <v>91883.982050000006</v>
      </c>
      <c r="C23" s="40">
        <f>IF(136146.06392="","-",91883.98205/136146.06392*100)</f>
        <v>67.489268073141972</v>
      </c>
      <c r="D23" s="40">
        <f>IF(136146.06392="","-",136146.06392/1159001.13914*100)</f>
        <v>11.746844702932979</v>
      </c>
      <c r="E23" s="40">
        <f>IF(91883.98205="","-",91883.98205/980549.57869*100)</f>
        <v>9.3706615195078324</v>
      </c>
      <c r="F23" s="40">
        <f>IF(1100674.36139="","-",(136146.06392-124371.3281)/1100674.36139*100)</f>
        <v>1.0697746974981883</v>
      </c>
      <c r="G23" s="40">
        <f>IF(1159001.13914="","-",(91883.98205-136146.06392)/1159001.13914*100)</f>
        <v>-3.818985191234864</v>
      </c>
      <c r="H23" s="7"/>
    </row>
    <row r="24" spans="1:9" s="9" customFormat="1" x14ac:dyDescent="0.25">
      <c r="A24" s="44" t="s">
        <v>255</v>
      </c>
      <c r="B24" s="45">
        <f>IF(600.94466="","-",600.94466)</f>
        <v>600.94466</v>
      </c>
      <c r="C24" s="45">
        <f>IF(OR(699.57073="",600.94466=""),"-",600.94466/699.57073*100)</f>
        <v>85.901915879184926</v>
      </c>
      <c r="D24" s="45">
        <f>IF(699.57073="","-",699.57073/1159001.13914*100)</f>
        <v>6.0359796584763863E-2</v>
      </c>
      <c r="E24" s="45">
        <f>IF(600.94466="","-",600.94466/980549.57869*100)</f>
        <v>6.1286514528194821E-2</v>
      </c>
      <c r="F24" s="45">
        <f>IF(OR(1100674.36139="",1594.0132="",699.57073=""),"-",(699.57073-1594.0132)/1100674.36139*100)</f>
        <v>-8.1263132982442018E-2</v>
      </c>
      <c r="G24" s="45">
        <f>IF(OR(1159001.13914="",600.94466="",699.57073=""),"-",(600.94466-699.57073)/1159001.13914*100)</f>
        <v>-8.5095748976728672E-3</v>
      </c>
      <c r="H24" s="8"/>
    </row>
    <row r="25" spans="1:9" s="9" customFormat="1" x14ac:dyDescent="0.25">
      <c r="A25" s="44" t="s">
        <v>256</v>
      </c>
      <c r="B25" s="45">
        <f>IF(80765.71863="","-",80765.71863)</f>
        <v>80765.718630000003</v>
      </c>
      <c r="C25" s="45">
        <f>IF(OR(120789.15811="",80765.71863=""),"-",80765.71863/120789.15811*100)</f>
        <v>66.865039788131028</v>
      </c>
      <c r="D25" s="45">
        <f>IF(120789.15811="","-",120789.15811/1159001.13914*100)</f>
        <v>10.421832561754664</v>
      </c>
      <c r="E25" s="45">
        <f>IF(80765.71863="","-",80765.71863/980549.57869*100)</f>
        <v>8.2367807182072141</v>
      </c>
      <c r="F25" s="45">
        <f>IF(OR(1100674.36139="",107996.19004="",120789.15811=""),"-",(120789.15811-107996.19004)/1100674.36139*100)</f>
        <v>1.1622845519763219</v>
      </c>
      <c r="G25" s="45">
        <f>IF(OR(1159001.13914="",80765.71863="",120789.15811=""),"-",(80765.71863-120789.15811)/1159001.13914*100)</f>
        <v>-3.4532700726850121</v>
      </c>
      <c r="H25" s="8"/>
    </row>
    <row r="26" spans="1:9" s="9" customFormat="1" ht="25.5" x14ac:dyDescent="0.25">
      <c r="A26" s="44" t="s">
        <v>257</v>
      </c>
      <c r="B26" s="45">
        <f>IF(0.14712="","-",0.14712)</f>
        <v>0.14712</v>
      </c>
      <c r="C26" s="45">
        <f>IF(OR(0.23836="",0.14712=""),"-",0.14712/0.23836*100)</f>
        <v>61.721765396878666</v>
      </c>
      <c r="D26" s="45">
        <f>IF(0.23836="","-",0.23836/1159001.13914*100)</f>
        <v>2.0565984963299297E-5</v>
      </c>
      <c r="E26" s="45">
        <f>IF(0.14712="","-",0.14712/980549.57869*100)</f>
        <v>1.5003830830925468E-5</v>
      </c>
      <c r="F26" s="45">
        <f>IF(OR(1100674.36139="",0.20445="",0.23836=""),"-",(0.23836-0.20445)/1100674.36139*100)</f>
        <v>3.0808385467593105E-6</v>
      </c>
      <c r="G26" s="45">
        <f>IF(OR(1159001.13914="",0.14712="",0.23836=""),"-",(0.14712-0.23836)/1159001.13914*100)</f>
        <v>-7.8722959726943597E-6</v>
      </c>
      <c r="H26" s="8"/>
    </row>
    <row r="27" spans="1:9" s="9" customFormat="1" ht="14.25" customHeight="1" x14ac:dyDescent="0.25">
      <c r="A27" s="44" t="s">
        <v>258</v>
      </c>
      <c r="B27" s="45">
        <f>IF(640.5145="","-",640.5145)</f>
        <v>640.5145</v>
      </c>
      <c r="C27" s="45" t="s">
        <v>100</v>
      </c>
      <c r="D27" s="45">
        <f>IF(286.98806="","-",286.98806/1159001.13914*100)</f>
        <v>2.4761671952535817E-2</v>
      </c>
      <c r="E27" s="45">
        <f>IF(640.5145="","-",640.5145/980549.57869*100)</f>
        <v>6.5321990230796698E-2</v>
      </c>
      <c r="F27" s="45">
        <f>IF(OR(1100674.36139="",280.64164="",286.98806=""),"-",(286.98806-280.64164)/1100674.36139*100)</f>
        <v>5.7659378855571511E-4</v>
      </c>
      <c r="G27" s="45">
        <f>IF(OR(1159001.13914="",640.5145="",286.98806=""),"-",(640.5145-286.98806)/1159001.13914*100)</f>
        <v>3.0502682703342554E-2</v>
      </c>
      <c r="H27" s="8"/>
    </row>
    <row r="28" spans="1:9" s="9" customFormat="1" x14ac:dyDescent="0.25">
      <c r="A28" s="44" t="s">
        <v>259</v>
      </c>
      <c r="B28" s="45">
        <f>IF(672.47869="","-",672.47869)</f>
        <v>672.47869000000003</v>
      </c>
      <c r="C28" s="45">
        <f>IF(OR(1065.97357="",672.47869=""),"-",672.47869/1065.97357*100)</f>
        <v>63.085869005176178</v>
      </c>
      <c r="D28" s="45">
        <f>IF(1065.97357="","-",1065.97357/1159001.13914*100)</f>
        <v>9.19734704308377E-2</v>
      </c>
      <c r="E28" s="45">
        <f>IF(672.47869="","-",672.47869/980549.57869*100)</f>
        <v>6.8581814180005238E-2</v>
      </c>
      <c r="F28" s="45">
        <f>IF(OR(1100674.36139="",1335.43117="",1065.97357=""),"-",(1065.97357-1335.43117)/1100674.36139*100)</f>
        <v>-2.4481137151201756E-2</v>
      </c>
      <c r="G28" s="45">
        <f>IF(OR(1159001.13914="",672.47869="",1065.97357=""),"-",(672.47869-1065.97357)/1159001.13914*100)</f>
        <v>-3.3951207355324982E-2</v>
      </c>
      <c r="H28" s="8"/>
    </row>
    <row r="29" spans="1:9" s="9" customFormat="1" ht="38.25" x14ac:dyDescent="0.25">
      <c r="A29" s="44" t="s">
        <v>260</v>
      </c>
      <c r="B29" s="45">
        <f>IF(12.29931="","-",12.29931)</f>
        <v>12.29931</v>
      </c>
      <c r="C29" s="45">
        <f>IF(OR(142.42015="",12.29931=""),"-",12.29931/142.42015*100)</f>
        <v>8.6359338899727316</v>
      </c>
      <c r="D29" s="45">
        <f>IF(142.42015="","-",142.42015/1159001.13914*100)</f>
        <v>1.2288180329630938E-2</v>
      </c>
      <c r="E29" s="45">
        <f>IF(12.29931="","-",12.29931/980549.57869*100)</f>
        <v>1.2543282121880771E-3</v>
      </c>
      <c r="F29" s="45">
        <f>IF(OR(1100674.36139="",169.32913="",142.42015=""),"-",(142.42015-169.32913)/1100674.36139*100)</f>
        <v>-2.4447721273363407E-3</v>
      </c>
      <c r="G29" s="45">
        <f>IF(OR(1159001.13914="",12.29931="",142.42015=""),"-",(12.29931-142.42015)/1159001.13914*100)</f>
        <v>-1.1226981200083379E-2</v>
      </c>
      <c r="H29" s="8"/>
    </row>
    <row r="30" spans="1:9" s="9" customFormat="1" ht="38.25" x14ac:dyDescent="0.25">
      <c r="A30" s="44" t="s">
        <v>261</v>
      </c>
      <c r="B30" s="45">
        <f>IF(3039.46029="","-",3039.46029)</f>
        <v>3039.46029</v>
      </c>
      <c r="C30" s="45">
        <f>IF(OR(4018.66374="",3039.46029=""),"-",3039.46029/4018.66374*100)</f>
        <v>75.633605761700281</v>
      </c>
      <c r="D30" s="45">
        <f>IF(4018.66374="","-",4018.66374/1159001.13914*100)</f>
        <v>0.34673509837806732</v>
      </c>
      <c r="E30" s="45">
        <f>IF(3039.46029="","-",3039.46029/980549.57869*100)</f>
        <v>0.30997517678409231</v>
      </c>
      <c r="F30" s="45">
        <f>IF(OR(1100674.36139="",4533.35082="",4018.66374=""),"-",(4018.66374-4533.35082)/1100674.36139*100)</f>
        <v>-4.676106740144477E-2</v>
      </c>
      <c r="G30" s="45">
        <f>IF(OR(1159001.13914="",3039.46029="",4018.66374=""),"-",(3039.46029-4018.66374)/1159001.13914*100)</f>
        <v>-8.4486841033356255E-2</v>
      </c>
      <c r="H30" s="8"/>
    </row>
    <row r="31" spans="1:9" s="9" customFormat="1" ht="15.75" customHeight="1" x14ac:dyDescent="0.25">
      <c r="A31" s="44" t="s">
        <v>262</v>
      </c>
      <c r="B31" s="45">
        <f>IF(3776.25095="","-",3776.25095)</f>
        <v>3776.2509500000001</v>
      </c>
      <c r="C31" s="45">
        <f>IF(OR(7134.51295="",3776.25095=""),"-",3776.25095/7134.51295*100)</f>
        <v>52.929344672364778</v>
      </c>
      <c r="D31" s="45">
        <f>IF(7134.51295="","-",7134.51295/1159001.13914*100)</f>
        <v>0.61557428280820659</v>
      </c>
      <c r="E31" s="45">
        <f>IF(3776.25095="","-",3776.25095/980549.57869*100)</f>
        <v>0.38511575876102222</v>
      </c>
      <c r="F31" s="45">
        <f>IF(OR(1100674.36139="",6482.90494="",7134.51295=""),"-",(7134.51295-6482.90494)/1100674.36139*100)</f>
        <v>5.9200798424804663E-2</v>
      </c>
      <c r="G31" s="45">
        <f>IF(OR(1159001.13914="",3776.25095="",7134.51295=""),"-",(3776.25095-7134.51295)/1159001.13914*100)</f>
        <v>-0.28975484894621345</v>
      </c>
    </row>
    <row r="32" spans="1:9" s="9" customFormat="1" ht="25.5" x14ac:dyDescent="0.25">
      <c r="A32" s="44" t="s">
        <v>263</v>
      </c>
      <c r="B32" s="45">
        <f>IF(2376.1679="","-",2376.1679)</f>
        <v>2376.1678999999999</v>
      </c>
      <c r="C32" s="45">
        <f>IF(OR(2008.53825="",2376.1679=""),"-",2376.1679/2008.53825*100)</f>
        <v>118.30334323979142</v>
      </c>
      <c r="D32" s="45">
        <f>IF(2008.53825="","-",2008.53825/1159001.13914*100)</f>
        <v>0.1732990747093115</v>
      </c>
      <c r="E32" s="45">
        <f>IF(2376.1679="","-",2376.1679/980549.57869*100)</f>
        <v>0.24233021477348712</v>
      </c>
      <c r="F32" s="45">
        <f>IF(OR(1100674.36139="",1979.26271="",2008.53825=""),"-",(2008.53825-1979.26271)/1100674.36139*100)</f>
        <v>2.6597821323855607E-3</v>
      </c>
      <c r="G32" s="45">
        <f>IF(OR(1159001.13914="",2376.1679="",2008.53825=""),"-",(2376.1679-2008.53825)/1159001.13914*100)</f>
        <v>3.1719524475427849E-2</v>
      </c>
    </row>
    <row r="33" spans="1:7" s="9" customFormat="1" ht="25.5" x14ac:dyDescent="0.25">
      <c r="A33" s="52" t="s">
        <v>264</v>
      </c>
      <c r="B33" s="40">
        <f>IF(2080.10613="","-",2080.10613)</f>
        <v>2080.1061300000001</v>
      </c>
      <c r="C33" s="40">
        <f>IF(5717.90991="","-",2080.10613/5717.90991*100)</f>
        <v>36.37878460383088</v>
      </c>
      <c r="D33" s="40">
        <f>IF(5717.90991="","-",5717.90991/1159001.13914*100)</f>
        <v>0.49334808369927863</v>
      </c>
      <c r="E33" s="40">
        <f>IF(2080.10613="","-",2080.10613/980549.57869*100)</f>
        <v>0.21213676240409909</v>
      </c>
      <c r="F33" s="40">
        <f>IF(1100674.36139="","-",(5717.90991-7344.99053)/1100674.36139*100)</f>
        <v>-0.14782579453792502</v>
      </c>
      <c r="G33" s="40">
        <f>IF(1159001.13914="","-",(2080.10613-5717.90991)/1159001.13914*100)</f>
        <v>-0.31387404698319077</v>
      </c>
    </row>
    <row r="34" spans="1:7" s="9" customFormat="1" ht="25.5" x14ac:dyDescent="0.25">
      <c r="A34" s="44" t="s">
        <v>265</v>
      </c>
      <c r="B34" s="45">
        <f>IF(2029.75898="","-",2029.75898)</f>
        <v>2029.7589800000001</v>
      </c>
      <c r="C34" s="45">
        <f>IF(OR(5714.77695="",2029.75898=""),"-",2029.75898/5714.77695*100)</f>
        <v>35.517728824044482</v>
      </c>
      <c r="D34" s="45">
        <f>IF(5714.77695="","-",5714.77695/1159001.13914*100)</f>
        <v>0.49307776817548848</v>
      </c>
      <c r="E34" s="45">
        <f>IF(2029.75898="","-",2029.75898/980549.57869*100)</f>
        <v>0.2070021775657411</v>
      </c>
      <c r="F34" s="45">
        <f>IF(OR(1100674.36139="",7319.15477="",5714.77695=""),"-",(5714.77695-7319.15477)/1100674.36139*100)</f>
        <v>-0.14576316813393306</v>
      </c>
      <c r="G34" s="45">
        <f>IF(OR(1159001.13914="",2029.75898="",5714.77695=""),"-",(2029.75898-5714.77695)/1159001.13914*100)</f>
        <v>-0.31794774358326783</v>
      </c>
    </row>
    <row r="35" spans="1:7" s="9" customFormat="1" x14ac:dyDescent="0.25">
      <c r="A35" s="44" t="s">
        <v>266</v>
      </c>
      <c r="B35" s="45">
        <f>IF(3.25568="","-",3.25568)</f>
        <v>3.2556799999999999</v>
      </c>
      <c r="C35" s="45">
        <f>IF(OR(3.03565="",3.25568=""),"-",3.25568/3.03565*100)</f>
        <v>107.2482005501293</v>
      </c>
      <c r="D35" s="45">
        <f>IF(3.03565="","-",3.03565/1159001.13914*100)</f>
        <v>2.6191950098103503E-4</v>
      </c>
      <c r="E35" s="45">
        <f>IF(3.25568="","-",3.25568/980549.57869*100)</f>
        <v>3.320260464901266E-4</v>
      </c>
      <c r="F35" s="45">
        <f>IF(OR(1100674.36139="",3.43643="",3.03565=""),"-",(3.03565-3.43643)/1100674.36139*100)</f>
        <v>-3.6412222729879004E-5</v>
      </c>
      <c r="G35" s="45">
        <f>IF(OR(1159001.13914="",3.25568="",3.03565=""),"-",(3.25568-3.03565)/1159001.13914*100)</f>
        <v>1.8984450711003285E-5</v>
      </c>
    </row>
    <row r="36" spans="1:7" s="9" customFormat="1" ht="25.5" x14ac:dyDescent="0.25">
      <c r="A36" s="52" t="s">
        <v>267</v>
      </c>
      <c r="B36" s="40">
        <f>IF(50557.79472="","-",50557.79472)</f>
        <v>50557.794719999998</v>
      </c>
      <c r="C36" s="40" t="s">
        <v>107</v>
      </c>
      <c r="D36" s="40">
        <f>IF(30793.7115="","-",30793.7115/1159001.13914*100)</f>
        <v>2.6569181392564891</v>
      </c>
      <c r="E36" s="40">
        <f>IF(50557.79472="","-",50557.79472/980549.57869*100)</f>
        <v>5.1560671503774937</v>
      </c>
      <c r="F36" s="40">
        <f>IF(1100674.36139="","-",(30793.7115-40807.62775)/1100674.36139*100)</f>
        <v>-0.90979826561543631</v>
      </c>
      <c r="G36" s="40">
        <f>IF(1159001.13914="","-",(50557.79472-30793.7115)/1159001.13914*100)</f>
        <v>1.7052686621745088</v>
      </c>
    </row>
    <row r="37" spans="1:7" s="9" customFormat="1" ht="25.5" x14ac:dyDescent="0.25">
      <c r="A37" s="44" t="s">
        <v>268</v>
      </c>
      <c r="B37" s="45">
        <f>IF(50536.87917="","-",50536.87917)</f>
        <v>50536.87917</v>
      </c>
      <c r="C37" s="45" t="s">
        <v>107</v>
      </c>
      <c r="D37" s="45">
        <f>IF(30793.57574="","-",30793.57574/1159001.13914*100)</f>
        <v>2.6569064257218411</v>
      </c>
      <c r="E37" s="45">
        <f>IF(50536.87917="","-",50536.87917/980549.57869*100)</f>
        <v>5.1539341067808664</v>
      </c>
      <c r="F37" s="45">
        <f>IF(OR(1100674.36139="",40732.21727="",30793.57574=""),"-",(30793.57574-40732.21727)/1100674.36139*100)</f>
        <v>-0.90295930191822271</v>
      </c>
      <c r="G37" s="45">
        <f>IF(OR(1159001.13914="",50536.87917="",30793.57574=""),"-",(50536.87917-30793.57574)/1159001.13914*100)</f>
        <v>1.7034757571204711</v>
      </c>
    </row>
    <row r="38" spans="1:7" s="9" customFormat="1" ht="25.5" x14ac:dyDescent="0.25">
      <c r="A38" s="52" t="s">
        <v>269</v>
      </c>
      <c r="B38" s="40">
        <f>IF(48855.45484="","-",48855.45484)</f>
        <v>48855.454839999999</v>
      </c>
      <c r="C38" s="40">
        <f>IF(47629.13425="","-",48855.45484/47629.13425*100)</f>
        <v>102.57472786207529</v>
      </c>
      <c r="D38" s="40">
        <f>IF(47629.13425="","-",47629.13425/1159001.13914*100)</f>
        <v>4.1094984846470197</v>
      </c>
      <c r="E38" s="40">
        <f>IF(48855.45484="","-",48855.45484/980549.57869*100)</f>
        <v>4.9824563593480073</v>
      </c>
      <c r="F38" s="40">
        <f>IF(1100674.36139="","-",(47629.13425-53882.44621)/1100674.36139*100)</f>
        <v>-0.5681346072332355</v>
      </c>
      <c r="G38" s="40">
        <f>IF(1159001.13914="","-",(48855.45484-47629.13425)/1159001.13914*100)</f>
        <v>0.10580840247576874</v>
      </c>
    </row>
    <row r="39" spans="1:7" s="9" customFormat="1" x14ac:dyDescent="0.25">
      <c r="A39" s="44" t="s">
        <v>26</v>
      </c>
      <c r="B39" s="45">
        <f>IF(19739.67483="","-",19739.67483)</f>
        <v>19739.67483</v>
      </c>
      <c r="C39" s="45" t="s">
        <v>137</v>
      </c>
      <c r="D39" s="45">
        <f>IF(6652.81404="","-",6652.81404/1159001.13914*100)</f>
        <v>0.57401272659114977</v>
      </c>
      <c r="E39" s="45">
        <f>IF(19739.67483="","-",19739.67483/980549.57869*100)</f>
        <v>2.0131235848749145</v>
      </c>
      <c r="F39" s="45">
        <f>IF(OR(1100674.36139="",11417.45003="",6652.81404=""),"-",(6652.81404-11417.45003)/1100674.36139*100)</f>
        <v>-0.43288334471450041</v>
      </c>
      <c r="G39" s="45">
        <f>IF(OR(1159001.13914="",19739.67483="",6652.81404=""),"-",(19739.67483-6652.81404)/1159001.13914*100)</f>
        <v>1.1291499505954488</v>
      </c>
    </row>
    <row r="40" spans="1:7" s="9" customFormat="1" x14ac:dyDescent="0.25">
      <c r="A40" s="44" t="s">
        <v>27</v>
      </c>
      <c r="B40" s="45">
        <f>IF(565.33694="","-",565.33694)</f>
        <v>565.33694000000003</v>
      </c>
      <c r="C40" s="45">
        <f>IF(OR(462.45649="",565.33694=""),"-",565.33694/462.45649*100)</f>
        <v>122.24651447750254</v>
      </c>
      <c r="D40" s="45">
        <f>IF(462.45649="","-",462.45649/1159001.13914*100)</f>
        <v>3.9901297279410018E-2</v>
      </c>
      <c r="E40" s="45">
        <f>IF(565.33694="","-",565.33694/980549.57869*100)</f>
        <v>5.765511018374838E-2</v>
      </c>
      <c r="F40" s="45">
        <f>IF(OR(1100674.36139="",287.1079="",462.45649=""),"-",(462.45649-287.1079)/1100674.36139*100)</f>
        <v>1.5931014308224543E-2</v>
      </c>
      <c r="G40" s="45">
        <f>IF(OR(1159001.13914="",565.33694="",462.45649=""),"-",(565.33694-462.45649)/1159001.13914*100)</f>
        <v>8.8766478759752746E-3</v>
      </c>
    </row>
    <row r="41" spans="1:7" s="9" customFormat="1" x14ac:dyDescent="0.25">
      <c r="A41" s="44" t="s">
        <v>270</v>
      </c>
      <c r="B41" s="45">
        <f>IF(349.10779="","-",349.10779)</f>
        <v>349.10779000000002</v>
      </c>
      <c r="C41" s="45">
        <f>IF(OR(446.81774="",349.10779=""),"-",349.10779/446.81774*100)</f>
        <v>78.132034327911867</v>
      </c>
      <c r="D41" s="45">
        <f>IF(446.81774="","-",446.81774/1159001.13914*100)</f>
        <v>3.8551967285515083E-2</v>
      </c>
      <c r="E41" s="45">
        <f>IF(349.10779="","-",349.10779/980549.57869*100)</f>
        <v>3.560327775229917E-2</v>
      </c>
      <c r="F41" s="45">
        <f>IF(OR(1100674.36139="",1178.9767="",446.81774=""),"-",(446.81774-1178.9767)/1100674.36139*100)</f>
        <v>-6.6519125518230859E-2</v>
      </c>
      <c r="G41" s="45">
        <f>IF(OR(1159001.13914="",349.10779="",446.81774=""),"-",(349.10779-446.81774)/1159001.13914*100)</f>
        <v>-8.4305309719110849E-3</v>
      </c>
    </row>
    <row r="42" spans="1:7" s="9" customFormat="1" x14ac:dyDescent="0.25">
      <c r="A42" s="44" t="s">
        <v>271</v>
      </c>
      <c r="B42" s="45">
        <f>IF(21044.08628="","-",21044.08628)</f>
        <v>21044.08628</v>
      </c>
      <c r="C42" s="45">
        <f>IF(OR(31913.4157899999="",21044.08628=""),"-",21044.08628/31913.4157899999*100)</f>
        <v>65.941190433755409</v>
      </c>
      <c r="D42" s="45">
        <f>IF(31913.4157899999="","-",31913.4157899999/1159001.13914*100)</f>
        <v>2.7535275602645424</v>
      </c>
      <c r="E42" s="45">
        <f>IF(21044.08628="","-",21044.08628/980549.57869*100)</f>
        <v>2.1461521923363218</v>
      </c>
      <c r="F42" s="45">
        <f>IF(OR(1100674.36139="",28265.4124="",31913.4157899999=""),"-",(31913.4157899999-28265.4124)/1100674.36139*100)</f>
        <v>0.33143348459511446</v>
      </c>
      <c r="G42" s="45">
        <f>IF(OR(1159001.13914="",21044.08628="",31913.4157899999=""),"-",(21044.08628-31913.4157899999)/1159001.13914*100)</f>
        <v>-0.93781870810456158</v>
      </c>
    </row>
    <row r="43" spans="1:7" s="9" customFormat="1" ht="15.75" customHeight="1" x14ac:dyDescent="0.25">
      <c r="A43" s="44" t="s">
        <v>272</v>
      </c>
      <c r="B43" s="45">
        <f>IF(4603.53957="","-",4603.53957)</f>
        <v>4603.5395699999999</v>
      </c>
      <c r="C43" s="45">
        <f>IF(OR(5348.16993="",4603.53957=""),"-",4603.53957/5348.16993*100)</f>
        <v>86.076912855310113</v>
      </c>
      <c r="D43" s="45">
        <f>IF(5348.16993="","-",5348.16993/1159001.13914*100)</f>
        <v>0.46144647743559936</v>
      </c>
      <c r="E43" s="45">
        <f>IF(4603.53957="","-",4603.53957/980549.57869*100)</f>
        <v>0.46948565070521597</v>
      </c>
      <c r="F43" s="45">
        <f>IF(OR(1100674.36139="",9528.23357="",5348.16993=""),"-",(5348.16993-9528.23357)/1100674.36139*100)</f>
        <v>-0.37977296343317712</v>
      </c>
      <c r="G43" s="45">
        <f>IF(OR(1159001.13914="",4603.53957="",5348.16993=""),"-",(4603.53957-5348.16993)/1159001.13914*100)</f>
        <v>-6.4247595179460257E-2</v>
      </c>
    </row>
    <row r="44" spans="1:7" s="9" customFormat="1" x14ac:dyDescent="0.25">
      <c r="A44" s="44" t="s">
        <v>273</v>
      </c>
      <c r="B44" s="45">
        <f>IF(0.12792="","-",0.12792)</f>
        <v>0.12792000000000001</v>
      </c>
      <c r="C44" s="45">
        <f>IF(OR(20.17404="",0.12792=""),"-",0.12792/20.17404*100)</f>
        <v>0.63408221655156827</v>
      </c>
      <c r="D44" s="45">
        <f>IF(20.17404="","-",20.17404/1159001.13914*100)</f>
        <v>1.7406402218870557E-3</v>
      </c>
      <c r="E44" s="45">
        <f>IF(0.12792="","-",0.12792/980549.57869*100)</f>
        <v>1.3045745241245145E-5</v>
      </c>
      <c r="F44" s="45" t="str">
        <f>IF(OR(1100674.36139="",""="",20.17404=""),"-",(20.17404-"")/1100674.36139*100)</f>
        <v>-</v>
      </c>
      <c r="G44" s="45">
        <f>IF(OR(1159001.13914="",0.12792="",20.17404=""),"-",(0.12792-20.17404)/1159001.13914*100)</f>
        <v>-1.7296031317859261E-3</v>
      </c>
    </row>
    <row r="45" spans="1:7" s="9" customFormat="1" x14ac:dyDescent="0.25">
      <c r="A45" s="44" t="s">
        <v>28</v>
      </c>
      <c r="B45" s="45">
        <f>IF(786.76373="","-",786.76373)</f>
        <v>786.76373000000001</v>
      </c>
      <c r="C45" s="45">
        <f>IF(OR(744.6458="",786.76373=""),"-",786.76373/744.6458*100)</f>
        <v>105.65610253895208</v>
      </c>
      <c r="D45" s="45">
        <f>IF(744.6458="","-",744.6458/1159001.13914*100)</f>
        <v>6.4248927361067201E-2</v>
      </c>
      <c r="E45" s="45">
        <f>IF(786.76373="","-",786.76373/980549.57869*100)</f>
        <v>8.0237016781048942E-2</v>
      </c>
      <c r="F45" s="45">
        <f>IF(OR(1100674.36139="",1041.16181="",744.6458=""),"-",(744.6458-1041.16181)/1100674.36139*100)</f>
        <v>-2.69394855010106E-2</v>
      </c>
      <c r="G45" s="45">
        <f>IF(OR(1159001.13914="",786.76373="",744.6458=""),"-",(786.76373-744.6458)/1159001.13914*100)</f>
        <v>3.6339852117187967E-3</v>
      </c>
    </row>
    <row r="46" spans="1:7" s="9" customFormat="1" x14ac:dyDescent="0.25">
      <c r="A46" s="44" t="s">
        <v>29</v>
      </c>
      <c r="B46" s="45">
        <f>IF(786.92507="","-",786.92507)</f>
        <v>786.92507000000001</v>
      </c>
      <c r="C46" s="45">
        <f>IF(OR(1141.16666="",786.92507=""),"-",786.92507/1141.16666*100)</f>
        <v>68.957944319894509</v>
      </c>
      <c r="D46" s="45">
        <f>IF(1141.16666="","-",1141.16666/1159001.13914*100)</f>
        <v>9.8461219878245035E-2</v>
      </c>
      <c r="E46" s="45">
        <f>IF(786.92507="","-",786.92507/980549.57869*100)</f>
        <v>8.0253470819019734E-2</v>
      </c>
      <c r="F46" s="45">
        <f>IF(OR(1100674.36139="",861.35469="",1141.16666=""),"-",(1141.16666-861.35469)/1100674.36139*100)</f>
        <v>2.5421866795065178E-2</v>
      </c>
      <c r="G46" s="45">
        <f>IF(OR(1159001.13914="",786.92507="",1141.16666=""),"-",(786.92507-1141.16666)/1159001.13914*100)</f>
        <v>-3.0564386697915912E-2</v>
      </c>
    </row>
    <row r="47" spans="1:7" s="9" customFormat="1" x14ac:dyDescent="0.25">
      <c r="A47" s="44" t="s">
        <v>274</v>
      </c>
      <c r="B47" s="45">
        <f>IF(979.89271="","-",979.89271)</f>
        <v>979.89270999999997</v>
      </c>
      <c r="C47" s="45">
        <f>IF(OR(899.47376="",979.89271=""),"-",979.89271/899.47376*100)</f>
        <v>108.94066659598832</v>
      </c>
      <c r="D47" s="45">
        <f>IF(899.47376="","-",899.47376/1159001.13914*100)</f>
        <v>7.7607668329595078E-2</v>
      </c>
      <c r="E47" s="45">
        <f>IF(979.89271="","-",979.89271/980549.57869*100)</f>
        <v>9.9933010150197857E-2</v>
      </c>
      <c r="F47" s="45">
        <f>IF(OR(1100674.36139="",1302.74911="",899.47376=""),"-",(899.47376-1302.74911)/1100674.36139*100)</f>
        <v>-3.6638933743375186E-2</v>
      </c>
      <c r="G47" s="45">
        <f>IF(OR(1159001.13914="",979.89271="",899.47376=""),"-",(979.89271-899.47376)/1159001.13914*100)</f>
        <v>6.9386428782694997E-3</v>
      </c>
    </row>
    <row r="48" spans="1:7" s="9" customFormat="1" ht="25.5" x14ac:dyDescent="0.25">
      <c r="A48" s="52" t="s">
        <v>275</v>
      </c>
      <c r="B48" s="40">
        <f>IF(60622.80292="","-",60622.80292)</f>
        <v>60622.802920000002</v>
      </c>
      <c r="C48" s="40">
        <f>IF(70793.17504="","-",60622.80292/70793.17504*100)</f>
        <v>85.633682746601664</v>
      </c>
      <c r="D48" s="40">
        <f>IF(70793.17504="","-",70793.17504/1159001.13914*100)</f>
        <v>6.1081195392551404</v>
      </c>
      <c r="E48" s="40">
        <f>IF(60622.80292="","-",60622.80292/980549.57869*100)</f>
        <v>6.1825331668584456</v>
      </c>
      <c r="F48" s="40">
        <f>IF(1100674.36139="","-",(70793.17504-73874.28796)/1100674.36139*100)</f>
        <v>-0.27992956210127207</v>
      </c>
      <c r="G48" s="40">
        <f>IF(1159001.13914="","-",(60622.80292-70793.17504)/1159001.13914*100)</f>
        <v>-0.8775118312262058</v>
      </c>
    </row>
    <row r="49" spans="1:7" s="9" customFormat="1" x14ac:dyDescent="0.25">
      <c r="A49" s="44" t="s">
        <v>276</v>
      </c>
      <c r="B49" s="45">
        <f>IF(217.29162="","-",217.29162)</f>
        <v>217.29161999999999</v>
      </c>
      <c r="C49" s="45" t="s">
        <v>108</v>
      </c>
      <c r="D49" s="45">
        <f>IF(113.32322="","-",113.32322/1159001.13914*100)</f>
        <v>9.7776625210297813E-3</v>
      </c>
      <c r="E49" s="45">
        <f>IF(217.29162="","-",217.29162/980549.57869*100)</f>
        <v>2.2160186972931897E-2</v>
      </c>
      <c r="F49" s="45">
        <f>IF(OR(1100674.36139="",679.03918="",113.32322=""),"-",(113.32322-679.03918)/1100674.36139*100)</f>
        <v>-5.1397214275580902E-2</v>
      </c>
      <c r="G49" s="45">
        <f>IF(OR(1159001.13914="",217.29162="",113.32322=""),"-",(217.29162-113.32322)/1159001.13914*100)</f>
        <v>8.9705174989859315E-3</v>
      </c>
    </row>
    <row r="50" spans="1:7" s="9" customFormat="1" x14ac:dyDescent="0.25">
      <c r="A50" s="44" t="s">
        <v>30</v>
      </c>
      <c r="B50" s="45">
        <f>IF(523.95432="","-",523.95432)</f>
        <v>523.95432000000005</v>
      </c>
      <c r="C50" s="45">
        <f>IF(OR(734.73926="",523.95432=""),"-",523.95432/734.73926*100)</f>
        <v>71.311599709535074</v>
      </c>
      <c r="D50" s="45">
        <f>IF(734.73926="","-",734.73926/1159001.13914*100)</f>
        <v>6.3394179279684729E-2</v>
      </c>
      <c r="E50" s="45">
        <f>IF(523.95432="","-",523.95432/980549.57869*100)</f>
        <v>5.3434760606393343E-2</v>
      </c>
      <c r="F50" s="45">
        <f>IF(OR(1100674.36139="",628.37941="",734.73926=""),"-",(734.73926-628.37941)/1100674.36139*100)</f>
        <v>9.6631532205112974E-3</v>
      </c>
      <c r="G50" s="45">
        <f>IF(OR(1159001.13914="",523.95432="",734.73926=""),"-",(523.95432-734.73926)/1159001.13914*100)</f>
        <v>-1.8186775912610937E-2</v>
      </c>
    </row>
    <row r="51" spans="1:7" s="9" customFormat="1" x14ac:dyDescent="0.25">
      <c r="A51" s="44" t="s">
        <v>277</v>
      </c>
      <c r="B51" s="45">
        <f>IF(6843.16309="","-",6843.16309)</f>
        <v>6843.16309</v>
      </c>
      <c r="C51" s="45">
        <f>IF(OR(8527.8631="",6843.16309=""),"-",6843.16309/8527.8631*100)</f>
        <v>80.244757798703404</v>
      </c>
      <c r="D51" s="45">
        <f>IF(8527.8631="","-",8527.8631/1159001.13914*100)</f>
        <v>0.73579419484676523</v>
      </c>
      <c r="E51" s="45">
        <f>IF(6843.16309="","-",6843.16309/980549.57869*100)</f>
        <v>0.69789057470631588</v>
      </c>
      <c r="F51" s="45">
        <f>IF(OR(1100674.36139="",6504.7984="",8527.8631=""),"-",(8527.8631-6504.7984)/1100674.36139*100)</f>
        <v>0.18380229166464357</v>
      </c>
      <c r="G51" s="45">
        <f>IF(OR(1159001.13914="",6843.16309="",8527.8631=""),"-",(6843.16309-8527.8631)/1159001.13914*100)</f>
        <v>-0.1453579252950587</v>
      </c>
    </row>
    <row r="52" spans="1:7" ht="25.5" x14ac:dyDescent="0.25">
      <c r="A52" s="44" t="s">
        <v>278</v>
      </c>
      <c r="B52" s="45">
        <f>IF(3517.53637="","-",3517.53637)</f>
        <v>3517.5363699999998</v>
      </c>
      <c r="C52" s="45">
        <f>IF(OR(3992.39659="",3517.53637=""),"-",3517.53637/3992.39659*100)</f>
        <v>88.105885542798745</v>
      </c>
      <c r="D52" s="45">
        <f>IF(3992.39659="","-",3992.39659/1159001.13914*100)</f>
        <v>0.34446873736141714</v>
      </c>
      <c r="E52" s="45">
        <f>IF(3517.53637="","-",3517.53637/980549.57869*100)</f>
        <v>0.35873110819132448</v>
      </c>
      <c r="F52" s="45">
        <f>IF(OR(1100674.36139="",4301.2311="",3992.39659=""),"-",(3992.39659-4301.2311)/1100674.36139*100)</f>
        <v>-2.8058663019095376E-2</v>
      </c>
      <c r="G52" s="45">
        <f>IF(OR(1159001.13914="",3517.53637="",3992.39659=""),"-",(3517.53637-3992.39659)/1159001.13914*100)</f>
        <v>-4.0971505891042946E-2</v>
      </c>
    </row>
    <row r="53" spans="1:7" ht="25.5" x14ac:dyDescent="0.25">
      <c r="A53" s="44" t="s">
        <v>279</v>
      </c>
      <c r="B53" s="45">
        <f>IF(21648.29198="","-",21648.29198)</f>
        <v>21648.291980000002</v>
      </c>
      <c r="C53" s="45">
        <f>IF(OR(27167.80074="",21648.29198=""),"-",21648.29198/27167.80074*100)</f>
        <v>79.683637947647895</v>
      </c>
      <c r="D53" s="45">
        <f>IF(27167.80074="","-",27167.80074/1159001.13914*100)</f>
        <v>2.3440702362172825</v>
      </c>
      <c r="E53" s="45">
        <f>IF(21648.29198="","-",21648.29198/980549.57869*100)</f>
        <v>2.2077712795432336</v>
      </c>
      <c r="F53" s="45">
        <f>IF(OR(1100674.36139="",31762.50692="",27167.80074=""),"-",(27167.80074-31762.50692)/1100674.36139*100)</f>
        <v>-0.41744464495361921</v>
      </c>
      <c r="G53" s="45">
        <f>IF(OR(1159001.13914="",21648.29198="",27167.80074=""),"-",(21648.29198-27167.80074)/1159001.13914*100)</f>
        <v>-0.47622979595132858</v>
      </c>
    </row>
    <row r="54" spans="1:7" ht="14.25" customHeight="1" x14ac:dyDescent="0.25">
      <c r="A54" s="44" t="s">
        <v>31</v>
      </c>
      <c r="B54" s="45">
        <f>IF(17257.01753="","-",17257.01753)</f>
        <v>17257.017530000001</v>
      </c>
      <c r="C54" s="45">
        <f>IF(OR(19807.01368="",17257.01753=""),"-",17257.01753/19807.01368*100)</f>
        <v>87.125791948259007</v>
      </c>
      <c r="D54" s="45">
        <f>IF(19807.01368="","-",19807.01368/1159001.13914*100)</f>
        <v>1.7089727534432937</v>
      </c>
      <c r="E54" s="45">
        <f>IF(17257.01753="","-",17257.01753/980549.57869*100)</f>
        <v>1.7599331951225889</v>
      </c>
      <c r="F54" s="45">
        <f>IF(OR(1100674.36139="",18268.00198="",19807.01368=""),"-",(19807.01368-18268.00198)/1100674.36139*100)</f>
        <v>0.13982443436371494</v>
      </c>
      <c r="G54" s="45">
        <f>IF(OR(1159001.13914="",17257.01753="",19807.01368=""),"-",(17257.01753-19807.01368)/1159001.13914*100)</f>
        <v>-0.22001670782585617</v>
      </c>
    </row>
    <row r="55" spans="1:7" x14ac:dyDescent="0.25">
      <c r="A55" s="44" t="s">
        <v>280</v>
      </c>
      <c r="B55" s="45">
        <f>IF(640.5326="","-",640.5326)</f>
        <v>640.5326</v>
      </c>
      <c r="C55" s="45">
        <f>IF(OR(721.82272="",640.5326=""),"-",640.5326/721.82272*100)</f>
        <v>88.738215388953122</v>
      </c>
      <c r="D55" s="45">
        <f>IF(721.82272="","-",721.82272/1159001.13914*100)</f>
        <v>6.2279724809900155E-2</v>
      </c>
      <c r="E55" s="45">
        <f>IF(640.5326="","-",640.5326/980549.57869*100)</f>
        <v>6.5323836134399474E-2</v>
      </c>
      <c r="F55" s="45">
        <f>IF(OR(1100674.36139="",922.27544="",721.82272=""),"-",(721.82272-922.27544)/1100674.36139*100)</f>
        <v>-1.8211809689730199E-2</v>
      </c>
      <c r="G55" s="45">
        <f>IF(OR(1159001.13914="",640.5326="",721.82272=""),"-",(640.5326-721.82272)/1159001.13914*100)</f>
        <v>-7.0138084644436804E-3</v>
      </c>
    </row>
    <row r="56" spans="1:7" x14ac:dyDescent="0.25">
      <c r="A56" s="44" t="s">
        <v>32</v>
      </c>
      <c r="B56" s="45">
        <f>IF(753.45003="","-",753.45003)</f>
        <v>753.45002999999997</v>
      </c>
      <c r="C56" s="45" t="s">
        <v>224</v>
      </c>
      <c r="D56" s="45">
        <f>IF(261.19462="","-",261.19462/1159001.13914*100)</f>
        <v>2.2536183199423871E-2</v>
      </c>
      <c r="E56" s="45">
        <f>IF(753.45003="","-",753.45003/980549.57869*100)</f>
        <v>7.6839564910791996E-2</v>
      </c>
      <c r="F56" s="45">
        <f>IF(OR(1100674.36139="",809.08075="",261.19462=""),"-",(261.19462-809.08075)/1100674.36139*100)</f>
        <v>-4.9777313728657707E-2</v>
      </c>
      <c r="G56" s="45">
        <f>IF(OR(1159001.13914="",753.45003="",261.19462=""),"-",(753.45003-261.19462)/1159001.13914*100)</f>
        <v>4.2472383622095697E-2</v>
      </c>
    </row>
    <row r="57" spans="1:7" x14ac:dyDescent="0.25">
      <c r="A57" s="44" t="s">
        <v>33</v>
      </c>
      <c r="B57" s="45">
        <f>IF(9221.56538="","-",9221.56538)</f>
        <v>9221.56538</v>
      </c>
      <c r="C57" s="45">
        <f>IF(OR(9467.02111="",9221.56538=""),"-",9221.56538/9467.02111*100)</f>
        <v>97.40725485717229</v>
      </c>
      <c r="D57" s="45">
        <f>IF(9467.02111="","-",9467.02111/1159001.13914*100)</f>
        <v>0.81682586757634257</v>
      </c>
      <c r="E57" s="45">
        <f>IF(9221.56538="","-",9221.56538/980549.57869*100)</f>
        <v>0.94044866067046573</v>
      </c>
      <c r="F57" s="45">
        <f>IF(OR(1100674.36139="",9998.97478="",9467.02111=""),"-",(9467.02111-9998.97478)/1100674.36139*100)</f>
        <v>-4.8329795683458701E-2</v>
      </c>
      <c r="G57" s="45">
        <f>IF(OR(1159001.13914="",9221.56538="",9467.02111=""),"-",(9221.56538-9467.02111)/1159001.13914*100)</f>
        <v>-2.1178213006945987E-2</v>
      </c>
    </row>
    <row r="58" spans="1:7" ht="15.75" customHeight="1" x14ac:dyDescent="0.25">
      <c r="A58" s="52" t="s">
        <v>281</v>
      </c>
      <c r="B58" s="40">
        <f>IF(191723.20869="","-",191723.20869)</f>
        <v>191723.20869</v>
      </c>
      <c r="C58" s="40">
        <f>IF(297069.54358="","-",191723.20869/297069.54358*100)</f>
        <v>64.538157085891058</v>
      </c>
      <c r="D58" s="40">
        <f>IF(297069.54358="","-",297069.54358/1159001.13914*100)</f>
        <v>25.631514374561444</v>
      </c>
      <c r="E58" s="40">
        <f>IF(191723.20869="","-",191723.20869/980549.57869*100)</f>
        <v>19.55262771578969</v>
      </c>
      <c r="F58" s="40">
        <f>IF(1100674.36139="","-",(297069.54358-218509.99888)/1100674.36139*100)</f>
        <v>7.1374011656626699</v>
      </c>
      <c r="G58" s="40">
        <f>IF(1159001.13914="","-",(191723.20869-297069.54358)/1159001.13914*100)</f>
        <v>-9.0894073640142317</v>
      </c>
    </row>
    <row r="59" spans="1:7" ht="25.5" x14ac:dyDescent="0.25">
      <c r="A59" s="44" t="s">
        <v>282</v>
      </c>
      <c r="B59" s="45">
        <f>IF(805.06489="","-",805.06489)</f>
        <v>805.06488999999999</v>
      </c>
      <c r="C59" s="45">
        <f>IF(OR(1493.01824="",805.06489=""),"-",805.06489/1493.01824*100)</f>
        <v>53.921972848771084</v>
      </c>
      <c r="D59" s="45">
        <f>IF(1493.01824="","-",1493.01824/1159001.13914*100)</f>
        <v>0.12881939366408618</v>
      </c>
      <c r="E59" s="45">
        <f>IF(805.06489="","-",805.06489/980549.57869*100)</f>
        <v>8.2103435409717374E-2</v>
      </c>
      <c r="F59" s="45">
        <f>IF(OR(1100674.36139="",1344.75922="",1493.01824=""),"-",(1493.01824-1344.75922)/1100674.36139*100)</f>
        <v>1.3469834966698915E-2</v>
      </c>
      <c r="G59" s="45">
        <f>IF(OR(1159001.13914="",805.06489="",1493.01824=""),"-",(805.06489-1493.01824)/1159001.13914*100)</f>
        <v>-5.9357435188586098E-2</v>
      </c>
    </row>
    <row r="60" spans="1:7" ht="25.5" x14ac:dyDescent="0.25">
      <c r="A60" s="44" t="s">
        <v>283</v>
      </c>
      <c r="B60" s="45">
        <f>IF(3314.01181="","-",3314.01181)</f>
        <v>3314.01181</v>
      </c>
      <c r="C60" s="45">
        <f>IF(OR(5473.62015="",3314.01181=""),"-",3314.01181/5473.62015*100)</f>
        <v>60.545155110918692</v>
      </c>
      <c r="D60" s="45">
        <f>IF(5473.62015="","-",5473.62015/1159001.13914*100)</f>
        <v>0.47227047197395555</v>
      </c>
      <c r="E60" s="45">
        <f>IF(3314.01181="","-",3314.01181/980549.57869*100)</f>
        <v>0.33797493589538552</v>
      </c>
      <c r="F60" s="45">
        <f>IF(OR(1100674.36139="",6013.98635="",5473.62015=""),"-",(5473.62015-6013.98635)/1100674.36139*100)</f>
        <v>-4.9094102575224188E-2</v>
      </c>
      <c r="G60" s="45">
        <f>IF(OR(1159001.13914="",3314.01181="",5473.62015=""),"-",(3314.01181-5473.62015)/1159001.13914*100)</f>
        <v>-0.18633358217425641</v>
      </c>
    </row>
    <row r="61" spans="1:7" ht="25.5" x14ac:dyDescent="0.25">
      <c r="A61" s="44" t="s">
        <v>284</v>
      </c>
      <c r="B61" s="45">
        <f>IF(1478.65343="","-",1478.65343)</f>
        <v>1478.6534300000001</v>
      </c>
      <c r="C61" s="45">
        <f>IF(OR(1024.90845="",1478.65343=""),"-",1478.65343/1024.90845*100)</f>
        <v>144.2717571506021</v>
      </c>
      <c r="D61" s="45">
        <f>IF(1024.90845="","-",1024.90845/1159001.13914*100)</f>
        <v>8.8430322921037044E-2</v>
      </c>
      <c r="E61" s="45">
        <f>IF(1478.65343="","-",1478.65343/980549.57869*100)</f>
        <v>0.15079843611533233</v>
      </c>
      <c r="F61" s="45">
        <f>IF(OR(1100674.36139="",589.05425="",1024.90845=""),"-",(1024.90845-589.05425)/1100674.36139*100)</f>
        <v>3.9598832796430006E-2</v>
      </c>
      <c r="G61" s="45">
        <f>IF(OR(1159001.13914="",1478.65343="",1024.90845=""),"-",(1478.65343-1024.90845)/1159001.13914*100)</f>
        <v>3.9149657811094751E-2</v>
      </c>
    </row>
    <row r="62" spans="1:7" ht="38.25" x14ac:dyDescent="0.25">
      <c r="A62" s="44" t="s">
        <v>285</v>
      </c>
      <c r="B62" s="45">
        <f>IF(8057.26692="","-",8057.26692)</f>
        <v>8057.26692</v>
      </c>
      <c r="C62" s="45">
        <f>IF(OR(9673.17606="",8057.26692=""),"-",8057.26692/9673.17606*100)</f>
        <v>83.294947492147685</v>
      </c>
      <c r="D62" s="45">
        <f>IF(9673.17606="","-",9673.17606/1159001.13914*100)</f>
        <v>0.83461316243206385</v>
      </c>
      <c r="E62" s="45">
        <f>IF(8057.26692="","-",8057.26692/980549.57869*100)</f>
        <v>0.82170928376353924</v>
      </c>
      <c r="F62" s="45">
        <f>IF(OR(1100674.36139="",8378.02508="",9673.17606=""),"-",(9673.17606-8378.02508)/1100674.36139*100)</f>
        <v>0.11766886060327628</v>
      </c>
      <c r="G62" s="45">
        <f>IF(OR(1159001.13914="",8057.26692="",9673.17606=""),"-",(8057.26692-9673.17606)/1159001.13914*100)</f>
        <v>-0.13942256702172301</v>
      </c>
    </row>
    <row r="63" spans="1:7" ht="25.5" x14ac:dyDescent="0.25">
      <c r="A63" s="44" t="s">
        <v>286</v>
      </c>
      <c r="B63" s="45">
        <f>IF(529.2491="","-",529.2491)</f>
        <v>529.2491</v>
      </c>
      <c r="C63" s="45">
        <f>IF(OR(373.2696="",529.2491=""),"-",529.2491/373.2696*100)</f>
        <v>141.78735691307301</v>
      </c>
      <c r="D63" s="45">
        <f>IF(373.2696="","-",373.2696/1159001.13914*100)</f>
        <v>3.2206146085151634E-2</v>
      </c>
      <c r="E63" s="45">
        <f>IF(529.2491="","-",529.2491/980549.57869*100)</f>
        <v>5.3974741461524985E-2</v>
      </c>
      <c r="F63" s="45">
        <f>IF(OR(1100674.36139="",524.56625="",373.2696=""),"-",(373.2696-524.56625)/1100674.36139*100)</f>
        <v>-1.3745813957993274E-2</v>
      </c>
      <c r="G63" s="45">
        <f>IF(OR(1159001.13914="",529.2491="",373.2696=""),"-",(529.2491-373.2696)/1159001.13914*100)</f>
        <v>1.3458097212548006E-2</v>
      </c>
    </row>
    <row r="64" spans="1:7" ht="38.25" x14ac:dyDescent="0.25">
      <c r="A64" s="44" t="s">
        <v>287</v>
      </c>
      <c r="B64" s="45">
        <f>IF(911.90034="","-",911.90034)</f>
        <v>911.90034000000003</v>
      </c>
      <c r="C64" s="45">
        <f>IF(OR(1571.2622="",911.90034=""),"-",911.90034/1571.2622*100)</f>
        <v>58.036166083547357</v>
      </c>
      <c r="D64" s="45">
        <f>IF(1571.2622="","-",1571.2622/1159001.13914*100)</f>
        <v>0.13557037581221923</v>
      </c>
      <c r="E64" s="45">
        <f>IF(911.90034="","-",911.90034/980549.57869*100)</f>
        <v>9.2998901821801372E-2</v>
      </c>
      <c r="F64" s="45">
        <f>IF(OR(1100674.36139="",2041.73926="",1571.2622=""),"-",(1571.2622-2041.73926)/1100674.36139*100)</f>
        <v>-4.2744437092715824E-2</v>
      </c>
      <c r="G64" s="45">
        <f>IF(OR(1159001.13914="",911.90034="",1571.2622=""),"-",(911.90034-1571.2622)/1159001.13914*100)</f>
        <v>-5.6890527345750355E-2</v>
      </c>
    </row>
    <row r="65" spans="1:7" ht="51" x14ac:dyDescent="0.25">
      <c r="A65" s="44" t="s">
        <v>288</v>
      </c>
      <c r="B65" s="45">
        <f>IF(166911.55772="","-",166911.55772)</f>
        <v>166911.55772000001</v>
      </c>
      <c r="C65" s="45">
        <f>IF(OR(263693.20947="",166911.55772=""),"-",166911.55772/263693.20947*100)</f>
        <v>63.29763214436862</v>
      </c>
      <c r="D65" s="45">
        <f>IF(263693.20947="","-",263693.20947/1159001.13914*100)</f>
        <v>22.75176447761433</v>
      </c>
      <c r="E65" s="45">
        <f>IF(166911.55772="","-",166911.55772/980549.57869*100)</f>
        <v>17.022245620970175</v>
      </c>
      <c r="F65" s="45">
        <f>IF(OR(1100674.36139="",191597.432="",263693.20947=""),"-",(263693.20947-191597.432)/1100674.36139*100)</f>
        <v>6.5501459831364626</v>
      </c>
      <c r="G65" s="45">
        <f>IF(OR(1159001.13914="",166911.55772="",263693.20947=""),"-",(166911.55772-263693.20947)/1159001.13914*100)</f>
        <v>-8.3504362922208806</v>
      </c>
    </row>
    <row r="66" spans="1:7" ht="25.5" x14ac:dyDescent="0.25">
      <c r="A66" s="44" t="s">
        <v>289</v>
      </c>
      <c r="B66" s="45">
        <f>IF(9577.18689="","-",9577.18689)</f>
        <v>9577.1868900000009</v>
      </c>
      <c r="C66" s="45">
        <f>IF(OR(11023.13222="",9577.18689=""),"-",9577.18689/11023.13222*100)</f>
        <v>86.88262735906838</v>
      </c>
      <c r="D66" s="45">
        <f>IF(11023.13222="","-",11023.13222/1159001.13914*100)</f>
        <v>0.95108898928083563</v>
      </c>
      <c r="E66" s="45">
        <f>IF(9577.18689="","-",9577.18689/980549.57869*100)</f>
        <v>0.97671623119709905</v>
      </c>
      <c r="F66" s="45">
        <f>IF(OR(1100674.36139="",7899.0553="",11023.13222=""),"-",(11023.13222-7899.0553)/1100674.36139*100)</f>
        <v>0.2838329872656179</v>
      </c>
      <c r="G66" s="45">
        <f>IF(OR(1159001.13914="",9577.18689="",11023.13222=""),"-",(9577.18689-11023.13222)/1159001.13914*100)</f>
        <v>-0.12475788687083744</v>
      </c>
    </row>
    <row r="67" spans="1:7" x14ac:dyDescent="0.25">
      <c r="A67" s="44" t="s">
        <v>34</v>
      </c>
      <c r="B67" s="45">
        <f>IF(138.31759="","-",138.31759)</f>
        <v>138.31759</v>
      </c>
      <c r="C67" s="45">
        <f>IF(OR(2743.94719="",138.31759=""),"-",138.31759/2743.94719*100)</f>
        <v>5.0408255123889614</v>
      </c>
      <c r="D67" s="45">
        <f>IF(2743.94719="","-",2743.94719/1159001.13914*100)</f>
        <v>0.23675103477776202</v>
      </c>
      <c r="E67" s="45">
        <f>IF(138.31759="","-",138.31759/980549.57869*100)</f>
        <v>1.4106129155120365E-2</v>
      </c>
      <c r="F67" s="45">
        <f>IF(OR(1100674.36139="",121.38117="",2743.94719=""),"-",(2743.94719-121.38117)/1100674.36139*100)</f>
        <v>0.23826902052011645</v>
      </c>
      <c r="G67" s="45">
        <f>IF(OR(1159001.13914="",138.31759="",2743.94719=""),"-",(138.31759-2743.94719)/1159001.13914*100)</f>
        <v>-0.22481682821583973</v>
      </c>
    </row>
    <row r="68" spans="1:7" x14ac:dyDescent="0.25">
      <c r="A68" s="52" t="s">
        <v>35</v>
      </c>
      <c r="B68" s="40">
        <f>IF(178238.72194="","-",178238.72194)</f>
        <v>178238.72193999999</v>
      </c>
      <c r="C68" s="40">
        <f>IF(234425.12197="","-",178238.72194/234425.12197*100)</f>
        <v>76.03226157766899</v>
      </c>
      <c r="D68" s="40">
        <f>IF(234425.12197="","-",234425.12197/1159001.13914*100)</f>
        <v>20.226478995866017</v>
      </c>
      <c r="E68" s="40">
        <f>IF(178238.72194="","-",178238.72194/980549.57869*100)</f>
        <v>18.177430883007908</v>
      </c>
      <c r="F68" s="40">
        <f>IF(1100674.36139="","-",(234425.12197-252869.39825)/1100674.36139*100)</f>
        <v>-1.6757250760985669</v>
      </c>
      <c r="G68" s="40">
        <f>IF(1159001.13914="","-",(178238.72194-234425.12197)/1159001.13914*100)</f>
        <v>-4.8478295777768903</v>
      </c>
    </row>
    <row r="69" spans="1:7" ht="38.25" x14ac:dyDescent="0.25">
      <c r="A69" s="44" t="s">
        <v>290</v>
      </c>
      <c r="B69" s="45">
        <f>IF(4051.68481="","-",4051.68481)</f>
        <v>4051.6848100000002</v>
      </c>
      <c r="C69" s="45">
        <f>IF(OR(3477.76051="",4051.68481=""),"-",4051.68481/3477.76051*100)</f>
        <v>116.50269759374548</v>
      </c>
      <c r="D69" s="45">
        <f>IF(3477.76051="","-",3477.76051/1159001.13914*100)</f>
        <v>0.30006532285037801</v>
      </c>
      <c r="E69" s="45">
        <f>IF(4051.68481="","-",4051.68481/980549.57869*100)</f>
        <v>0.41320550210352369</v>
      </c>
      <c r="F69" s="45">
        <f>IF(OR(1100674.36139="",3133.25859="",3477.76051=""),"-",(3477.76051-3133.25859)/1100674.36139*100)</f>
        <v>3.1299168226735265E-2</v>
      </c>
      <c r="G69" s="45">
        <f>IF(OR(1159001.13914="",4051.68481="",3477.76051=""),"-",(4051.68481-3477.76051)/1159001.13914*100)</f>
        <v>4.9518872813693902E-2</v>
      </c>
    </row>
    <row r="70" spans="1:7" x14ac:dyDescent="0.25">
      <c r="A70" s="44" t="s">
        <v>291</v>
      </c>
      <c r="B70" s="45">
        <f>IF(41390.42412="","-",41390.42412)</f>
        <v>41390.424120000003</v>
      </c>
      <c r="C70" s="45">
        <f>IF(OR(59668.02346="",41390.42412=""),"-",41390.42412/59668.02346*100)</f>
        <v>69.367848505568716</v>
      </c>
      <c r="D70" s="45">
        <f>IF(59668.02346="","-",59668.02346/1159001.13914*100)</f>
        <v>5.1482281979700861</v>
      </c>
      <c r="E70" s="45">
        <f>IF(41390.42412="","-",41390.42412/980549.57869*100)</f>
        <v>4.2211454697983761</v>
      </c>
      <c r="F70" s="45">
        <f>IF(OR(1100674.36139="",66260.03676="",59668.02346=""),"-",(59668.02346-66260.03676)/1100674.36139*100)</f>
        <v>-0.5989067730872919</v>
      </c>
      <c r="G70" s="45">
        <f>IF(OR(1159001.13914="",41390.42412="",59668.02346=""),"-",(41390.42412-59668.02346)/1159001.13914*100)</f>
        <v>-1.5770130608812261</v>
      </c>
    </row>
    <row r="71" spans="1:7" x14ac:dyDescent="0.25">
      <c r="A71" s="44" t="s">
        <v>292</v>
      </c>
      <c r="B71" s="45">
        <f>IF(4714.32388="","-",4714.32388)</f>
        <v>4714.3238799999999</v>
      </c>
      <c r="C71" s="45">
        <f>IF(OR(5135.09427="",4714.32388=""),"-",4714.32388/5135.09427*100)</f>
        <v>91.805985092460645</v>
      </c>
      <c r="D71" s="45">
        <f>IF(5135.09427="","-",5135.09427/1159001.13914*100)</f>
        <v>0.44306205547048322</v>
      </c>
      <c r="E71" s="45">
        <f>IF(4714.32388="","-",4714.32388/980549.57869*100)</f>
        <v>0.48078383617259496</v>
      </c>
      <c r="F71" s="45">
        <f>IF(OR(1100674.36139="",7175.82905="",5135.09427=""),"-",(5135.09427-7175.82905)/1100674.36139*100)</f>
        <v>-0.18540767838208153</v>
      </c>
      <c r="G71" s="45">
        <f>IF(OR(1159001.13914="",4714.32388="",5135.09427=""),"-",(4714.32388-5135.09427)/1159001.13914*100)</f>
        <v>-3.6304570874901729E-2</v>
      </c>
    </row>
    <row r="72" spans="1:7" x14ac:dyDescent="0.25">
      <c r="A72" s="44" t="s">
        <v>293</v>
      </c>
      <c r="B72" s="45">
        <f>IF(84245.63154="","-",84245.63154)</f>
        <v>84245.631540000002</v>
      </c>
      <c r="C72" s="45">
        <f>IF(OR(115043.66765="",84245.63154=""),"-",84245.63154/115043.66765*100)</f>
        <v>73.229264383592522</v>
      </c>
      <c r="D72" s="45">
        <f>IF(115043.66765="","-",115043.66765/1159001.13914*100)</f>
        <v>9.9261047953209509</v>
      </c>
      <c r="E72" s="45">
        <f>IF(84245.63154="","-",84245.63154/980549.57869*100)</f>
        <v>8.5916748495829189</v>
      </c>
      <c r="F72" s="45">
        <f>IF(OR(1100674.36139="",127664.40857="",115043.66765=""),"-",(115043.66765-127664.40857)/1100674.36139*100)</f>
        <v>-1.1466371310822341</v>
      </c>
      <c r="G72" s="45">
        <f>IF(OR(1159001.13914="",84245.63154="",115043.66765=""),"-",(84245.63154-115043.66765)/1159001.13914*100)</f>
        <v>-2.6572912717629169</v>
      </c>
    </row>
    <row r="73" spans="1:7" x14ac:dyDescent="0.25">
      <c r="A73" s="44" t="s">
        <v>294</v>
      </c>
      <c r="B73" s="45">
        <f>IF(12625.65053="","-",12625.65053)</f>
        <v>12625.650530000001</v>
      </c>
      <c r="C73" s="45">
        <f>IF(OR(14051.50732="",12625.65053=""),"-",12625.65053/14051.50732*100)</f>
        <v>89.852641730680887</v>
      </c>
      <c r="D73" s="45">
        <f>IF(14051.50732="","-",14051.50732/1159001.13914*100)</f>
        <v>1.2123808032170249</v>
      </c>
      <c r="E73" s="45">
        <f>IF(12625.65053="","-",12625.65053/980549.57869*100)</f>
        <v>1.2876096022464958</v>
      </c>
      <c r="F73" s="45">
        <f>IF(OR(1100674.36139="",15707.29051="",14051.50732=""),"-",(14051.50732-15707.29051)/1100674.36139*100)</f>
        <v>-0.1504335204018902</v>
      </c>
      <c r="G73" s="45">
        <f>IF(OR(1159001.13914="",12625.65053="",14051.50732=""),"-",(12625.65053-14051.50732)/1159001.13914*100)</f>
        <v>-0.1230246236908802</v>
      </c>
    </row>
    <row r="74" spans="1:7" ht="25.5" x14ac:dyDescent="0.25">
      <c r="A74" s="44" t="s">
        <v>295</v>
      </c>
      <c r="B74" s="45">
        <f>IF(6981.83718="","-",6981.83718)</f>
        <v>6981.8371800000004</v>
      </c>
      <c r="C74" s="45">
        <f>IF(OR(9030.14225="",6981.83718=""),"-",6981.83718/9030.14225*100)</f>
        <v>77.317023217436017</v>
      </c>
      <c r="D74" s="45">
        <f>IF(9030.14225="","-",9030.14225/1159001.13914*100)</f>
        <v>0.77913143870596457</v>
      </c>
      <c r="E74" s="45">
        <f>IF(6981.83718="","-",6981.83718/980549.57869*100)</f>
        <v>0.71203306102355712</v>
      </c>
      <c r="F74" s="45">
        <f>IF(OR(1100674.36139="",10686.68518="",9030.14225=""),"-",(9030.14225-10686.68518)/1100674.36139*100)</f>
        <v>-0.15050254535846683</v>
      </c>
      <c r="G74" s="45">
        <f>IF(OR(1159001.13914="",6981.83718="",9030.14225=""),"-",(6981.83718-9030.14225)/1159001.13914*100)</f>
        <v>-0.17673020334733061</v>
      </c>
    </row>
    <row r="75" spans="1:7" ht="25.5" x14ac:dyDescent="0.25">
      <c r="A75" s="44" t="s">
        <v>296</v>
      </c>
      <c r="B75" s="45">
        <f>IF(1242.47283="","-",1242.47283)</f>
        <v>1242.4728299999999</v>
      </c>
      <c r="C75" s="45">
        <f>IF(OR(1658.35711="",1242.47283=""),"-",1242.47283/1658.35711*100)</f>
        <v>74.92191051660761</v>
      </c>
      <c r="D75" s="45">
        <f>IF(1658.35711="","-",1658.35711/1159001.13914*100)</f>
        <v>0.14308502847810237</v>
      </c>
      <c r="E75" s="45">
        <f>IF(1242.47283="","-",1242.47283/980549.57869*100)</f>
        <v>0.12671188249960044</v>
      </c>
      <c r="F75" s="45">
        <f>IF(OR(1100674.36139="",1348.66923="",1658.35711=""),"-",(1658.35711-1348.66923)/1100674.36139*100)</f>
        <v>2.8136194578831365E-2</v>
      </c>
      <c r="G75" s="45">
        <f>IF(OR(1159001.13914="",1242.47283="",1658.35711=""),"-",(1242.47283-1658.35711)/1159001.13914*100)</f>
        <v>-3.5882991479075997E-2</v>
      </c>
    </row>
    <row r="76" spans="1:7" x14ac:dyDescent="0.25">
      <c r="A76" s="56" t="s">
        <v>36</v>
      </c>
      <c r="B76" s="45">
        <f>IF(22986.69705="","-",22986.69705)</f>
        <v>22986.697049999999</v>
      </c>
      <c r="C76" s="45">
        <f>IF(OR(26360.5694="",22986.69705=""),"-",22986.69705/26360.5694*100)</f>
        <v>87.201064215251733</v>
      </c>
      <c r="D76" s="45">
        <f>IF(26360.5694="","-",26360.5694/1159001.13914*100)</f>
        <v>2.2744213538530276</v>
      </c>
      <c r="E76" s="45">
        <f>IF(22986.69705="","-",22986.69705/980549.57869*100)</f>
        <v>2.344266679580842</v>
      </c>
      <c r="F76" s="45">
        <f>IF(OR(1100674.36139="",20893.22036="",26360.5694=""),"-",(26360.5694-20893.22036)/1100674.36139*100)</f>
        <v>0.49672720940782999</v>
      </c>
      <c r="G76" s="45">
        <f>IF(OR(1159001.13914="",22986.69705="",26360.5694=""),"-",(22986.69705-26360.5694)/1159001.13914*100)</f>
        <v>-0.29110172855425109</v>
      </c>
    </row>
    <row r="77" spans="1:7" ht="25.5" x14ac:dyDescent="0.25">
      <c r="A77" s="53" t="s">
        <v>297</v>
      </c>
      <c r="B77" s="54">
        <f>IF(187.21487="","-",187.21487)</f>
        <v>187.21486999999999</v>
      </c>
      <c r="C77" s="54">
        <f>IF(398.42143="","-",187.21487/398.42143*100)</f>
        <v>46.989156682661374</v>
      </c>
      <c r="D77" s="54">
        <f>IF(398.42143="","-",398.42143/1159001.13914*100)</f>
        <v>3.4376275962561688E-2</v>
      </c>
      <c r="E77" s="54">
        <f>IF(187.21487="","-",187.21487/980549.57869*100)</f>
        <v>1.9092850995878898E-2</v>
      </c>
      <c r="F77" s="54">
        <f>IF(1100674.36139="","-",(398.42143-436.55828)/1100674.36139*100)</f>
        <v>-3.4648622097309921E-3</v>
      </c>
      <c r="G77" s="54">
        <f>IF(1159001.13914="","-",(187.21487-398.42143)/1159001.13914*100)</f>
        <v>-1.8223153788849519E-2</v>
      </c>
    </row>
    <row r="78" spans="1:7" x14ac:dyDescent="0.25">
      <c r="A78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sqref="A1:G1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2" t="s">
        <v>169</v>
      </c>
      <c r="B1" s="92"/>
      <c r="C1" s="92"/>
      <c r="D1" s="92"/>
      <c r="E1" s="92"/>
      <c r="F1" s="92"/>
      <c r="G1" s="92"/>
    </row>
    <row r="2" spans="1:7" x14ac:dyDescent="0.25">
      <c r="A2" s="92" t="s">
        <v>23</v>
      </c>
      <c r="B2" s="92"/>
      <c r="C2" s="92"/>
      <c r="D2" s="92"/>
      <c r="E2" s="92"/>
      <c r="F2" s="92"/>
      <c r="G2" s="92"/>
    </row>
    <row r="3" spans="1:7" x14ac:dyDescent="0.25">
      <c r="A3" s="5"/>
    </row>
    <row r="4" spans="1:7" ht="57" customHeight="1" x14ac:dyDescent="0.25">
      <c r="A4" s="100"/>
      <c r="B4" s="103" t="s">
        <v>193</v>
      </c>
      <c r="C4" s="98"/>
      <c r="D4" s="103" t="s">
        <v>0</v>
      </c>
      <c r="E4" s="98"/>
      <c r="F4" s="95" t="s">
        <v>123</v>
      </c>
      <c r="G4" s="104"/>
    </row>
    <row r="5" spans="1:7" ht="26.25" customHeight="1" x14ac:dyDescent="0.25">
      <c r="A5" s="101"/>
      <c r="B5" s="105" t="s">
        <v>114</v>
      </c>
      <c r="C5" s="93" t="s">
        <v>194</v>
      </c>
      <c r="D5" s="107" t="s">
        <v>195</v>
      </c>
      <c r="E5" s="107"/>
      <c r="F5" s="107" t="s">
        <v>195</v>
      </c>
      <c r="G5" s="103"/>
    </row>
    <row r="6" spans="1:7" ht="26.25" customHeight="1" x14ac:dyDescent="0.25">
      <c r="A6" s="102"/>
      <c r="B6" s="106"/>
      <c r="C6" s="94"/>
      <c r="D6" s="24">
        <v>2019</v>
      </c>
      <c r="E6" s="24">
        <v>2020</v>
      </c>
      <c r="F6" s="24" t="s">
        <v>125</v>
      </c>
      <c r="G6" s="20" t="s">
        <v>145</v>
      </c>
    </row>
    <row r="7" spans="1:7" x14ac:dyDescent="0.25">
      <c r="A7" s="41" t="s">
        <v>136</v>
      </c>
      <c r="B7" s="39">
        <f>IF(1980083.42341="","-",1980083.42341)</f>
        <v>1980083.42341</v>
      </c>
      <c r="C7" s="39">
        <f>IF(2362843.47408="","-",1980083.42341/2362843.47408*100)</f>
        <v>83.800871497887428</v>
      </c>
      <c r="D7" s="39">
        <v>100</v>
      </c>
      <c r="E7" s="39">
        <v>100</v>
      </c>
      <c r="F7" s="39">
        <f>IF(2276206.61995="","-",(2362843.47408-2276206.61995)/2276206.61995*100)</f>
        <v>3.806194629725792</v>
      </c>
      <c r="G7" s="39">
        <f>IF(2362843.47408="","-",(1980083.42341-2362843.47408)/2362843.47408*100)</f>
        <v>-16.199128502112568</v>
      </c>
    </row>
    <row r="8" spans="1:7" ht="12" customHeight="1" x14ac:dyDescent="0.25">
      <c r="A8" s="42" t="s">
        <v>142</v>
      </c>
      <c r="B8" s="36"/>
      <c r="C8" s="36"/>
      <c r="D8" s="36"/>
      <c r="E8" s="36"/>
      <c r="F8" s="36"/>
      <c r="G8" s="36"/>
    </row>
    <row r="9" spans="1:7" x14ac:dyDescent="0.25">
      <c r="A9" s="52" t="s">
        <v>298</v>
      </c>
      <c r="B9" s="40">
        <f>IF(271274.6088="","-",271274.6088)</f>
        <v>271274.60879999999</v>
      </c>
      <c r="C9" s="40">
        <f>IF(258102.22142="","-",271274.6088/258102.22142*100)</f>
        <v>105.10355443960518</v>
      </c>
      <c r="D9" s="40">
        <f>IF(258102.22142="","-",258102.22142/2362843.47408*100)</f>
        <v>10.923373649221306</v>
      </c>
      <c r="E9" s="40">
        <f>IF(271274.6088="","-",271274.6088/1980083.42341*100)</f>
        <v>13.700160588831379</v>
      </c>
      <c r="F9" s="40">
        <f>IF(2276206.61995="","-",(258102.22142-243915.86662)/2276206.61995*100)</f>
        <v>0.62324547673583441</v>
      </c>
      <c r="G9" s="40">
        <f>IF(2362843.47408="","-",(271274.6088-258102.22142)/2362843.47408*100)</f>
        <v>0.55748032082949628</v>
      </c>
    </row>
    <row r="10" spans="1:7" ht="14.25" customHeight="1" x14ac:dyDescent="0.25">
      <c r="A10" s="44" t="s">
        <v>24</v>
      </c>
      <c r="B10" s="45">
        <f>IF(3176.2409="","-",3176.2409)</f>
        <v>3176.2408999999998</v>
      </c>
      <c r="C10" s="45">
        <f>IF(OR(2136.57268="",3176.2409=""),"-",3176.2409/2136.57268*100)</f>
        <v>148.66055949007077</v>
      </c>
      <c r="D10" s="45">
        <f>IF(2136.57268="","-",2136.57268/2362843.47408*100)</f>
        <v>9.0423792495687813E-2</v>
      </c>
      <c r="E10" s="45">
        <f>IF(3176.2409="","-",3176.2409/1980083.42341*100)</f>
        <v>0.16040944853374095</v>
      </c>
      <c r="F10" s="45">
        <f>IF(OR(2276206.61995="",2322.50528="",2136.57268=""),"-",(2136.57268-2322.50528)/2276206.61995*100)</f>
        <v>-8.168529094431852E-3</v>
      </c>
      <c r="G10" s="45">
        <f>IF(OR(2362843.47408="",3176.2409="",2136.57268=""),"-",(3176.2409-2136.57268)/2362843.47408*100)</f>
        <v>4.4000723340542315E-2</v>
      </c>
    </row>
    <row r="11" spans="1:7" s="9" customFormat="1" x14ac:dyDescent="0.25">
      <c r="A11" s="44" t="s">
        <v>299</v>
      </c>
      <c r="B11" s="45">
        <f>IF(14650.46059="","-",14650.46059)</f>
        <v>14650.460590000001</v>
      </c>
      <c r="C11" s="45">
        <f>IF(OR(17557.57685="",14650.46059=""),"-",14650.46059/17557.57685*100)</f>
        <v>83.44238339472227</v>
      </c>
      <c r="D11" s="45">
        <f>IF(17557.57685="","-",17557.57685/2362843.47408*100)</f>
        <v>0.74306982424370038</v>
      </c>
      <c r="E11" s="45">
        <f>IF(14650.46059="","-",14650.46059/1980083.42341*100)</f>
        <v>0.73989107816324795</v>
      </c>
      <c r="F11" s="45">
        <f>IF(OR(2276206.61995="",15785.60207="",17557.57685=""),"-",(17557.57685-15785.60207)/2276206.61995*100)</f>
        <v>7.7847712262559196E-2</v>
      </c>
      <c r="G11" s="45">
        <f>IF(OR(2362843.47408="",14650.46059="",17557.57685=""),"-",(14650.46059-17557.57685)/2362843.47408*100)</f>
        <v>-0.12303465260778305</v>
      </c>
    </row>
    <row r="12" spans="1:7" s="9" customFormat="1" x14ac:dyDescent="0.25">
      <c r="A12" s="44" t="s">
        <v>300</v>
      </c>
      <c r="B12" s="45">
        <f>IF(32770.64762="","-",32770.64762)</f>
        <v>32770.647620000003</v>
      </c>
      <c r="C12" s="45">
        <f>IF(OR(25498.20543="",32770.64762=""),"-",32770.64762/25498.20543*100)</f>
        <v>128.52138833834786</v>
      </c>
      <c r="D12" s="45">
        <f>IF(25498.20543="","-",25498.20543/2362843.47408*100)</f>
        <v>1.0791322281696218</v>
      </c>
      <c r="E12" s="45">
        <f>IF(32770.64762="","-",32770.64762/1980083.42341*100)</f>
        <v>1.6550134823897493</v>
      </c>
      <c r="F12" s="45">
        <f>IF(OR(2276206.61995="",23218.63233="",25498.20543=""),"-",(25498.20543-23218.63233)/2276206.61995*100)</f>
        <v>0.10014789870218703</v>
      </c>
      <c r="G12" s="45">
        <f>IF(OR(2362843.47408="",32770.64762="",25498.20543=""),"-",(32770.64762-25498.20543)/2362843.47408*100)</f>
        <v>0.30778349348052392</v>
      </c>
    </row>
    <row r="13" spans="1:7" s="9" customFormat="1" x14ac:dyDescent="0.25">
      <c r="A13" s="44" t="s">
        <v>301</v>
      </c>
      <c r="B13" s="45">
        <f>IF(22025.0635699999="","-",22025.0635699999)</f>
        <v>22025.0635699999</v>
      </c>
      <c r="C13" s="45">
        <f>IF(OR(21632.92878="",22025.0635699999=""),"-",22025.0635699999/21632.92878*100)</f>
        <v>101.81267545410881</v>
      </c>
      <c r="D13" s="45">
        <f>IF(21632.92878="","-",21632.92878/2362843.47408*100)</f>
        <v>0.91554641758159727</v>
      </c>
      <c r="E13" s="45">
        <f>IF(22025.0635699999="","-",22025.0635699999/1980083.42341*100)</f>
        <v>1.1123300821371176</v>
      </c>
      <c r="F13" s="45">
        <f>IF(OR(2276206.61995="",20408.65436="",21632.92878=""),"-",(21632.92878-20408.65436)/2276206.61995*100)</f>
        <v>5.3785733213748875E-2</v>
      </c>
      <c r="G13" s="45">
        <f>IF(OR(2362843.47408="",22025.0635699999="",21632.92878=""),"-",(22025.0635699999-21632.92878)/2362843.47408*100)</f>
        <v>1.6595885182474221E-2</v>
      </c>
    </row>
    <row r="14" spans="1:7" s="9" customFormat="1" x14ac:dyDescent="0.25">
      <c r="A14" s="44" t="s">
        <v>302</v>
      </c>
      <c r="B14" s="45">
        <f>IF(45101.08169="","-",45101.08169)</f>
        <v>45101.081689999999</v>
      </c>
      <c r="C14" s="45">
        <f>IF(OR(39441.26775="",45101.08169=""),"-",45101.08169/39441.26775*100)</f>
        <v>114.34997976199688</v>
      </c>
      <c r="D14" s="45">
        <f>IF(39441.26775="","-",39441.26775/2362843.47408*100)</f>
        <v>1.6692289685145947</v>
      </c>
      <c r="E14" s="45">
        <f>IF(45101.08169="","-",45101.08169/1980083.42341*100)</f>
        <v>2.2777364406358793</v>
      </c>
      <c r="F14" s="45">
        <f>IF(OR(2276206.61995="",36800.05019="",39441.26775=""),"-",(39441.26775-36800.05019)/2276206.61995*100)</f>
        <v>0.11603593174937762</v>
      </c>
      <c r="G14" s="45">
        <f>IF(OR(2362843.47408="",45101.08169="",39441.26775=""),"-",(45101.08169-39441.26775)/2362843.47408*100)</f>
        <v>0.23953401916323352</v>
      </c>
    </row>
    <row r="15" spans="1:7" s="9" customFormat="1" x14ac:dyDescent="0.25">
      <c r="A15" s="44" t="s">
        <v>303</v>
      </c>
      <c r="B15" s="45">
        <f>IF(79642.71067="","-",79642.71067)</f>
        <v>79642.71067</v>
      </c>
      <c r="C15" s="45">
        <f>IF(OR(82147.33764="",79642.71067=""),"-",79642.71067/82147.33764*100)</f>
        <v>96.95105521133722</v>
      </c>
      <c r="D15" s="45">
        <f>IF(82147.33764="","-",82147.33764/2362843.47408*100)</f>
        <v>3.4766305318630972</v>
      </c>
      <c r="E15" s="45">
        <f>IF(79642.71067="","-",79642.71067/1980083.42341*100)</f>
        <v>4.0221896576884282</v>
      </c>
      <c r="F15" s="45">
        <f>IF(OR(2276206.61995="",75316.37353="",82147.33764=""),"-",(82147.33764-75316.37353)/2276206.61995*100)</f>
        <v>0.30010298933890506</v>
      </c>
      <c r="G15" s="45">
        <f>IF(OR(2362843.47408="",79642.71067="",82147.33764=""),"-",(79642.71067-82147.33764)/2362843.47408*100)</f>
        <v>-0.10600054542229896</v>
      </c>
    </row>
    <row r="16" spans="1:7" s="9" customFormat="1" ht="14.25" customHeight="1" x14ac:dyDescent="0.25">
      <c r="A16" s="44" t="s">
        <v>248</v>
      </c>
      <c r="B16" s="45">
        <f>IF(7761.51157="","-",7761.51157)</f>
        <v>7761.5115699999997</v>
      </c>
      <c r="C16" s="45">
        <f>IF(OR(6888.87857="",7761.51157=""),"-",7761.51157/6888.87857*100)</f>
        <v>112.66727220015433</v>
      </c>
      <c r="D16" s="45">
        <f>IF(6888.87857="","-",6888.87857/2362843.47408*100)</f>
        <v>0.29155035640616284</v>
      </c>
      <c r="E16" s="45">
        <f>IF(7761.51157="","-",7761.51157/1980083.42341*100)</f>
        <v>0.39197901857253642</v>
      </c>
      <c r="F16" s="45">
        <f>IF(OR(2276206.61995="",7261.36887="",6888.87857=""),"-",(6888.87857-7261.36887)/2276206.61995*100)</f>
        <v>-1.6364520546389705E-2</v>
      </c>
      <c r="G16" s="45">
        <f>IF(OR(2362843.47408="",7761.51157="",6888.87857=""),"-",(7761.51157-6888.87857)/2362843.47408*100)</f>
        <v>3.6931477246488764E-2</v>
      </c>
    </row>
    <row r="17" spans="1:7" s="9" customFormat="1" ht="25.5" x14ac:dyDescent="0.25">
      <c r="A17" s="44" t="s">
        <v>304</v>
      </c>
      <c r="B17" s="45">
        <f>IF(19847.25109="","-",19847.25109)</f>
        <v>19847.251090000002</v>
      </c>
      <c r="C17" s="45">
        <f>IF(OR(20300.94035="",19847.25109=""),"-",19847.25109/20300.94035*100)</f>
        <v>97.765181059703963</v>
      </c>
      <c r="D17" s="45">
        <f>IF(20300.94035="","-",20300.94035/2362843.47408*100)</f>
        <v>0.85917415066626046</v>
      </c>
      <c r="E17" s="45">
        <f>IF(19847.25109="","-",19847.25109/1980083.42341*100)</f>
        <v>1.0023441868838063</v>
      </c>
      <c r="F17" s="45">
        <f>IF(OR(2276206.61995="",19932.12101="",20300.94035=""),"-",(20300.94035-19932.12101)/2276206.61995*100)</f>
        <v>1.6203245204870875E-2</v>
      </c>
      <c r="G17" s="45">
        <f>IF(OR(2362843.47408="",19847.25109="",20300.94035=""),"-",(19847.25109-20300.94035)/2362843.47408*100)</f>
        <v>-1.9200986649217138E-2</v>
      </c>
    </row>
    <row r="18" spans="1:7" s="9" customFormat="1" ht="25.5" x14ac:dyDescent="0.25">
      <c r="A18" s="44" t="s">
        <v>250</v>
      </c>
      <c r="B18" s="45">
        <f>IF(14911.60271="","-",14911.60271)</f>
        <v>14911.602709999999</v>
      </c>
      <c r="C18" s="45">
        <f>IF(OR(13765.99812="",14911.60271=""),"-",14911.60271/13765.99812*100)</f>
        <v>108.32198711647069</v>
      </c>
      <c r="D18" s="45">
        <f>IF(13765.99812="","-",13765.99812/2362843.47408*100)</f>
        <v>0.58260304886932679</v>
      </c>
      <c r="E18" s="45">
        <f>IF(14911.60271="","-",14911.60271/1980083.42341*100)</f>
        <v>0.75307951845382293</v>
      </c>
      <c r="F18" s="45">
        <f>IF(OR(2276206.61995="",15594.05306="",13765.99812=""),"-",(13765.99812-15594.05306)/2276206.61995*100)</f>
        <v>-8.0311467508171808E-2</v>
      </c>
      <c r="G18" s="45">
        <f>IF(OR(2362843.47408="",14911.60271="",13765.99812=""),"-",(14911.60271-13765.99812)/2362843.47408*100)</f>
        <v>4.8484150667070874E-2</v>
      </c>
    </row>
    <row r="19" spans="1:7" s="9" customFormat="1" x14ac:dyDescent="0.25">
      <c r="A19" s="44" t="s">
        <v>305</v>
      </c>
      <c r="B19" s="45">
        <f>IF(31388.03839="","-",31388.03839)</f>
        <v>31388.038390000002</v>
      </c>
      <c r="C19" s="45">
        <f>IF(OR(28732.51525="",31388.03839=""),"-",31388.03839/28732.51525*100)</f>
        <v>109.24222302466194</v>
      </c>
      <c r="D19" s="45">
        <f>IF(28732.51525="","-",28732.51525/2362843.47408*100)</f>
        <v>1.2160143304112572</v>
      </c>
      <c r="E19" s="45">
        <f>IF(31388.03839="","-",31388.03839/1980083.42341*100)</f>
        <v>1.5851876753730458</v>
      </c>
      <c r="F19" s="45">
        <f>IF(OR(2276206.61995="",27276.50592="",28732.51525=""),"-",(28732.51525-27276.50592)/2276206.61995*100)</f>
        <v>6.3966483413179065E-2</v>
      </c>
      <c r="G19" s="45">
        <f>IF(OR(2362843.47408="",31388.03839="",28732.51525=""),"-",(31388.03839-28732.51525)/2362843.47408*100)</f>
        <v>0.11238675642845784</v>
      </c>
    </row>
    <row r="20" spans="1:7" s="9" customFormat="1" x14ac:dyDescent="0.25">
      <c r="A20" s="52" t="s">
        <v>306</v>
      </c>
      <c r="B20" s="40">
        <f>IF(38718.76781="","-",38718.76781)</f>
        <v>38718.767809999998</v>
      </c>
      <c r="C20" s="40">
        <f>IF(44283.92714="","-",38718.76781/44283.92714*100)</f>
        <v>87.433004050417196</v>
      </c>
      <c r="D20" s="40">
        <f>IF(44283.92714="","-",44283.92714/2362843.47408*100)</f>
        <v>1.8741794632521076</v>
      </c>
      <c r="E20" s="40">
        <f>IF(38718.76781="","-",38718.76781/1980083.42341*100)</f>
        <v>1.9554109363392622</v>
      </c>
      <c r="F20" s="40">
        <f>IF(2276206.61995="","-",(44283.92714-36814.41113)/2276206.61995*100)</f>
        <v>0.32815632572776182</v>
      </c>
      <c r="G20" s="40">
        <f>IF(2362843.47408="","-",(38718.76781-44283.92714)/2362843.47408*100)</f>
        <v>-0.23552805723480522</v>
      </c>
    </row>
    <row r="21" spans="1:7" s="9" customFormat="1" x14ac:dyDescent="0.25">
      <c r="A21" s="44" t="s">
        <v>307</v>
      </c>
      <c r="B21" s="45">
        <f>IF(19253.07632="","-",19253.07632)</f>
        <v>19253.07632</v>
      </c>
      <c r="C21" s="45">
        <f>IF(OR(22376.49886="",19253.07632=""),"-",19253.07632/22376.49886*100)</f>
        <v>86.041504707497396</v>
      </c>
      <c r="D21" s="45">
        <f>IF(22376.49886="","-",22376.49886/2362843.47408*100)</f>
        <v>0.94701570821201109</v>
      </c>
      <c r="E21" s="45">
        <f>IF(19253.07632="","-",19253.07632/1980083.42341*100)</f>
        <v>0.97233662442581936</v>
      </c>
      <c r="F21" s="45">
        <f>IF(OR(2276206.61995="",22122.98898="",22376.49886=""),"-",(22376.49886-22122.98898)/2276206.61995*100)</f>
        <v>1.1137384355976001E-2</v>
      </c>
      <c r="G21" s="45">
        <f>IF(OR(2362843.47408="",19253.07632="",22376.49886=""),"-",(19253.07632-22376.49886)/2362843.47408*100)</f>
        <v>-0.13218914305003379</v>
      </c>
    </row>
    <row r="22" spans="1:7" s="9" customFormat="1" x14ac:dyDescent="0.25">
      <c r="A22" s="44" t="s">
        <v>308</v>
      </c>
      <c r="B22" s="45">
        <f>IF(19465.69149="","-",19465.69149)</f>
        <v>19465.691490000001</v>
      </c>
      <c r="C22" s="45">
        <f>IF(OR(21907.42828="",19465.69149=""),"-",19465.69149/21907.42828*100)</f>
        <v>88.854297461153209</v>
      </c>
      <c r="D22" s="45">
        <f>IF(21907.42828="","-",21907.42828/2362843.47408*100)</f>
        <v>0.92716375504009652</v>
      </c>
      <c r="E22" s="45">
        <f>IF(19465.69149="","-",19465.69149/1980083.42341*100)</f>
        <v>0.98307431191344297</v>
      </c>
      <c r="F22" s="45">
        <f>IF(OR(2276206.61995="",14691.42215="",21907.42828=""),"-",(21907.42828-14691.42215)/2276206.61995*100)</f>
        <v>0.31701894137178582</v>
      </c>
      <c r="G22" s="45">
        <f>IF(OR(2362843.47408="",19465.69149="",21907.42828=""),"-",(19465.69149-21907.42828)/2362843.47408*100)</f>
        <v>-0.10333891418477124</v>
      </c>
    </row>
    <row r="23" spans="1:7" s="9" customFormat="1" ht="25.5" x14ac:dyDescent="0.25">
      <c r="A23" s="52" t="s">
        <v>25</v>
      </c>
      <c r="B23" s="40">
        <f>IF(67176.63785="","-",67176.63785)</f>
        <v>67176.637849999999</v>
      </c>
      <c r="C23" s="40">
        <f>IF(71949.93256="","-",67176.63785/71949.93256*100)</f>
        <v>93.365810723978797</v>
      </c>
      <c r="D23" s="40">
        <f>IF(71949.93256="","-",71949.93256/2362843.47408*100)</f>
        <v>3.045057082675124</v>
      </c>
      <c r="E23" s="40">
        <f>IF(67176.63785="","-",67176.63785/1980083.42341*100)</f>
        <v>3.3926165461408577</v>
      </c>
      <c r="F23" s="40">
        <f>IF(2276206.61995="","-",(71949.93256-69317.56211)/2276206.61995*100)</f>
        <v>0.1156472539412009</v>
      </c>
      <c r="G23" s="40">
        <f>IF(2362843.47408="","-",(67176.63785-71949.93256)/2362843.47408*100)</f>
        <v>-0.2020148504275569</v>
      </c>
    </row>
    <row r="24" spans="1:7" s="9" customFormat="1" x14ac:dyDescent="0.25">
      <c r="A24" s="44" t="s">
        <v>309</v>
      </c>
      <c r="B24" s="45">
        <f>IF(26802.36765="","-",26802.36765)</f>
        <v>26802.36765</v>
      </c>
      <c r="C24" s="45">
        <f>IF(OR(23364.97613="",26802.36765=""),"-",26802.36765/23364.97613*100)</f>
        <v>114.71172707763431</v>
      </c>
      <c r="D24" s="45">
        <f>IF(23364.97613="","-",23364.97613/2362843.47408*100)</f>
        <v>0.98884993383226183</v>
      </c>
      <c r="E24" s="45">
        <f>IF(26802.36765="","-",26802.36765/1980083.42341*100)</f>
        <v>1.3535979006299801</v>
      </c>
      <c r="F24" s="45">
        <f>IF(OR(2276206.61995="",27758.92577="",23364.97613=""),"-",(23364.97613-27758.92577)/2276206.61995*100)</f>
        <v>-0.19303825942200808</v>
      </c>
      <c r="G24" s="45">
        <f>IF(OR(2362843.47408="",26802.36765="",23364.97613=""),"-",(26802.36765-23364.97613)/2362843.47408*100)</f>
        <v>0.14547690347276976</v>
      </c>
    </row>
    <row r="25" spans="1:7" s="9" customFormat="1" ht="25.5" x14ac:dyDescent="0.25">
      <c r="A25" s="44" t="s">
        <v>310</v>
      </c>
      <c r="B25" s="45">
        <f>IF(447.79256="","-",447.79256)</f>
        <v>447.79255999999998</v>
      </c>
      <c r="C25" s="45">
        <f>IF(OR(544.70663="",447.79256=""),"-",447.79256/544.70663*100)</f>
        <v>82.208024528726583</v>
      </c>
      <c r="D25" s="45">
        <f>IF(544.70663="","-",544.70663/2362843.47408*100)</f>
        <v>2.3053013708920676E-2</v>
      </c>
      <c r="E25" s="45">
        <f>IF(447.79256="","-",447.79256/1980083.42341*100)</f>
        <v>2.2614833027026413E-2</v>
      </c>
      <c r="F25" s="45">
        <f>IF(OR(2276206.61995="",305.56203="",544.70663=""),"-",(544.70663-305.56203)/2276206.61995*100)</f>
        <v>1.0506278204447588E-2</v>
      </c>
      <c r="G25" s="45">
        <f>IF(OR(2362843.47408="",447.79256="",544.70663=""),"-",(447.79256-544.70663)/2362843.47408*100)</f>
        <v>-4.101586544480465E-3</v>
      </c>
    </row>
    <row r="26" spans="1:7" s="9" customFormat="1" x14ac:dyDescent="0.25">
      <c r="A26" s="44" t="s">
        <v>311</v>
      </c>
      <c r="B26" s="45">
        <f>IF(12117.2925="","-",12117.2925)</f>
        <v>12117.2925</v>
      </c>
      <c r="C26" s="45">
        <f>IF(OR(13899.6797="",12117.2925=""),"-",12117.2925/13899.6797*100)</f>
        <v>87.176775015901981</v>
      </c>
      <c r="D26" s="45">
        <f>IF(13899.6797="","-",13899.6797/2362843.47408*100)</f>
        <v>0.58826070590274704</v>
      </c>
      <c r="E26" s="45">
        <f>IF(12117.2925="","-",12117.2925/1980083.42341*100)</f>
        <v>0.61195868602001668</v>
      </c>
      <c r="F26" s="45">
        <f>IF(OR(2276206.61995="",11323.44065="",13899.6797=""),"-",(13899.6797-11323.44065)/2276206.61995*100)</f>
        <v>0.11318124758184697</v>
      </c>
      <c r="G26" s="45">
        <f>IF(OR(2362843.47408="",12117.2925="",13899.6797=""),"-",(12117.2925-13899.6797)/2362843.47408*100)</f>
        <v>-7.5433993810952449E-2</v>
      </c>
    </row>
    <row r="27" spans="1:7" s="9" customFormat="1" x14ac:dyDescent="0.25">
      <c r="A27" s="44" t="s">
        <v>259</v>
      </c>
      <c r="B27" s="45">
        <f>IF(133.91558="","-",133.91558)</f>
        <v>133.91558000000001</v>
      </c>
      <c r="C27" s="45">
        <f>IF(OR(180.4349="",133.91558=""),"-",133.91558/180.4349*100)</f>
        <v>74.218224966456049</v>
      </c>
      <c r="D27" s="45">
        <f>IF(180.4349="","-",180.4349/2362843.47408*100)</f>
        <v>7.6363458679908694E-3</v>
      </c>
      <c r="E27" s="45">
        <f>IF(133.91558="","-",133.91558/1980083.42341*100)</f>
        <v>6.7631281801944143E-3</v>
      </c>
      <c r="F27" s="45">
        <f>IF(OR(2276206.61995="",185.03386="",180.4349=""),"-",(180.4349-185.03386)/2276206.61995*100)</f>
        <v>-2.0204492683977113E-4</v>
      </c>
      <c r="G27" s="45">
        <f>IF(OR(2362843.47408="",133.91558="",180.4349=""),"-",(133.91558-180.4349)/2362843.47408*100)</f>
        <v>-1.9687855124687352E-3</v>
      </c>
    </row>
    <row r="28" spans="1:7" s="9" customFormat="1" ht="38.25" x14ac:dyDescent="0.25">
      <c r="A28" s="44" t="s">
        <v>260</v>
      </c>
      <c r="B28" s="45">
        <f>IF(2510.14877="","-",2510.14877)</f>
        <v>2510.1487699999998</v>
      </c>
      <c r="C28" s="45">
        <f>IF(OR(3221.18374="",2510.14877=""),"-",2510.14877/3221.18374*100)</f>
        <v>77.926283397916322</v>
      </c>
      <c r="D28" s="45">
        <f>IF(3221.18374="","-",3221.18374/2362843.47408*100)</f>
        <v>0.13632658173661735</v>
      </c>
      <c r="E28" s="45">
        <f>IF(2510.14877="","-",2510.14877/1980083.42341*100)</f>
        <v>0.12676984920550205</v>
      </c>
      <c r="F28" s="45">
        <f>IF(OR(2276206.61995="",3630.29679="",3221.18374=""),"-",(3221.18374-3630.29679)/2276206.61995*100)</f>
        <v>-1.7973458402866196E-2</v>
      </c>
      <c r="G28" s="45">
        <f>IF(OR(2362843.47408="",2510.14877="",3221.18374=""),"-",(2510.14877-3221.18374)/2362843.47408*100)</f>
        <v>-3.0092343305848885E-2</v>
      </c>
    </row>
    <row r="29" spans="1:7" s="9" customFormat="1" ht="14.25" customHeight="1" x14ac:dyDescent="0.25">
      <c r="A29" s="44" t="s">
        <v>261</v>
      </c>
      <c r="B29" s="45">
        <f>IF(5454.5746="","-",5454.5746)</f>
        <v>5454.5745999999999</v>
      </c>
      <c r="C29" s="45">
        <f>IF(OR(10973.05071="",5454.5746=""),"-",5454.5746/10973.05071*100)</f>
        <v>49.708825231520329</v>
      </c>
      <c r="D29" s="45">
        <f>IF(10973.05071="","-",10973.05071/2362843.47408*100)</f>
        <v>0.46440023769549449</v>
      </c>
      <c r="E29" s="45">
        <f>IF(5454.5746="","-",5454.5746/1980083.42341*100)</f>
        <v>0.27547195918677037</v>
      </c>
      <c r="F29" s="45">
        <f>IF(OR(2276206.61995="",5157.2613="",10973.05071=""),"-",(10973.05071-5157.2613)/2276206.61995*100)</f>
        <v>0.25550358034402654</v>
      </c>
      <c r="G29" s="45">
        <f>IF(OR(2362843.47408="",5454.5746="",10973.05071=""),"-",(5454.5746-10973.05071)/2362843.47408*100)</f>
        <v>-0.23355233516467616</v>
      </c>
    </row>
    <row r="30" spans="1:7" s="9" customFormat="1" ht="15.75" customHeight="1" x14ac:dyDescent="0.25">
      <c r="A30" s="44" t="s">
        <v>262</v>
      </c>
      <c r="B30" s="45">
        <f>IF(563.30575="","-",563.30575)</f>
        <v>563.30574999999999</v>
      </c>
      <c r="C30" s="45">
        <f>IF(OR(545.744="",563.30575=""),"-",563.30575/545.744*100)</f>
        <v>103.21794650971883</v>
      </c>
      <c r="D30" s="45">
        <f>IF(545.744="","-",545.744/2362843.47408*100)</f>
        <v>2.3096917167248737E-2</v>
      </c>
      <c r="E30" s="45">
        <f>IF(563.30575="","-",563.30575/1980083.42341*100)</f>
        <v>2.8448586728224971E-2</v>
      </c>
      <c r="F30" s="45">
        <f>IF(OR(2276206.61995="",436.40621="",545.744=""),"-",(545.744-436.40621)/2276206.61995*100)</f>
        <v>4.8035090066824333E-3</v>
      </c>
      <c r="G30" s="45">
        <f>IF(OR(2362843.47408="",563.30575="",545.744=""),"-",(563.30575-545.744)/2362843.47408*100)</f>
        <v>7.432464398361312E-4</v>
      </c>
    </row>
    <row r="31" spans="1:7" s="9" customFormat="1" ht="25.5" x14ac:dyDescent="0.25">
      <c r="A31" s="44" t="s">
        <v>263</v>
      </c>
      <c r="B31" s="45">
        <f>IF(19147.24044="","-",19147.24044)</f>
        <v>19147.240440000001</v>
      </c>
      <c r="C31" s="45">
        <f>IF(OR(19220.15675="",19147.24044=""),"-",19147.24044/19220.15675*100)</f>
        <v>99.620625830744089</v>
      </c>
      <c r="D31" s="45">
        <f>IF(19220.15675="","-",19220.15675/2362843.47408*100)</f>
        <v>0.81343334676384282</v>
      </c>
      <c r="E31" s="45">
        <f>IF(19147.24044="","-",19147.24044/1980083.42341*100)</f>
        <v>0.96699160316314292</v>
      </c>
      <c r="F31" s="45">
        <f>IF(OR(2276206.61995="",20481.06252="",19220.15675=""),"-",(19220.15675-20481.06252)/2276206.61995*100)</f>
        <v>-5.5395048891813632E-2</v>
      </c>
      <c r="G31" s="45">
        <f>IF(OR(2362843.47408="",19147.24044="",19220.15675=""),"-",(19147.24044-19220.15675)/2362843.47408*100)</f>
        <v>-3.0859560017359035E-3</v>
      </c>
    </row>
    <row r="32" spans="1:7" s="9" customFormat="1" ht="25.5" x14ac:dyDescent="0.25">
      <c r="A32" s="52" t="s">
        <v>264</v>
      </c>
      <c r="B32" s="40">
        <f>IF(269847.84239="","-",269847.84239)</f>
        <v>269847.84239000001</v>
      </c>
      <c r="C32" s="40">
        <f>IF(396480.67327="","-",269847.84239/396480.67327*100)</f>
        <v>68.060780911314652</v>
      </c>
      <c r="D32" s="40">
        <f>IF(396480.67327="","-",396480.67327/2362843.47408*100)</f>
        <v>16.779811173246433</v>
      </c>
      <c r="E32" s="40">
        <f>IF(269847.84239="","-",269847.84239/1980083.42341*100)</f>
        <v>13.628104715168094</v>
      </c>
      <c r="F32" s="40">
        <f>IF(2276206.61995="","-",(396480.67327-365513.56135)/2276206.61995*100)</f>
        <v>1.3604701633228835</v>
      </c>
      <c r="G32" s="40">
        <f>IF(2362843.47408="","-",(269847.84239-396480.67327)/2362843.47408*100)</f>
        <v>-5.3593406532908814</v>
      </c>
    </row>
    <row r="33" spans="1:7" s="9" customFormat="1" x14ac:dyDescent="0.25">
      <c r="A33" s="44" t="s">
        <v>312</v>
      </c>
      <c r="B33" s="45">
        <f>IF(4893.2484="","-",4893.2484)</f>
        <v>4893.2484000000004</v>
      </c>
      <c r="C33" s="45">
        <f>IF(OR(7222.92693="",4893.2484=""),"-",4893.2484/7222.92693*100)</f>
        <v>67.746059837268774</v>
      </c>
      <c r="D33" s="45">
        <f>IF(7222.92693="","-",7222.92693/2362843.47408*100)</f>
        <v>0.30568791412695367</v>
      </c>
      <c r="E33" s="45">
        <f>IF(4893.2484="","-",4893.2484/1980083.42341*100)</f>
        <v>0.24712334551910414</v>
      </c>
      <c r="F33" s="45">
        <f>IF(OR(2276206.61995="",4295.87789="",7222.92693=""),"-",(7222.92693-4295.87789)/2276206.61995*100)</f>
        <v>0.12859329264512448</v>
      </c>
      <c r="G33" s="45">
        <f>IF(OR(2362843.47408="",4893.2484="",7222.92693=""),"-",(4893.2484-7222.92693)/2362843.47408*100)</f>
        <v>-9.8596396907208853E-2</v>
      </c>
    </row>
    <row r="34" spans="1:7" s="9" customFormat="1" ht="25.5" x14ac:dyDescent="0.25">
      <c r="A34" s="44" t="s">
        <v>265</v>
      </c>
      <c r="B34" s="45">
        <f>IF(151288.09537="","-",151288.09537)</f>
        <v>151288.09537</v>
      </c>
      <c r="C34" s="45">
        <f>IF(OR(219735.58473="",151288.09537=""),"-",151288.09537/219735.58473*100)</f>
        <v>68.850066117372464</v>
      </c>
      <c r="D34" s="45">
        <f>IF(219735.58473="","-",219735.58473/2362843.47408*100)</f>
        <v>9.2996250974921875</v>
      </c>
      <c r="E34" s="45">
        <f>IF(151288.09537="","-",151288.09537/1980083.42341*100)</f>
        <v>7.6404909803981518</v>
      </c>
      <c r="F34" s="45">
        <f>IF(OR(2276206.61995="",215792.21685="",219735.58473=""),"-",(219735.58473-215792.21685)/2276206.61995*100)</f>
        <v>0.17324296684835344</v>
      </c>
      <c r="G34" s="45">
        <f>IF(OR(2362843.47408="",151288.09537="",219735.58473=""),"-",(151288.09537-219735.58473)/2362843.47408*100)</f>
        <v>-2.8968270692010529</v>
      </c>
    </row>
    <row r="35" spans="1:7" s="9" customFormat="1" ht="25.5" x14ac:dyDescent="0.25">
      <c r="A35" s="44" t="s">
        <v>313</v>
      </c>
      <c r="B35" s="45">
        <f>IF(105556.2712="","-",105556.2712)</f>
        <v>105556.2712</v>
      </c>
      <c r="C35" s="45">
        <f>IF(OR(150788.67396="",105556.2712=""),"-",105556.2712/150788.67396*100)</f>
        <v>70.002784975747673</v>
      </c>
      <c r="D35" s="45">
        <f>IF(150788.67396="","-",150788.67396/2362843.47408*100)</f>
        <v>6.381661570651068</v>
      </c>
      <c r="E35" s="45">
        <f>IF(105556.2712="","-",105556.2712/1980083.42341*100)</f>
        <v>5.3309002010741704</v>
      </c>
      <c r="F35" s="45">
        <f>IF(OR(2276206.61995="",127750.20817="",150788.67396=""),"-",(150788.67396-127750.20817)/2276206.61995*100)</f>
        <v>1.0121429921201994</v>
      </c>
      <c r="G35" s="45">
        <f>IF(OR(2362843.47408="",105556.2712="",150788.67396=""),"-",(105556.2712-150788.67396)/2362843.47408*100)</f>
        <v>-1.9143207434682796</v>
      </c>
    </row>
    <row r="36" spans="1:7" s="9" customFormat="1" x14ac:dyDescent="0.25">
      <c r="A36" s="44" t="s">
        <v>266</v>
      </c>
      <c r="B36" s="45">
        <f>IF(8110.22742="","-",8110.22742)</f>
        <v>8110.2274200000002</v>
      </c>
      <c r="C36" s="45">
        <f>IF(OR(18733.48765="",8110.22742=""),"-",8110.22742/18733.48765*100)</f>
        <v>43.292672307070383</v>
      </c>
      <c r="D36" s="45">
        <f>IF(18733.48765="","-",18733.48765/2362843.47408*100)</f>
        <v>0.79283659097622183</v>
      </c>
      <c r="E36" s="45">
        <f>IF(8110.22742="","-",8110.22742/1980083.42341*100)</f>
        <v>0.40959018817666659</v>
      </c>
      <c r="F36" s="45">
        <f>IF(OR(2276206.61995="",17675.25844="",18733.48765=""),"-",(18733.48765-17675.25844)/2276206.61995*100)</f>
        <v>4.6490911709203407E-2</v>
      </c>
      <c r="G36" s="45">
        <f>IF(OR(2362843.47408="",8110.22742="",18733.48765=""),"-",(8110.22742-18733.48765)/2362843.47408*100)</f>
        <v>-0.4495964437143381</v>
      </c>
    </row>
    <row r="37" spans="1:7" s="9" customFormat="1" ht="25.5" x14ac:dyDescent="0.25">
      <c r="A37" s="52" t="s">
        <v>267</v>
      </c>
      <c r="B37" s="40">
        <f>IF(3897.60908="","-",3897.60908)</f>
        <v>3897.6090800000002</v>
      </c>
      <c r="C37" s="40">
        <f>IF(4571.09119="","-",3897.60908/4571.09119*100)</f>
        <v>85.266491478591576</v>
      </c>
      <c r="D37" s="40">
        <f>IF(4571.09119="","-",4571.09119/2362843.47408*100)</f>
        <v>0.19345721543318931</v>
      </c>
      <c r="E37" s="40">
        <f>IF(3897.60908="","-",3897.60908/1980083.42341*100)</f>
        <v>0.1968406499402805</v>
      </c>
      <c r="F37" s="40">
        <f>IF(2276206.61995="","-",(4571.09119-4868.11239)/2276206.61995*100)</f>
        <v>-1.3048955986540649E-2</v>
      </c>
      <c r="G37" s="40">
        <f>IF(2362843.47408="","-",(3897.60908-4571.09119)/2362843.47408*100)</f>
        <v>-2.8503035321128405E-2</v>
      </c>
    </row>
    <row r="38" spans="1:7" s="9" customFormat="1" x14ac:dyDescent="0.25">
      <c r="A38" s="44" t="s">
        <v>314</v>
      </c>
      <c r="B38" s="45">
        <f>IF(640.43414="","-",640.43414)</f>
        <v>640.43413999999996</v>
      </c>
      <c r="C38" s="45">
        <f>IF(OR(594.91025="",640.43414=""),"-",640.43414/594.91025*100)</f>
        <v>107.65222821425584</v>
      </c>
      <c r="D38" s="45">
        <f>IF(594.91025="","-",594.91025/2362843.47408*100)</f>
        <v>2.5177725758225904E-2</v>
      </c>
      <c r="E38" s="45">
        <f>IF(640.43414="","-",640.43414/1980083.42341*100)</f>
        <v>3.2343795843564838E-2</v>
      </c>
      <c r="F38" s="45">
        <f>IF(OR(2276206.61995="",583.69955="",594.91025=""),"-",(594.91025-583.69955)/2276206.61995*100)</f>
        <v>4.9251679973790039E-4</v>
      </c>
      <c r="G38" s="45">
        <f>IF(OR(2362843.47408="",640.43414="",594.91025=""),"-",(640.43414-594.91025)/2362843.47408*100)</f>
        <v>1.9266570341789219E-3</v>
      </c>
    </row>
    <row r="39" spans="1:7" s="9" customFormat="1" ht="25.5" x14ac:dyDescent="0.25">
      <c r="A39" s="44" t="s">
        <v>268</v>
      </c>
      <c r="B39" s="45">
        <f>IF(2585.23729="","-",2585.23729)</f>
        <v>2585.23729</v>
      </c>
      <c r="C39" s="45">
        <f>IF(OR(2775.78728="",2585.23729=""),"-",2585.23729/2775.78728*100)</f>
        <v>93.135281245326553</v>
      </c>
      <c r="D39" s="45">
        <f>IF(2775.78728="","-",2775.78728/2362843.47408*100)</f>
        <v>0.11747656205118641</v>
      </c>
      <c r="E39" s="45">
        <f>IF(2585.23729="","-",2585.23729/1980083.42341*100)</f>
        <v>0.13056203892398807</v>
      </c>
      <c r="F39" s="45">
        <f>IF(OR(2276206.61995="",3133.09421="",2775.78728=""),"-",(2775.78728-3133.09421)/2276206.61995*100)</f>
        <v>-1.5697473457301908E-2</v>
      </c>
      <c r="G39" s="45">
        <f>IF(OR(2362843.47408="",2585.23729="",2775.78728=""),"-",(2585.23729-2775.78728)/2362843.47408*100)</f>
        <v>-8.0644355874733842E-3</v>
      </c>
    </row>
    <row r="40" spans="1:7" s="9" customFormat="1" ht="63.75" x14ac:dyDescent="0.25">
      <c r="A40" s="44" t="s">
        <v>315</v>
      </c>
      <c r="B40" s="45">
        <f>IF(671.93765="","-",671.93765)</f>
        <v>671.93764999999996</v>
      </c>
      <c r="C40" s="45">
        <f>IF(OR(1200.39366="",671.93765=""),"-",671.93765/1200.39366*100)</f>
        <v>55.976441095165399</v>
      </c>
      <c r="D40" s="45">
        <f>IF(1200.39366="","-",1200.39366/2362843.47408*100)</f>
        <v>5.0802927623776972E-2</v>
      </c>
      <c r="E40" s="45">
        <f>IF(671.93765="","-",671.93765/1980083.42341*100)</f>
        <v>3.3934815172727562E-2</v>
      </c>
      <c r="F40" s="45">
        <f>IF(OR(2276206.61995="",1151.31863="",1200.39366=""),"-",(1200.39366-1151.31863)/2276206.61995*100)</f>
        <v>2.1560006710233523E-3</v>
      </c>
      <c r="G40" s="45">
        <f>IF(OR(2362843.47408="",671.93765="",1200.39366=""),"-",(671.93765-1200.39366)/2362843.47408*100)</f>
        <v>-2.2365256767833946E-2</v>
      </c>
    </row>
    <row r="41" spans="1:7" s="9" customFormat="1" ht="25.5" x14ac:dyDescent="0.25">
      <c r="A41" s="52" t="s">
        <v>269</v>
      </c>
      <c r="B41" s="40">
        <f>IF(346201.14122="","-",346201.14122)</f>
        <v>346201.14121999999</v>
      </c>
      <c r="C41" s="40">
        <f>IF(359847.77262="","-",346201.14122/359847.77262*100)</f>
        <v>96.207665452354803</v>
      </c>
      <c r="D41" s="40">
        <f>IF(359847.77262="","-",359847.77262/2362843.47408*100)</f>
        <v>15.22943760631926</v>
      </c>
      <c r="E41" s="40">
        <f>IF(346201.14122="","-",346201.14122/1980083.42341*100)</f>
        <v>17.48416946109219</v>
      </c>
      <c r="F41" s="40">
        <f>IF(2276206.61995="","-",(359847.77262-351129.52194)/2276206.61995*100)</f>
        <v>0.38301666481364971</v>
      </c>
      <c r="G41" s="40">
        <f>IF(2362843.47408="","-",(346201.14122-359847.77262)/2362843.47408*100)</f>
        <v>-0.57755122375651591</v>
      </c>
    </row>
    <row r="42" spans="1:7" s="9" customFormat="1" x14ac:dyDescent="0.25">
      <c r="A42" s="44" t="s">
        <v>26</v>
      </c>
      <c r="B42" s="45">
        <f>IF(4798.01947="","-",4798.01947)</f>
        <v>4798.0194700000002</v>
      </c>
      <c r="C42" s="45">
        <f>IF(OR(9055.6409="",4798.01947=""),"-",4798.01947/9055.6409*100)</f>
        <v>52.983764738285942</v>
      </c>
      <c r="D42" s="45">
        <f>IF(9055.6409="","-",9055.6409/2362843.47408*100)</f>
        <v>0.38325183192788159</v>
      </c>
      <c r="E42" s="45">
        <f>IF(4798.01947="","-",4798.01947/1980083.42341*100)</f>
        <v>0.24231400623197444</v>
      </c>
      <c r="F42" s="45">
        <f>IF(OR(2276206.61995="",9110.4292="",9055.6409=""),"-",(9055.6409-9110.4292)/2276206.61995*100)</f>
        <v>-2.4070002924955758E-3</v>
      </c>
      <c r="G42" s="45">
        <f>IF(OR(2362843.47408="",4798.01947="",9055.6409=""),"-",(4798.01947-9055.6409)/2362843.47408*100)</f>
        <v>-0.18019058294404175</v>
      </c>
    </row>
    <row r="43" spans="1:7" s="9" customFormat="1" x14ac:dyDescent="0.25">
      <c r="A43" s="44" t="s">
        <v>27</v>
      </c>
      <c r="B43" s="45">
        <f>IF(7091.15905="","-",7091.15905)</f>
        <v>7091.1590500000002</v>
      </c>
      <c r="C43" s="45">
        <f>IF(OR(6787.66523="",7091.15905=""),"-",7091.15905/6787.66523*100)</f>
        <v>104.47125498556741</v>
      </c>
      <c r="D43" s="45">
        <f>IF(6787.66523="","-",6787.66523/2362843.47408*100)</f>
        <v>0.28726681663256831</v>
      </c>
      <c r="E43" s="45">
        <f>IF(7091.15905="","-",7091.15905/1980083.42341*100)</f>
        <v>0.3581242570976107</v>
      </c>
      <c r="F43" s="45">
        <f>IF(OR(2276206.61995="",5498.66161="",6787.66523=""),"-",(6787.66523-5498.66161)/2276206.61995*100)</f>
        <v>5.6629464509171591E-2</v>
      </c>
      <c r="G43" s="45">
        <f>IF(OR(2362843.47408="",7091.15905="",6787.66523=""),"-",(7091.15905-6787.66523)/2362843.47408*100)</f>
        <v>1.2844431860564498E-2</v>
      </c>
    </row>
    <row r="44" spans="1:7" s="9" customFormat="1" x14ac:dyDescent="0.25">
      <c r="A44" s="44" t="s">
        <v>270</v>
      </c>
      <c r="B44" s="45">
        <f>IF(12572.06301="","-",12572.06301)</f>
        <v>12572.06301</v>
      </c>
      <c r="C44" s="45">
        <f>IF(OR(13621.26119="",12572.06301=""),"-",12572.06301/13621.26119*100)</f>
        <v>92.297349229524613</v>
      </c>
      <c r="D44" s="45">
        <f>IF(13621.26119="","-",13621.26119/2362843.47408*100)</f>
        <v>0.57647750853676805</v>
      </c>
      <c r="E44" s="45">
        <f>IF(12572.06301="","-",12572.06301/1980083.42341*100)</f>
        <v>0.63492592591624375</v>
      </c>
      <c r="F44" s="45">
        <f>IF(OR(2276206.61995="",12628.80266="",13621.26119=""),"-",(13621.26119-12628.80266)/2276206.61995*100)</f>
        <v>4.3601425340806736E-2</v>
      </c>
      <c r="G44" s="45">
        <f>IF(OR(2362843.47408="",12572.06301="",13621.26119=""),"-",(12572.06301-13621.26119)/2362843.47408*100)</f>
        <v>-4.4404049252924661E-2</v>
      </c>
    </row>
    <row r="45" spans="1:7" s="9" customFormat="1" x14ac:dyDescent="0.25">
      <c r="A45" s="44" t="s">
        <v>271</v>
      </c>
      <c r="B45" s="45">
        <f>IF(97504.90876="","-",97504.90876)</f>
        <v>97504.908760000006</v>
      </c>
      <c r="C45" s="45">
        <f>IF(OR(102677.96644="",97504.90876=""),"-",97504.90876/102677.96644*100)</f>
        <v>94.961861965757876</v>
      </c>
      <c r="D45" s="45">
        <f>IF(102677.96644="","-",102677.96644/2362843.47408*100)</f>
        <v>4.3455255316892645</v>
      </c>
      <c r="E45" s="45">
        <f>IF(97504.90876="","-",97504.90876/1980083.42341*100)</f>
        <v>4.9242828664300395</v>
      </c>
      <c r="F45" s="45">
        <f>IF(OR(2276206.61995="",91838.65961="",102677.96644=""),"-",(102677.96644-91838.65961)/2276206.61995*100)</f>
        <v>0.476200479121623</v>
      </c>
      <c r="G45" s="45">
        <f>IF(OR(2362843.47408="",97504.90876="",102677.96644=""),"-",(97504.90876-102677.96644)/2362843.47408*100)</f>
        <v>-0.21893357459973886</v>
      </c>
    </row>
    <row r="46" spans="1:7" s="9" customFormat="1" ht="38.25" x14ac:dyDescent="0.25">
      <c r="A46" s="44" t="s">
        <v>272</v>
      </c>
      <c r="B46" s="45">
        <f>IF(42035.84353="","-",42035.84353)</f>
        <v>42035.843529999998</v>
      </c>
      <c r="C46" s="45">
        <f>IF(OR(44694.78562="",42035.84353=""),"-",42035.84353/44694.78562*100)</f>
        <v>94.050889710923727</v>
      </c>
      <c r="D46" s="45">
        <f>IF(44694.78562="","-",44694.78562/2362843.47408*100)</f>
        <v>1.8915677703705034</v>
      </c>
      <c r="E46" s="45">
        <f>IF(42035.84353="","-",42035.84353/1980083.42341*100)</f>
        <v>2.1229329548958087</v>
      </c>
      <c r="F46" s="45">
        <f>IF(OR(2276206.61995="",46013.24233="",44694.78562=""),"-",(44694.78562-46013.24233)/2276206.61995*100)</f>
        <v>-5.7923419536885463E-2</v>
      </c>
      <c r="G46" s="45">
        <f>IF(OR(2362843.47408="",42035.84353="",44694.78562=""),"-",(42035.84353-44694.78562)/2362843.47408*100)</f>
        <v>-0.11253145285196234</v>
      </c>
    </row>
    <row r="47" spans="1:7" s="9" customFormat="1" x14ac:dyDescent="0.25">
      <c r="A47" s="44" t="s">
        <v>273</v>
      </c>
      <c r="B47" s="45">
        <f>IF(45287.25783="","-",45287.25783)</f>
        <v>45287.257830000002</v>
      </c>
      <c r="C47" s="45">
        <f>IF(OR(41700.46964="",45287.25783=""),"-",45287.25783/41700.46964*100)</f>
        <v>108.60131365657205</v>
      </c>
      <c r="D47" s="45">
        <f>IF(41700.46964="","-",41700.46964/2362843.47408*100)</f>
        <v>1.7648426608637948</v>
      </c>
      <c r="E47" s="45">
        <f>IF(45287.25783="","-",45287.25783/1980083.42341*100)</f>
        <v>2.2871388798361112</v>
      </c>
      <c r="F47" s="45">
        <f>IF(OR(2276206.61995="",39692.96257="",41700.46964=""),"-",(41700.46964-39692.96257)/2276206.61995*100)</f>
        <v>8.8195291780853224E-2</v>
      </c>
      <c r="G47" s="45">
        <f>IF(OR(2362843.47408="",45287.25783="",41700.46964=""),"-",(45287.25783-41700.46964)/2362843.47408*100)</f>
        <v>0.15179965280588703</v>
      </c>
    </row>
    <row r="48" spans="1:7" s="9" customFormat="1" x14ac:dyDescent="0.25">
      <c r="A48" s="44" t="s">
        <v>28</v>
      </c>
      <c r="B48" s="45">
        <f>IF(17879.88654="","-",17879.88654)</f>
        <v>17879.88654</v>
      </c>
      <c r="C48" s="45">
        <f>IF(OR(20477.46639="",17879.88654=""),"-",17879.88654/20477.46639*100)</f>
        <v>87.314935351238049</v>
      </c>
      <c r="D48" s="45">
        <f>IF(20477.46639="","-",20477.46639/2362843.47408*100)</f>
        <v>0.86664506619394821</v>
      </c>
      <c r="E48" s="45">
        <f>IF(17879.88654="","-",17879.88654/1980083.42341*100)</f>
        <v>0.90298652716399985</v>
      </c>
      <c r="F48" s="45">
        <f>IF(OR(2276206.61995="",21477.57715="",20477.46639=""),"-",(20477.46639-21477.57715)/2276206.61995*100)</f>
        <v>-4.3937608793263604E-2</v>
      </c>
      <c r="G48" s="45">
        <f>IF(OR(2362843.47408="",17879.88654="",20477.46639=""),"-",(17879.88654-20477.46639)/2362843.47408*100)</f>
        <v>-0.10993448692200819</v>
      </c>
    </row>
    <row r="49" spans="1:7" s="9" customFormat="1" x14ac:dyDescent="0.25">
      <c r="A49" s="44" t="s">
        <v>29</v>
      </c>
      <c r="B49" s="45">
        <f>IF(38946.55837="","-",38946.55837)</f>
        <v>38946.558369999999</v>
      </c>
      <c r="C49" s="45">
        <f>IF(OR(42925.17299="",38946.55837=""),"-",38946.55837/42925.17299*100)</f>
        <v>90.731278774515673</v>
      </c>
      <c r="D49" s="45">
        <f>IF(42925.17299="","-",42925.17299/2362843.47408*100)</f>
        <v>1.8166744204972531</v>
      </c>
      <c r="E49" s="45">
        <f>IF(38946.55837="","-",38946.55837/1980083.42341*100)</f>
        <v>1.9669150253744458</v>
      </c>
      <c r="F49" s="45">
        <f>IF(OR(2276206.61995="",40784.57308="",42925.17299=""),"-",(42925.17299-40784.57308)/2276206.61995*100)</f>
        <v>9.4042425289450143E-2</v>
      </c>
      <c r="G49" s="45">
        <f>IF(OR(2362843.47408="",38946.55837="",42925.17299=""),"-",(38946.55837-42925.17299)/2362843.47408*100)</f>
        <v>-0.16838248761057348</v>
      </c>
    </row>
    <row r="50" spans="1:7" s="9" customFormat="1" x14ac:dyDescent="0.25">
      <c r="A50" s="44" t="s">
        <v>274</v>
      </c>
      <c r="B50" s="45">
        <f>IF(80085.44466="","-",80085.44466)</f>
        <v>80085.444659999994</v>
      </c>
      <c r="C50" s="45">
        <f>IF(OR(77907.34422="",80085.44466=""),"-",80085.44466/77907.34422*100)</f>
        <v>102.79575752685052</v>
      </c>
      <c r="D50" s="45">
        <f>IF(77907.34422="","-",77907.34422/2362843.47408*100)</f>
        <v>3.2971859996072785</v>
      </c>
      <c r="E50" s="45">
        <f>IF(80085.44466="","-",80085.44466/1980083.42341*100)</f>
        <v>4.0445490181459567</v>
      </c>
      <c r="F50" s="45">
        <f>IF(OR(2276206.61995="",84084.61373="",77907.34422=""),"-",(77907.34422-84084.61373)/2276206.61995*100)</f>
        <v>-0.2713843926056102</v>
      </c>
      <c r="G50" s="45">
        <f>IF(OR(2362843.47408="",80085.44466="",77907.34422=""),"-",(80085.44466-77907.34422)/2362843.47408*100)</f>
        <v>9.2181325758282098E-2</v>
      </c>
    </row>
    <row r="51" spans="1:7" s="9" customFormat="1" ht="25.5" x14ac:dyDescent="0.25">
      <c r="A51" s="52" t="s">
        <v>275</v>
      </c>
      <c r="B51" s="40">
        <f>IF(359167.08457="","-",359167.08457)</f>
        <v>359167.08457000001</v>
      </c>
      <c r="C51" s="40">
        <f>IF(432757.42424="","-",359167.08457/432757.42424*100)</f>
        <v>82.995013938989516</v>
      </c>
      <c r="D51" s="40">
        <f>IF(432757.42424="","-",432757.42424/2362843.47408*100)</f>
        <v>18.315111812833859</v>
      </c>
      <c r="E51" s="40">
        <f>IF(359167.08457="","-",359167.08457/1980083.42341*100)</f>
        <v>18.138987495358176</v>
      </c>
      <c r="F51" s="40">
        <f>IF(2276206.61995="","-",(432757.42424-444988.46857)/2276206.61995*100)</f>
        <v>-0.53734332475795521</v>
      </c>
      <c r="G51" s="40">
        <f>IF(2362843.47408="","-",(359167.08457-432757.42424)/2362843.47408*100)</f>
        <v>-3.1144822108308827</v>
      </c>
    </row>
    <row r="52" spans="1:7" s="9" customFormat="1" x14ac:dyDescent="0.25">
      <c r="A52" s="44" t="s">
        <v>276</v>
      </c>
      <c r="B52" s="45">
        <f>IF(15132.62171="","-",15132.62171)</f>
        <v>15132.621709999999</v>
      </c>
      <c r="C52" s="45">
        <f>IF(OR(20724.39933="",15132.62171=""),"-",15132.62171/20724.39933*100)</f>
        <v>73.018385088220555</v>
      </c>
      <c r="D52" s="45">
        <f>IF(20724.39933="","-",20724.39933/2362843.47408*100)</f>
        <v>0.87709573475108338</v>
      </c>
      <c r="E52" s="45">
        <f>IF(15132.62171="","-",15132.62171/1980083.42341*100)</f>
        <v>0.76424162391801453</v>
      </c>
      <c r="F52" s="45">
        <f>IF(OR(2276206.61995="",25803.47137="",20724.39933=""),"-",(20724.39933-25803.47137)/2276206.61995*100)</f>
        <v>-0.22313756560955644</v>
      </c>
      <c r="G52" s="45">
        <f>IF(OR(2362843.47408="",15132.62171="",20724.39933=""),"-",(15132.62171-20724.39933)/2362843.47408*100)</f>
        <v>-0.23665459355817986</v>
      </c>
    </row>
    <row r="53" spans="1:7" s="9" customFormat="1" x14ac:dyDescent="0.25">
      <c r="A53" s="44" t="s">
        <v>30</v>
      </c>
      <c r="B53" s="45">
        <f>IF(21232.42119="","-",21232.42119)</f>
        <v>21232.421190000001</v>
      </c>
      <c r="C53" s="45">
        <f>IF(OR(24547.81449="",21232.42119=""),"-",21232.42119/24547.81449*100)</f>
        <v>86.494140643964116</v>
      </c>
      <c r="D53" s="45">
        <f>IF(24547.81449="","-",24547.81449/2362843.47408*100)</f>
        <v>1.038909887992389</v>
      </c>
      <c r="E53" s="45">
        <f>IF(21232.42119="","-",21232.42119/1980083.42341*100)</f>
        <v>1.0722993253200712</v>
      </c>
      <c r="F53" s="45">
        <f>IF(OR(2276206.61995="",25508.25987="",24547.81449=""),"-",(24547.81449-25508.25987)/2276206.61995*100)</f>
        <v>-4.2194999855553465E-2</v>
      </c>
      <c r="G53" s="45">
        <f>IF(OR(2362843.47408="",21232.42119="",24547.81449=""),"-",(21232.42119-24547.81449)/2362843.47408*100)</f>
        <v>-0.14031370830820206</v>
      </c>
    </row>
    <row r="54" spans="1:7" s="9" customFormat="1" x14ac:dyDescent="0.25">
      <c r="A54" s="44" t="s">
        <v>277</v>
      </c>
      <c r="B54" s="45">
        <f>IF(24869.46802="","-",24869.46802)</f>
        <v>24869.46802</v>
      </c>
      <c r="C54" s="45">
        <f>IF(OR(32125.17025="",24869.46802=""),"-",24869.46802/32125.17025*100)</f>
        <v>77.414276178038307</v>
      </c>
      <c r="D54" s="45">
        <f>IF(32125.17025="","-",32125.17025/2362843.47408*100)</f>
        <v>1.3595978998358449</v>
      </c>
      <c r="E54" s="45">
        <f>IF(24869.46802="","-",24869.46802/1980083.42341*100)</f>
        <v>1.2559808200995417</v>
      </c>
      <c r="F54" s="45">
        <f>IF(OR(2276206.61995="",29133.69541="",32125.17025=""),"-",(32125.17025-29133.69541)/2276206.61995*100)</f>
        <v>0.13142369474638074</v>
      </c>
      <c r="G54" s="45">
        <f>IF(OR(2362843.47408="",24869.46802="",32125.17025=""),"-",(24869.46802-32125.17025)/2362843.47408*100)</f>
        <v>-0.30707502674611525</v>
      </c>
    </row>
    <row r="55" spans="1:7" s="9" customFormat="1" ht="25.5" x14ac:dyDescent="0.25">
      <c r="A55" s="44" t="s">
        <v>278</v>
      </c>
      <c r="B55" s="45">
        <f>IF(35676.77511="","-",35676.77511)</f>
        <v>35676.775110000002</v>
      </c>
      <c r="C55" s="45">
        <f>IF(OR(41981.75334="",35676.77511=""),"-",35676.77511/41981.75334*100)</f>
        <v>84.981622423109599</v>
      </c>
      <c r="D55" s="45">
        <f>IF(41981.75334="","-",41981.75334/2362843.47408*100)</f>
        <v>1.7767471184838461</v>
      </c>
      <c r="E55" s="45">
        <f>IF(35676.77511="","-",35676.77511/1980083.42341*100)</f>
        <v>1.8017814142678521</v>
      </c>
      <c r="F55" s="45">
        <f>IF(OR(2276206.61995="",39678.18277="",41981.75334=""),"-",(41981.75334-39678.18277)/2276206.61995*100)</f>
        <v>0.10120217337961192</v>
      </c>
      <c r="G55" s="45">
        <f>IF(OR(2362843.47408="",35676.77511="",41981.75334=""),"-",(35676.77511-41981.75334)/2362843.47408*100)</f>
        <v>-0.26683859084042438</v>
      </c>
    </row>
    <row r="56" spans="1:7" s="9" customFormat="1" ht="25.5" x14ac:dyDescent="0.25">
      <c r="A56" s="44" t="s">
        <v>279</v>
      </c>
      <c r="B56" s="45">
        <f>IF(94277.26241="","-",94277.26241)</f>
        <v>94277.262409999996</v>
      </c>
      <c r="C56" s="45">
        <f>IF(OR(115536.39623="",94277.26241=""),"-",94277.26241/115536.39623*100)</f>
        <v>81.599621838923269</v>
      </c>
      <c r="D56" s="45">
        <f>IF(115536.39623="","-",115536.39623/2362843.47408*100)</f>
        <v>4.8897185741423437</v>
      </c>
      <c r="E56" s="45">
        <f>IF(94277.26241="","-",94277.26241/1980083.42341*100)</f>
        <v>4.7612772924304592</v>
      </c>
      <c r="F56" s="45">
        <f>IF(OR(2276206.61995="",127682.34364="",115536.39623=""),"-",(115536.39623-127682.34364)/2276206.61995*100)</f>
        <v>-0.53360478365829589</v>
      </c>
      <c r="G56" s="45">
        <f>IF(OR(2362843.47408="",94277.26241="",115536.39623=""),"-",(94277.26241-115536.39623)/2362843.47408*100)</f>
        <v>-0.89972670865460047</v>
      </c>
    </row>
    <row r="57" spans="1:7" s="9" customFormat="1" x14ac:dyDescent="0.25">
      <c r="A57" s="44" t="s">
        <v>31</v>
      </c>
      <c r="B57" s="45">
        <f>IF(44279.27336="","-",44279.27336)</f>
        <v>44279.273359999999</v>
      </c>
      <c r="C57" s="45">
        <f>IF(OR(48030.05893="",44279.27336=""),"-",44279.27336/48030.05893*100)</f>
        <v>92.190753762208629</v>
      </c>
      <c r="D57" s="45">
        <f>IF(48030.05893="","-",48030.05893/2362843.47408*100)</f>
        <v>2.0327228382616855</v>
      </c>
      <c r="E57" s="45">
        <f>IF(44279.27336="","-",44279.27336/1980083.42341*100)</f>
        <v>2.2362327181015669</v>
      </c>
      <c r="F57" s="45">
        <f>IF(OR(2276206.61995="",43232.41794="",48030.05893=""),"-",(48030.05893-43232.41794)/2276206.61995*100)</f>
        <v>0.21077352767322091</v>
      </c>
      <c r="G57" s="45">
        <f>IF(OR(2362843.47408="",44279.27336="",48030.05893=""),"-",(44279.27336-48030.05893)/2362843.47408*100)</f>
        <v>-0.15874033177167654</v>
      </c>
    </row>
    <row r="58" spans="1:7" s="9" customFormat="1" x14ac:dyDescent="0.25">
      <c r="A58" s="44" t="s">
        <v>280</v>
      </c>
      <c r="B58" s="45">
        <f>IF(47788.49659="","-",47788.49659)</f>
        <v>47788.496590000002</v>
      </c>
      <c r="C58" s="45">
        <f>IF(OR(50261.65125="",47788.49659=""),"-",47788.49659/50261.65125*100)</f>
        <v>95.079440093007292</v>
      </c>
      <c r="D58" s="45">
        <f>IF(50261.65125="","-",50261.65125/2362843.47408*100)</f>
        <v>2.1271680414450622</v>
      </c>
      <c r="E58" s="45">
        <f>IF(47788.49659="","-",47788.49659/1980083.42341*100)</f>
        <v>2.4134587474956515</v>
      </c>
      <c r="F58" s="45">
        <f>IF(OR(2276206.61995="",48580.75742="",50261.65125=""),"-",(50261.65125-48580.75742)/2276206.61995*100)</f>
        <v>7.3846276311986286E-2</v>
      </c>
      <c r="G58" s="45">
        <f>IF(OR(2362843.47408="",47788.49659="",50261.65125=""),"-",(47788.49659-50261.65125)/2362843.47408*100)</f>
        <v>-0.1046685778017078</v>
      </c>
    </row>
    <row r="59" spans="1:7" s="9" customFormat="1" ht="16.5" customHeight="1" x14ac:dyDescent="0.25">
      <c r="A59" s="44" t="s">
        <v>32</v>
      </c>
      <c r="B59" s="45">
        <f>IF(24762.90569="","-",24762.90569)</f>
        <v>24762.90569</v>
      </c>
      <c r="C59" s="45">
        <f>IF(OR(37822.78043="",24762.90569=""),"-",24762.90569/37822.78043*100)</f>
        <v>65.470876039453557</v>
      </c>
      <c r="D59" s="45">
        <f>IF(37822.78043="","-",37822.78043/2362843.47408*100)</f>
        <v>1.6007315272852227</v>
      </c>
      <c r="E59" s="45">
        <f>IF(24762.90569="","-",24762.90569/1980083.42341*100)</f>
        <v>1.2505991109886962</v>
      </c>
      <c r="F59" s="45">
        <f>IF(OR(2276206.61995="",43480.55719="",37822.78043=""),"-",(37822.78043-43480.55719)/2276206.61995*100)</f>
        <v>-0.24856165123200813</v>
      </c>
      <c r="G59" s="45">
        <f>IF(OR(2362843.47408="",24762.90569="",37822.78043=""),"-",(24762.90569-37822.78043)/2362843.47408*100)</f>
        <v>-0.55271857333186281</v>
      </c>
    </row>
    <row r="60" spans="1:7" s="9" customFormat="1" ht="16.5" customHeight="1" x14ac:dyDescent="0.25">
      <c r="A60" s="44" t="s">
        <v>33</v>
      </c>
      <c r="B60" s="45">
        <f>IF(51147.86049="","-",51147.86049)</f>
        <v>51147.860489999999</v>
      </c>
      <c r="C60" s="45">
        <f>IF(OR(61727.39999="",51147.86049=""),"-",51147.86049/61727.39999*100)</f>
        <v>82.860869724443418</v>
      </c>
      <c r="D60" s="45">
        <f>IF(61727.39999="","-",61727.39999/2362843.47408*100)</f>
        <v>2.6124201906363798</v>
      </c>
      <c r="E60" s="45">
        <f>IF(51147.86049="","-",51147.86049/1980083.42341*100)</f>
        <v>2.5831164427363231</v>
      </c>
      <c r="F60" s="45">
        <f>IF(OR(2276206.61995="",61888.78296="",61727.39999=""),"-",(61727.39999-61888.78296)/2276206.61995*100)</f>
        <v>-7.089996513741083E-3</v>
      </c>
      <c r="G60" s="45">
        <f>IF(OR(2362843.47408="",51147.86049="",61727.39999=""),"-",(51147.86049-61727.39999)/2362843.47408*100)</f>
        <v>-0.4477460998181127</v>
      </c>
    </row>
    <row r="61" spans="1:7" s="9" customFormat="1" ht="16.5" customHeight="1" x14ac:dyDescent="0.25">
      <c r="A61" s="52" t="s">
        <v>281</v>
      </c>
      <c r="B61" s="40">
        <f>IF(432865.13118="","-",432865.13118)</f>
        <v>432865.13118000003</v>
      </c>
      <c r="C61" s="40">
        <f>IF(550308.23143="","-",432865.13118/550308.23143*100)</f>
        <v>78.658669170762906</v>
      </c>
      <c r="D61" s="40">
        <f>IF(550308.23143="","-",550308.23143/2362843.47408*100)</f>
        <v>23.290084064678418</v>
      </c>
      <c r="E61" s="40">
        <f>IF(432865.13118="","-",432865.13118/1980083.42341*100)</f>
        <v>21.860954243763196</v>
      </c>
      <c r="F61" s="40">
        <f>IF(2276206.61995="","-",(550308.23143-534318.06606)/2276206.61995*100)</f>
        <v>0.70249182257238607</v>
      </c>
      <c r="G61" s="40">
        <f>IF(2362843.47408="","-",(432865.13118-550308.23143)/2362843.47408*100)</f>
        <v>-4.9704138906504509</v>
      </c>
    </row>
    <row r="62" spans="1:7" s="9" customFormat="1" ht="25.5" x14ac:dyDescent="0.25">
      <c r="A62" s="44" t="s">
        <v>282</v>
      </c>
      <c r="B62" s="45">
        <f>IF(6345.44979="","-",6345.44979)</f>
        <v>6345.4497899999997</v>
      </c>
      <c r="C62" s="45">
        <f>IF(OR(6095.68299="",6345.44979=""),"-",6345.44979/6095.68299*100)</f>
        <v>104.09743748829695</v>
      </c>
      <c r="D62" s="45">
        <f>IF(6095.68299="","-",6095.68299/2362843.47408*100)</f>
        <v>0.25798082085709989</v>
      </c>
      <c r="E62" s="45">
        <f>IF(6345.44979="","-",6345.44979/1980083.42341*100)</f>
        <v>0.32046376001028204</v>
      </c>
      <c r="F62" s="45">
        <f>IF(OR(2276206.61995="",12613.24877="",6095.68299=""),"-",(6095.68299-12613.24877)/2276206.61995*100)</f>
        <v>-0.2863345411122285</v>
      </c>
      <c r="G62" s="45">
        <f>IF(OR(2362843.47408="",6345.44979="",6095.68299=""),"-",(6345.44979-6095.68299)/2362843.47408*100)</f>
        <v>1.0570602866414964E-2</v>
      </c>
    </row>
    <row r="63" spans="1:7" s="9" customFormat="1" ht="25.5" x14ac:dyDescent="0.25">
      <c r="A63" s="44" t="s">
        <v>283</v>
      </c>
      <c r="B63" s="45">
        <f>IF(61940.25669="","-",61940.25669)</f>
        <v>61940.256690000002</v>
      </c>
      <c r="C63" s="45">
        <f>IF(OR(82222.56632="",61940.25669=""),"-",61940.25669/82222.56632*100)</f>
        <v>75.332429358792126</v>
      </c>
      <c r="D63" s="45">
        <f>IF(82222.56632="","-",82222.56632/2362843.47408*100)</f>
        <v>3.4798143517320494</v>
      </c>
      <c r="E63" s="45">
        <f>IF(61940.25669="","-",61940.25669/1980083.42341*100)</f>
        <v>3.1281639933801175</v>
      </c>
      <c r="F63" s="45">
        <f>IF(OR(2276206.61995="",88316.19153="",82222.56632=""),"-",(82222.56632-88316.19153)/2276206.61995*100)</f>
        <v>-0.26770966908680077</v>
      </c>
      <c r="G63" s="45">
        <f>IF(OR(2362843.47408="",61940.25669="",82222.56632=""),"-",(61940.25669-82222.56632)/2362843.47408*100)</f>
        <v>-0.85838566339639344</v>
      </c>
    </row>
    <row r="64" spans="1:7" s="9" customFormat="1" ht="25.5" x14ac:dyDescent="0.25">
      <c r="A64" s="44" t="s">
        <v>284</v>
      </c>
      <c r="B64" s="45">
        <f>IF(5126.49156="","-",5126.49156)</f>
        <v>5126.4915600000004</v>
      </c>
      <c r="C64" s="45">
        <f>IF(OR(4118.20217="",5126.49156=""),"-",5126.49156/4118.20217*100)</f>
        <v>124.48372732512063</v>
      </c>
      <c r="D64" s="45">
        <f>IF(4118.20217="","-",4118.20217/2362843.47408*100)</f>
        <v>0.17429009645268476</v>
      </c>
      <c r="E64" s="45">
        <f>IF(5126.49156="","-",5126.49156/1980083.42341*100)</f>
        <v>0.25890280679040356</v>
      </c>
      <c r="F64" s="45">
        <f>IF(OR(2276206.61995="",4244.94938="",4118.20217=""),"-",(4118.20217-4244.94938)/2276206.61995*100)</f>
        <v>-5.5683525778861239E-3</v>
      </c>
      <c r="G64" s="45">
        <f>IF(OR(2362843.47408="",5126.49156="",4118.20217=""),"-",(5126.49156-4118.20217)/2362843.47408*100)</f>
        <v>4.2672711970165089E-2</v>
      </c>
    </row>
    <row r="65" spans="1:7" s="9" customFormat="1" ht="38.25" x14ac:dyDescent="0.25">
      <c r="A65" s="44" t="s">
        <v>285</v>
      </c>
      <c r="B65" s="45">
        <f>IF(69523.83729="","-",69523.83729)</f>
        <v>69523.837289999996</v>
      </c>
      <c r="C65" s="45">
        <f>IF(OR(74663.13772="",69523.83729=""),"-",69523.83729/74663.13772*100)</f>
        <v>93.116683028681052</v>
      </c>
      <c r="D65" s="45">
        <f>IF(74663.13772="","-",74663.13772/2362843.47408*100)</f>
        <v>3.1598850511700074</v>
      </c>
      <c r="E65" s="45">
        <f>IF(69523.83729="","-",69523.83729/1980083.42341*100)</f>
        <v>3.51115697793528</v>
      </c>
      <c r="F65" s="45">
        <f>IF(OR(2276206.61995="",66405.61608="",74663.13772=""),"-",(74663.13772-66405.61608)/2276206.61995*100)</f>
        <v>0.36277557439760805</v>
      </c>
      <c r="G65" s="45">
        <f>IF(OR(2362843.47408="",69523.83729="",74663.13772=""),"-",(69523.83729-74663.13772)/2362843.47408*100)</f>
        <v>-0.21750490400135572</v>
      </c>
    </row>
    <row r="66" spans="1:7" s="9" customFormat="1" ht="27" customHeight="1" x14ac:dyDescent="0.25">
      <c r="A66" s="44" t="s">
        <v>286</v>
      </c>
      <c r="B66" s="45">
        <f>IF(16069.35376="","-",16069.35376)</f>
        <v>16069.35376</v>
      </c>
      <c r="C66" s="45">
        <f>IF(OR(18632.05379="",16069.35376=""),"-",16069.35376/18632.05379*100)</f>
        <v>86.245745858809045</v>
      </c>
      <c r="D66" s="45">
        <f>IF(18632.05379="","-",18632.05379/2362843.47408*100)</f>
        <v>0.78854371837959358</v>
      </c>
      <c r="E66" s="45">
        <f>IF(16069.35376="","-",16069.35376/1980083.42341*100)</f>
        <v>0.81154933019570308</v>
      </c>
      <c r="F66" s="45">
        <f>IF(OR(2276206.61995="",22376.60426="",18632.05379=""),"-",(18632.05379-22376.60426)/2276206.61995*100)</f>
        <v>-0.16450837271013</v>
      </c>
      <c r="G66" s="45">
        <f>IF(OR(2362843.47408="",16069.35376="",18632.05379=""),"-",(16069.35376-18632.05379)/2362843.47408*100)</f>
        <v>-0.1084583070403264</v>
      </c>
    </row>
    <row r="67" spans="1:7" s="9" customFormat="1" ht="38.25" x14ac:dyDescent="0.25">
      <c r="A67" s="44" t="s">
        <v>287</v>
      </c>
      <c r="B67" s="45">
        <f>IF(49458.51304="","-",49458.51304)</f>
        <v>49458.513039999998</v>
      </c>
      <c r="C67" s="45">
        <f>IF(OR(58393.75695="",49458.51304=""),"-",49458.51304/58393.75695*100)</f>
        <v>84.698289035160286</v>
      </c>
      <c r="D67" s="45">
        <f>IF(58393.75695="","-",58393.75695/2362843.47408*100)</f>
        <v>2.471334118851706</v>
      </c>
      <c r="E67" s="45">
        <f>IF(49458.51304="","-",49458.51304/1980083.42341*100)</f>
        <v>2.4977994591169819</v>
      </c>
      <c r="F67" s="45">
        <f>IF(OR(2276206.61995="",54218.5174899999="",58393.75695=""),"-",(58393.75695-54218.5174899999)/2276206.61995*100)</f>
        <v>0.18342972133574678</v>
      </c>
      <c r="G67" s="45">
        <f>IF(OR(2362843.47408="",49458.51304="",58393.75695=""),"-",(49458.51304-58393.75695)/2362843.47408*100)</f>
        <v>-0.37815640384215649</v>
      </c>
    </row>
    <row r="68" spans="1:7" s="9" customFormat="1" ht="51" x14ac:dyDescent="0.25">
      <c r="A68" s="44" t="s">
        <v>288</v>
      </c>
      <c r="B68" s="45">
        <f>IF(128654.81267="","-",128654.81267)</f>
        <v>128654.81267</v>
      </c>
      <c r="C68" s="45">
        <f>IF(OR(171528.20035="",128654.81267=""),"-",128654.81267/171528.20035*100)</f>
        <v>75.005050136060618</v>
      </c>
      <c r="D68" s="45">
        <f>IF(171528.20035="","-",171528.20035/2362843.47408*100)</f>
        <v>7.2593975111612696</v>
      </c>
      <c r="E68" s="45">
        <f>IF(128654.81267="","-",128654.81267/1980083.42341*100)</f>
        <v>6.4974440545761025</v>
      </c>
      <c r="F68" s="45">
        <f>IF(OR(2276206.61995="",165327.92531="",171528.20035=""),"-",(171528.20035-165327.92531)/2276206.61995*100)</f>
        <v>0.27239508863813972</v>
      </c>
      <c r="G68" s="45">
        <f>IF(OR(2362843.47408="",128654.81267="",171528.20035=""),"-",(128654.81267-171528.20035)/2362843.47408*100)</f>
        <v>-1.8144827683388227</v>
      </c>
    </row>
    <row r="69" spans="1:7" s="9" customFormat="1" ht="25.5" x14ac:dyDescent="0.25">
      <c r="A69" s="44" t="s">
        <v>289</v>
      </c>
      <c r="B69" s="45">
        <f>IF(92291.08835="","-",92291.08835)</f>
        <v>92291.088350000005</v>
      </c>
      <c r="C69" s="45">
        <f>IF(OR(131864.09462="",92291.08835=""),"-",92291.08835/131864.09462*100)</f>
        <v>69.989551451409355</v>
      </c>
      <c r="D69" s="45">
        <f>IF(131864.09462="","-",131864.09462/2362843.47408*100)</f>
        <v>5.580737618319926</v>
      </c>
      <c r="E69" s="45">
        <f>IF(92291.08835="","-",92291.08835/1980083.42341*100)</f>
        <v>4.6609696974817831</v>
      </c>
      <c r="F69" s="45">
        <f>IF(OR(2276206.61995="",119718.04373="",131864.09462=""),"-",(131864.09462-119718.04373)/2276206.61995*100)</f>
        <v>0.53360932981852005</v>
      </c>
      <c r="G69" s="45">
        <f>IF(OR(2362843.47408="",92291.08835="",131864.09462=""),"-",(92291.08835-131864.09462)/2362843.47408*100)</f>
        <v>-1.6748043915777444</v>
      </c>
    </row>
    <row r="70" spans="1:7" s="9" customFormat="1" x14ac:dyDescent="0.25">
      <c r="A70" s="44" t="s">
        <v>34</v>
      </c>
      <c r="B70" s="45">
        <f>IF(3455.32803="","-",3455.32803)</f>
        <v>3455.3280300000001</v>
      </c>
      <c r="C70" s="45">
        <f>IF(OR(2790.53652="",3455.32803=""),"-",3455.32803/2790.53652*100)</f>
        <v>123.8230714859091</v>
      </c>
      <c r="D70" s="45">
        <f>IF(2790.53652="","-",2790.53652/2362843.47408*100)</f>
        <v>0.11810077775407984</v>
      </c>
      <c r="E70" s="45">
        <f>IF(3455.32803="","-",3455.32803/1980083.42341*100)</f>
        <v>0.17450416427654386</v>
      </c>
      <c r="F70" s="45">
        <f>IF(OR(2276206.61995="",1096.96951="",2790.53652=""),"-",(2790.53652-1096.96951)/2276206.61995*100)</f>
        <v>7.4403043869418206E-2</v>
      </c>
      <c r="G70" s="45">
        <f>IF(OR(2362843.47408="",3455.32803="",2790.53652=""),"-",(3455.32803-2790.53652)/2362843.47408*100)</f>
        <v>2.813523270976907E-2</v>
      </c>
    </row>
    <row r="71" spans="1:7" s="9" customFormat="1" x14ac:dyDescent="0.25">
      <c r="A71" s="52" t="s">
        <v>35</v>
      </c>
      <c r="B71" s="40">
        <f>IF(190760.32933="","-",190760.32933)</f>
        <v>190760.32933000001</v>
      </c>
      <c r="C71" s="40">
        <f>IF(244409.17131="","-",190760.32933/244409.17131*100)</f>
        <v>78.04957903484167</v>
      </c>
      <c r="D71" s="40">
        <f>IF(244409.17131="","-",244409.17131/2362843.47408*100)</f>
        <v>10.343857897957607</v>
      </c>
      <c r="E71" s="40">
        <f>IF(190760.32933="","-",190760.32933/1980083.42341*100)</f>
        <v>9.633954159440524</v>
      </c>
      <c r="F71" s="40">
        <f>IF(2276206.61995="","-",(244409.17131-225069.34396)/2276206.61995*100)</f>
        <v>0.84965166081560872</v>
      </c>
      <c r="G71" s="40">
        <f>IF(2362843.47408="","-",(190760.32933-244409.17131)/2362843.47408*100)</f>
        <v>-2.2705203526394735</v>
      </c>
    </row>
    <row r="72" spans="1:7" s="9" customFormat="1" ht="38.25" x14ac:dyDescent="0.25">
      <c r="A72" s="44" t="s">
        <v>290</v>
      </c>
      <c r="B72" s="45">
        <f>IF(13304.09202="","-",13304.09202)</f>
        <v>13304.09202</v>
      </c>
      <c r="C72" s="45">
        <f>IF(OR(15535.49527="",13304.09202=""),"-",13304.09202/15535.49527*100)</f>
        <v>85.636742110765042</v>
      </c>
      <c r="D72" s="45">
        <f>IF(15535.49527="","-",15535.49527/2362843.47408*100)</f>
        <v>0.65749151141079798</v>
      </c>
      <c r="E72" s="45">
        <f>IF(13304.09202="","-",13304.09202/1980083.42341*100)</f>
        <v>0.67189553039580341</v>
      </c>
      <c r="F72" s="45">
        <f>IF(OR(2276206.61995="",14193.89768="",15535.49527=""),"-",(15535.49527-14193.89768)/2276206.61995*100)</f>
        <v>5.8940061866152971E-2</v>
      </c>
      <c r="G72" s="45">
        <f>IF(OR(2362843.47408="",13304.09202="",15535.49527=""),"-",(13304.09202-15535.49527)/2362843.47408*100)</f>
        <v>-9.4437201383761632E-2</v>
      </c>
    </row>
    <row r="73" spans="1:7" s="9" customFormat="1" x14ac:dyDescent="0.25">
      <c r="A73" s="44" t="s">
        <v>291</v>
      </c>
      <c r="B73" s="45">
        <f>IF(16694.36799="","-",16694.36799)</f>
        <v>16694.367989999999</v>
      </c>
      <c r="C73" s="45">
        <f>IF(OR(20495.61609="",16694.36799=""),"-",16694.36799/20495.61609*100)</f>
        <v>81.4533601561035</v>
      </c>
      <c r="D73" s="45">
        <f>IF(20495.61609="","-",20495.61609/2362843.47408*100)</f>
        <v>0.86741319578861231</v>
      </c>
      <c r="E73" s="45">
        <f>IF(16694.36799="","-",16694.36799/1980083.42341*100)</f>
        <v>0.8431143755170577</v>
      </c>
      <c r="F73" s="45">
        <f>IF(OR(2276206.61995="",20419.27482="",20495.61609=""),"-",(20495.61609-20419.27482)/2276206.61995*100)</f>
        <v>3.3538813801392833E-3</v>
      </c>
      <c r="G73" s="45">
        <f>IF(OR(2362843.47408="",16694.36799="",20495.61609=""),"-",(16694.36799-20495.61609)/2362843.47408*100)</f>
        <v>-0.16087600138134667</v>
      </c>
    </row>
    <row r="74" spans="1:7" s="9" customFormat="1" x14ac:dyDescent="0.25">
      <c r="A74" s="44" t="s">
        <v>292</v>
      </c>
      <c r="B74" s="45">
        <f>IF(2983.19891="","-",2983.19891)</f>
        <v>2983.1989100000001</v>
      </c>
      <c r="C74" s="45">
        <f>IF(OR(4133.41874="",2983.19891=""),"-",2983.19891/4133.41874*100)</f>
        <v>72.172675880402096</v>
      </c>
      <c r="D74" s="45">
        <f>IF(4133.41874="","-",4133.41874/2362843.47408*100)</f>
        <v>0.17493409044411601</v>
      </c>
      <c r="E74" s="45">
        <f>IF(2983.19891="","-",2983.19891/1980083.42341*100)</f>
        <v>0.15066026384193881</v>
      </c>
      <c r="F74" s="45">
        <f>IF(OR(2276206.61995="",3186.23017="",4133.41874=""),"-",(4133.41874-3186.23017)/2276206.61995*100)</f>
        <v>4.161259183143956E-2</v>
      </c>
      <c r="G74" s="45">
        <f>IF(OR(2362843.47408="",2983.19891="",4133.41874=""),"-",(2983.19891-4133.41874)/2362843.47408*100)</f>
        <v>-4.8679476343554712E-2</v>
      </c>
    </row>
    <row r="75" spans="1:7" x14ac:dyDescent="0.25">
      <c r="A75" s="44" t="s">
        <v>293</v>
      </c>
      <c r="B75" s="45">
        <f>IF(43149.55162="","-",43149.55162)</f>
        <v>43149.551619999998</v>
      </c>
      <c r="C75" s="45">
        <f>IF(OR(56896.13905="",43149.55162=""),"-",43149.55162/56896.13905*100)</f>
        <v>75.83915594357012</v>
      </c>
      <c r="D75" s="45">
        <f>IF(56896.13905="","-",56896.13905/2362843.47408*100)</f>
        <v>2.4079520998382322</v>
      </c>
      <c r="E75" s="45">
        <f>IF(43149.55162="","-",43149.55162/1980083.42341*100)</f>
        <v>2.1791784684349316</v>
      </c>
      <c r="F75" s="45">
        <f>IF(OR(2276206.61995="",58385.72414="",56896.13905=""),"-",(56896.13905-58385.72414)/2276206.61995*100)</f>
        <v>-6.5441558641663261E-2</v>
      </c>
      <c r="G75" s="45">
        <f>IF(OR(2362843.47408="",43149.55162="",56896.13905=""),"-",(43149.55162-56896.13905)/2362843.47408*100)</f>
        <v>-0.58178155179544389</v>
      </c>
    </row>
    <row r="76" spans="1:7" x14ac:dyDescent="0.25">
      <c r="A76" s="44" t="s">
        <v>294</v>
      </c>
      <c r="B76" s="45">
        <f>IF(15129.19862="","-",15129.19862)</f>
        <v>15129.198619999999</v>
      </c>
      <c r="C76" s="45">
        <f>IF(OR(21057.52587="",15129.19862=""),"-",15129.19862/21057.52587*100)</f>
        <v>71.846990541059213</v>
      </c>
      <c r="D76" s="45">
        <f>IF(21057.52587="","-",21057.52587/2362843.47408*100)</f>
        <v>0.89119427930785755</v>
      </c>
      <c r="E76" s="45">
        <f>IF(15129.19862="","-",15129.19862/1980083.42341*100)</f>
        <v>0.7640687478684739</v>
      </c>
      <c r="F76" s="45">
        <f>IF(OR(2276206.61995="",18661.5643="",21057.52587=""),"-",(21057.52587-18661.5643)/2276206.61995*100)</f>
        <v>0.10526116341989346</v>
      </c>
      <c r="G76" s="45">
        <f>IF(OR(2362843.47408="",15129.19862="",21057.52587=""),"-",(15129.19862-21057.52587)/2362843.47408*100)</f>
        <v>-0.25089800975108023</v>
      </c>
    </row>
    <row r="77" spans="1:7" ht="25.5" x14ac:dyDescent="0.25">
      <c r="A77" s="44" t="s">
        <v>295</v>
      </c>
      <c r="B77" s="45">
        <f>IF(20511.14485="","-",20511.14485)</f>
        <v>20511.144850000001</v>
      </c>
      <c r="C77" s="45">
        <f>IF(OR(23791.41991="",20511.14485=""),"-",20511.14485/23791.41991*100)</f>
        <v>86.212361126789091</v>
      </c>
      <c r="D77" s="45">
        <f>IF(23791.41991="","-",23791.41991/2362843.47408*100)</f>
        <v>1.0068978402923394</v>
      </c>
      <c r="E77" s="45">
        <f>IF(20511.14485="","-",20511.14485/1980083.42341*100)</f>
        <v>1.035872762101949</v>
      </c>
      <c r="F77" s="45">
        <f>IF(OR(2276206.61995="",22348.94347="",23791.41991=""),"-",(23791.41991-22348.94347)/2276206.61995*100)</f>
        <v>6.3371946437432297E-2</v>
      </c>
      <c r="G77" s="45">
        <f>IF(OR(2362843.47408="",20511.14485="",23791.41991=""),"-",(20511.14485-23791.41991)/2362843.47408*100)</f>
        <v>-0.13882743804166767</v>
      </c>
    </row>
    <row r="78" spans="1:7" ht="25.5" x14ac:dyDescent="0.25">
      <c r="A78" s="44" t="s">
        <v>296</v>
      </c>
      <c r="B78" s="45">
        <f>IF(4117.78681="","-",4117.78681)</f>
        <v>4117.7868099999996</v>
      </c>
      <c r="C78" s="45">
        <f>IF(OR(4966.26944="",4117.78681=""),"-",4117.78681/4966.26944*100)</f>
        <v>82.915090688273239</v>
      </c>
      <c r="D78" s="45">
        <f>IF(4966.26944="","-",4966.26944/2362843.47408*100)</f>
        <v>0.21018190559294975</v>
      </c>
      <c r="E78" s="45">
        <f>IF(4117.78681="","-",4117.78681/1980083.42341*100)</f>
        <v>0.20796026881072285</v>
      </c>
      <c r="F78" s="45">
        <f>IF(OR(2276206.61995="",4983.71305="",4966.26944=""),"-",(4966.26944-4983.71305)/2276206.61995*100)</f>
        <v>-7.6634563168010794E-4</v>
      </c>
      <c r="G78" s="45">
        <f>IF(OR(2362843.47408="",4117.78681="",4966.26944=""),"-",(4117.78681-4966.26944)/2362843.47408*100)</f>
        <v>-3.5909387960214624E-2</v>
      </c>
    </row>
    <row r="79" spans="1:7" x14ac:dyDescent="0.25">
      <c r="A79" s="56" t="s">
        <v>36</v>
      </c>
      <c r="B79" s="45">
        <f>IF(74870.98851="","-",74870.98851)</f>
        <v>74870.988509999996</v>
      </c>
      <c r="C79" s="45">
        <f>IF(OR(97533.28694="",74870.98851=""),"-",74870.98851/97533.28694*100)</f>
        <v>76.764549682467603</v>
      </c>
      <c r="D79" s="45">
        <f>IF(97533.28694="","-",97533.28694/2362843.47408*100)</f>
        <v>4.1277929752827029</v>
      </c>
      <c r="E79" s="45">
        <f>IF(74870.98851="","-",74870.98851/1980083.42341*100)</f>
        <v>3.781203742469645</v>
      </c>
      <c r="F79" s="45">
        <f>IF(OR(2276206.61995="",82889.99633="",97533.28694=""),"-",(97533.28694-82889.99633)/2276206.61995*100)</f>
        <v>0.64331992015389494</v>
      </c>
      <c r="G79" s="45">
        <f>IF(OR(2362843.47408="",74870.98851="",97533.28694=""),"-",(74870.98851-97533.28694)/2362843.47408*100)</f>
        <v>-0.95911128598240447</v>
      </c>
    </row>
    <row r="80" spans="1:7" ht="25.5" x14ac:dyDescent="0.25">
      <c r="A80" s="53" t="s">
        <v>297</v>
      </c>
      <c r="B80" s="54">
        <f>IF(174.27118="","-",174.27118)</f>
        <v>174.27117999999999</v>
      </c>
      <c r="C80" s="54">
        <f>IF(133.0289="","-",174.27118/133.0289*100)</f>
        <v>131.00249645001952</v>
      </c>
      <c r="D80" s="54">
        <f>IF(133.0289="","-",133.0289/2362843.47408*100)</f>
        <v>5.6300343826963112E-3</v>
      </c>
      <c r="E80" s="54">
        <f>IF(174.27118="","-",174.27118/1980083.42341*100)</f>
        <v>8.8012039260385762E-3</v>
      </c>
      <c r="F80" s="54">
        <f>IF(2276206.61995="","-",(133.0289-271.70582)/2276206.61995*100)</f>
        <v>-6.0924574590265554E-3</v>
      </c>
      <c r="G80" s="54">
        <f>IF(2362843.47408="","-",(174.27118-133.0289)/2362843.47408*100)</f>
        <v>1.745451209630301E-3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A85" sqref="A85"/>
    </sheetView>
  </sheetViews>
  <sheetFormatPr defaultRowHeight="15.75" x14ac:dyDescent="0.25"/>
  <cols>
    <col min="1" max="1" width="42.125" customWidth="1"/>
    <col min="2" max="2" width="13.125" customWidth="1"/>
    <col min="3" max="3" width="13.25" customWidth="1"/>
    <col min="4" max="4" width="17.625" customWidth="1"/>
    <col min="6" max="6" width="12.125" bestFit="1" customWidth="1"/>
  </cols>
  <sheetData>
    <row r="1" spans="1:6" x14ac:dyDescent="0.25">
      <c r="A1" s="92" t="s">
        <v>170</v>
      </c>
      <c r="B1" s="92"/>
      <c r="C1" s="92"/>
      <c r="D1" s="92"/>
    </row>
    <row r="2" spans="1:6" x14ac:dyDescent="0.25">
      <c r="A2" s="92" t="s">
        <v>23</v>
      </c>
      <c r="B2" s="92"/>
      <c r="C2" s="92"/>
      <c r="D2" s="92"/>
    </row>
    <row r="3" spans="1:6" x14ac:dyDescent="0.25">
      <c r="A3" s="5"/>
    </row>
    <row r="4" spans="1:6" ht="25.5" customHeight="1" x14ac:dyDescent="0.25">
      <c r="A4" s="93"/>
      <c r="B4" s="97" t="s">
        <v>196</v>
      </c>
      <c r="C4" s="98"/>
      <c r="D4" s="95" t="s">
        <v>199</v>
      </c>
      <c r="E4" s="1"/>
    </row>
    <row r="5" spans="1:6" ht="27" customHeight="1" x14ac:dyDescent="0.25">
      <c r="A5" s="94"/>
      <c r="B5" s="21">
        <v>2019</v>
      </c>
      <c r="C5" s="20">
        <v>2020</v>
      </c>
      <c r="D5" s="96"/>
      <c r="E5" s="1"/>
    </row>
    <row r="6" spans="1:6" ht="14.25" customHeight="1" x14ac:dyDescent="0.25">
      <c r="A6" s="41" t="s">
        <v>144</v>
      </c>
      <c r="B6" s="39">
        <f>IF(-1203842.33494="","-",-1203842.33494)</f>
        <v>-1203842.33494</v>
      </c>
      <c r="C6" s="39">
        <f>IF(-999533.84472="","-",-999533.84472)</f>
        <v>-999533.84472000005</v>
      </c>
      <c r="D6" s="58">
        <f>IF(-1203842.33494="","-",-999533.84472/-1203842.33494*100)</f>
        <v>83.028633875865253</v>
      </c>
      <c r="F6" s="18"/>
    </row>
    <row r="7" spans="1:6" x14ac:dyDescent="0.25">
      <c r="A7" s="55" t="s">
        <v>142</v>
      </c>
      <c r="B7" s="51"/>
      <c r="C7" s="51"/>
      <c r="D7" s="59"/>
    </row>
    <row r="8" spans="1:6" x14ac:dyDescent="0.25">
      <c r="A8" s="52" t="s">
        <v>298</v>
      </c>
      <c r="B8" s="40">
        <f>IF(-6563.06574="","-",-6563.06574)</f>
        <v>-6563.06574</v>
      </c>
      <c r="C8" s="40">
        <f>IF(14270.4206="","-",14270.4206)</f>
        <v>14270.420599999999</v>
      </c>
      <c r="D8" s="60" t="s">
        <v>22</v>
      </c>
    </row>
    <row r="9" spans="1:6" x14ac:dyDescent="0.25">
      <c r="A9" s="44" t="s">
        <v>24</v>
      </c>
      <c r="B9" s="45">
        <f>IF(OR(1889.55344="",1889.55344=0),"-",1889.55344)</f>
        <v>1889.5534399999999</v>
      </c>
      <c r="C9" s="45">
        <f>IF(OR(2305.46698="",2305.46698=0),"-",2305.46698)</f>
        <v>2305.4669800000001</v>
      </c>
      <c r="D9" s="61">
        <f>IF(OR(1889.55344="",2305.46698="",1889.55344=0,2305.46698=0),"-",2305.46698/1889.55344*100)</f>
        <v>122.01120810851481</v>
      </c>
    </row>
    <row r="10" spans="1:6" x14ac:dyDescent="0.25">
      <c r="A10" s="44" t="s">
        <v>299</v>
      </c>
      <c r="B10" s="45">
        <f>IF(OR(-15275.28352="",-15275.28352=0),"-",-15275.28352)</f>
        <v>-15275.283520000001</v>
      </c>
      <c r="C10" s="45">
        <f>IF(OR(-13353.01899="",-13353.01899=0),"-",-13353.01899)</f>
        <v>-13353.01899</v>
      </c>
      <c r="D10" s="61">
        <f>IF(OR(-15275.28352="",-13353.01899="",-15275.28352=0,-13353.01899=0),"-",-13353.01899/-15275.28352*100)</f>
        <v>87.415850399875268</v>
      </c>
    </row>
    <row r="11" spans="1:6" x14ac:dyDescent="0.25">
      <c r="A11" s="44" t="s">
        <v>300</v>
      </c>
      <c r="B11" s="45">
        <f>IF(OR(-18470.71144="",-18470.71144=0),"-",-18470.71144)</f>
        <v>-18470.711439999999</v>
      </c>
      <c r="C11" s="45">
        <f>IF(OR(-28785.73998="",-28785.73998=0),"-",-28785.73998)</f>
        <v>-28785.739979999998</v>
      </c>
      <c r="D11" s="61" t="s">
        <v>107</v>
      </c>
    </row>
    <row r="12" spans="1:6" x14ac:dyDescent="0.25">
      <c r="A12" s="44" t="s">
        <v>301</v>
      </c>
      <c r="B12" s="45">
        <f>IF(OR(-21619.33502="",-21619.33502=0),"-",-21619.33502)</f>
        <v>-21619.335019999999</v>
      </c>
      <c r="C12" s="45">
        <f>IF(OR(-22022.10998="",-22022.10998=0),"-",-22022.10998)</f>
        <v>-22022.109980000001</v>
      </c>
      <c r="D12" s="61">
        <f>IF(OR(-21619.33502="",-22022.10998="",-21619.33502=0,-22022.10998=0),"-",-22022.10998/-21619.33502*100)</f>
        <v>101.86303121547169</v>
      </c>
    </row>
    <row r="13" spans="1:6" x14ac:dyDescent="0.25">
      <c r="A13" s="44" t="s">
        <v>302</v>
      </c>
      <c r="B13" s="45">
        <f>IF(OR(60513.68149="",60513.68149=0),"-",60513.68149)</f>
        <v>60513.681490000003</v>
      </c>
      <c r="C13" s="45">
        <f>IF(OR(56964.11371="",56964.11371=0),"-",56964.11371)</f>
        <v>56964.113709999998</v>
      </c>
      <c r="D13" s="61">
        <f>IF(OR(60513.68149="",56964.11371="",60513.68149=0,56964.11371=0),"-",56964.11371/60513.68149*100)</f>
        <v>94.13427229578393</v>
      </c>
    </row>
    <row r="14" spans="1:6" x14ac:dyDescent="0.25">
      <c r="A14" s="44" t="s">
        <v>303</v>
      </c>
      <c r="B14" s="45">
        <f>IF(OR(35576.0001="",35576.0001=0),"-",35576.0001)</f>
        <v>35576.000099999997</v>
      </c>
      <c r="C14" s="45">
        <f>IF(OR(65366.74918="",65366.74918=0),"-",65366.74918)</f>
        <v>65366.749179999999</v>
      </c>
      <c r="D14" s="61" t="s">
        <v>105</v>
      </c>
    </row>
    <row r="15" spans="1:6" x14ac:dyDescent="0.25">
      <c r="A15" s="44" t="s">
        <v>248</v>
      </c>
      <c r="B15" s="45">
        <f>IF(OR(-2068.28026="",-2068.28026=0),"-",-2068.28026)</f>
        <v>-2068.28026</v>
      </c>
      <c r="C15" s="45">
        <f>IF(OR(1339.04145="",1339.04145=0),"-",1339.04145)</f>
        <v>1339.0414499999999</v>
      </c>
      <c r="D15" s="61" t="s">
        <v>22</v>
      </c>
    </row>
    <row r="16" spans="1:6" x14ac:dyDescent="0.25">
      <c r="A16" s="44" t="s">
        <v>304</v>
      </c>
      <c r="B16" s="45">
        <f>IF(OR(-16172.92431="",-16172.92431=0),"-",-16172.92431)</f>
        <v>-16172.92431</v>
      </c>
      <c r="C16" s="45">
        <f>IF(OR(-16476.90149="",-16476.90149=0),"-",-16476.90149)</f>
        <v>-16476.90149</v>
      </c>
      <c r="D16" s="61">
        <f>IF(OR(-16172.92431="",-16476.90149="",-16172.92431=0,-16476.90149=0),"-",-16476.90149/-16172.92431*100)</f>
        <v>101.87954370015846</v>
      </c>
    </row>
    <row r="17" spans="1:4" x14ac:dyDescent="0.25">
      <c r="A17" s="44" t="s">
        <v>250</v>
      </c>
      <c r="B17" s="45">
        <f>IF(OR(-3371.62538="",-3371.62538=0),"-",-3371.62538)</f>
        <v>-3371.62538</v>
      </c>
      <c r="C17" s="45">
        <f>IF(OR(-886.51856="",-886.51856=0),"-",-886.51856)</f>
        <v>-886.51855999999998</v>
      </c>
      <c r="D17" s="61">
        <f>IF(OR(-3371.62538="",-886.51856="",-3371.62538=0,-886.51856=0),"-",-886.51856/-3371.62538*100)</f>
        <v>26.293507139277732</v>
      </c>
    </row>
    <row r="18" spans="1:4" x14ac:dyDescent="0.25">
      <c r="A18" s="44" t="s">
        <v>305</v>
      </c>
      <c r="B18" s="45">
        <f>IF(OR(-27564.14084="",-27564.14084=0),"-",-27564.14084)</f>
        <v>-27564.14084</v>
      </c>
      <c r="C18" s="45">
        <f>IF(OR(-30180.66172="",-30180.66172=0),"-",-30180.66172)</f>
        <v>-30180.66172</v>
      </c>
      <c r="D18" s="61">
        <f>IF(OR(-27564.14084="",-30180.66172="",-27564.14084=0,-30180.66172=0),"-",-30180.66172/-27564.14084*100)</f>
        <v>109.49248117395702</v>
      </c>
    </row>
    <row r="19" spans="1:4" x14ac:dyDescent="0.25">
      <c r="A19" s="52" t="s">
        <v>306</v>
      </c>
      <c r="B19" s="40">
        <f>IF(40204.97472="","-",40204.97472)</f>
        <v>40204.974719999998</v>
      </c>
      <c r="C19" s="40">
        <f>IF(32136.49532="","-",32136.49532)</f>
        <v>32136.495320000002</v>
      </c>
      <c r="D19" s="60">
        <f>IF(40204.97472="","-",32136.49532/40204.97472*100)</f>
        <v>79.931639166069857</v>
      </c>
    </row>
    <row r="20" spans="1:4" x14ac:dyDescent="0.25">
      <c r="A20" s="44" t="s">
        <v>307</v>
      </c>
      <c r="B20" s="45">
        <f>IF(OR(51849.17923="",51849.17923=0),"-",51849.17923)</f>
        <v>51849.179230000002</v>
      </c>
      <c r="C20" s="45">
        <f>IF(OR(47000.08111="",47000.08111=0),"-",47000.08111)</f>
        <v>47000.081109999999</v>
      </c>
      <c r="D20" s="61">
        <f>IF(OR(51849.17923="",47000.08111="",51849.17923=0,47000.08111=0),"-",47000.08111/51849.17923*100)</f>
        <v>90.647685861159573</v>
      </c>
    </row>
    <row r="21" spans="1:4" x14ac:dyDescent="0.25">
      <c r="A21" s="44" t="s">
        <v>308</v>
      </c>
      <c r="B21" s="45">
        <f>IF(OR(-11644.20451="",-11644.20451=0),"-",-11644.20451)</f>
        <v>-11644.20451</v>
      </c>
      <c r="C21" s="45">
        <f>IF(OR(-14863.58579="",-14863.58579=0),"-",-14863.58579)</f>
        <v>-14863.585789999999</v>
      </c>
      <c r="D21" s="61">
        <f>IF(OR(-11644.20451="",-14863.58579="",-11644.20451=0,-14863.58579=0),"-",-14863.58579/-11644.20451*100)</f>
        <v>127.64792800775018</v>
      </c>
    </row>
    <row r="22" spans="1:4" x14ac:dyDescent="0.25">
      <c r="A22" s="52" t="s">
        <v>25</v>
      </c>
      <c r="B22" s="40">
        <f>IF(64196.1313599999="","-",64196.1313599999)</f>
        <v>64196.131359999898</v>
      </c>
      <c r="C22" s="40">
        <f>IF(24707.3442="","-",24707.3442)</f>
        <v>24707.3442</v>
      </c>
      <c r="D22" s="60">
        <f>IF(64196.1313599999="","-",24707.3442/64196.1313599999*100)</f>
        <v>38.487279025344748</v>
      </c>
    </row>
    <row r="23" spans="1:4" x14ac:dyDescent="0.25">
      <c r="A23" s="44" t="s">
        <v>316</v>
      </c>
      <c r="B23" s="45">
        <f>IF(OR(699.57073="",699.57073=0),"-",699.57073)</f>
        <v>699.57073000000003</v>
      </c>
      <c r="C23" s="45">
        <f>IF(OR(600.94466="",600.94466=0),"-",600.94466)</f>
        <v>600.94466</v>
      </c>
      <c r="D23" s="61">
        <f>IF(OR(699.57073="",600.94466="",699.57073=0,600.94466=0),"-",600.94466/699.57073*100)</f>
        <v>85.901915879184926</v>
      </c>
    </row>
    <row r="24" spans="1:4" x14ac:dyDescent="0.25">
      <c r="A24" s="44" t="s">
        <v>309</v>
      </c>
      <c r="B24" s="45">
        <f>IF(OR(97424.18198="",97424.18198=0),"-",97424.18198)</f>
        <v>97424.181979999994</v>
      </c>
      <c r="C24" s="45">
        <f>IF(OR(53963.35098="",53963.35098=0),"-",53963.35098)</f>
        <v>53963.350980000003</v>
      </c>
      <c r="D24" s="61">
        <f>IF(OR(97424.18198="",53963.35098="",97424.18198=0,53963.35098=0),"-",53963.35098/97424.18198*100)</f>
        <v>55.390099134810313</v>
      </c>
    </row>
    <row r="25" spans="1:4" x14ac:dyDescent="0.25">
      <c r="A25" s="44" t="s">
        <v>310</v>
      </c>
      <c r="B25" s="45">
        <f>IF(OR(-544.46827="",-544.46827=0),"-",-544.46827)</f>
        <v>-544.46826999999996</v>
      </c>
      <c r="C25" s="45">
        <f>IF(OR(-447.64544="",-447.64544=0),"-",-447.64544)</f>
        <v>-447.64544000000001</v>
      </c>
      <c r="D25" s="61">
        <f>IF(OR(-544.46827="",-447.64544="",-544.46827=0,-447.64544=0),"-",-447.64544/-544.46827*100)</f>
        <v>82.216993104116071</v>
      </c>
    </row>
    <row r="26" spans="1:4" x14ac:dyDescent="0.25">
      <c r="A26" s="44" t="s">
        <v>311</v>
      </c>
      <c r="B26" s="45">
        <f>IF(OR(-13612.69164="",-13612.69164=0),"-",-13612.69164)</f>
        <v>-13612.691639999999</v>
      </c>
      <c r="C26" s="45">
        <f>IF(OR(-11476.778="",-11476.778=0),"-",-11476.778)</f>
        <v>-11476.778</v>
      </c>
      <c r="D26" s="61">
        <f>IF(OR(-13612.69164="",-11476.778="",-13612.69164=0,-11476.778=0),"-",-11476.778/-13612.69164*100)</f>
        <v>84.30939525785071</v>
      </c>
    </row>
    <row r="27" spans="1:4" x14ac:dyDescent="0.25">
      <c r="A27" s="44" t="s">
        <v>259</v>
      </c>
      <c r="B27" s="45">
        <f>IF(OR(885.53867="",885.53867=0),"-",885.53867)</f>
        <v>885.53867000000002</v>
      </c>
      <c r="C27" s="45">
        <f>IF(OR(538.56311="",538.56311=0),"-",538.56311)</f>
        <v>538.56311000000005</v>
      </c>
      <c r="D27" s="61">
        <f>IF(OR(885.53867="",538.56311="",885.53867=0,538.56311=0),"-",538.56311/885.53867*100)</f>
        <v>60.817571072305633</v>
      </c>
    </row>
    <row r="28" spans="1:4" ht="25.5" x14ac:dyDescent="0.25">
      <c r="A28" s="44" t="s">
        <v>260</v>
      </c>
      <c r="B28" s="45">
        <f>IF(OR(-3078.76359="",-3078.76359=0),"-",-3078.76359)</f>
        <v>-3078.76359</v>
      </c>
      <c r="C28" s="45">
        <f>IF(OR(-2497.84946="",-2497.84946=0),"-",-2497.84946)</f>
        <v>-2497.8494599999999</v>
      </c>
      <c r="D28" s="61">
        <f>IF(OR(-3078.76359="",-2497.84946="",-3078.76359=0,-2497.84946=0),"-",-2497.84946/-3078.76359*100)</f>
        <v>81.131577238121096</v>
      </c>
    </row>
    <row r="29" spans="1:4" ht="25.5" x14ac:dyDescent="0.25">
      <c r="A29" s="44" t="s">
        <v>261</v>
      </c>
      <c r="B29" s="45">
        <f>IF(OR(-6954.38697="",-6954.38697=0),"-",-6954.38697)</f>
        <v>-6954.3869699999996</v>
      </c>
      <c r="C29" s="45">
        <f>IF(OR(-2415.11431="",-2415.11431=0),"-",-2415.11431)</f>
        <v>-2415.1143099999999</v>
      </c>
      <c r="D29" s="61">
        <f>IF(OR(-6954.38697="",-2415.11431="",-6954.38697=0,-2415.11431=0),"-",-2415.11431/-6954.38697*100)</f>
        <v>34.727925271032198</v>
      </c>
    </row>
    <row r="30" spans="1:4" x14ac:dyDescent="0.25">
      <c r="A30" s="44" t="s">
        <v>262</v>
      </c>
      <c r="B30" s="45">
        <f>IF(OR(6588.76895="",6588.76895=0),"-",6588.76895)</f>
        <v>6588.7689499999997</v>
      </c>
      <c r="C30" s="45">
        <f>IF(OR(3212.9452="",3212.9452=0),"-",3212.9452)</f>
        <v>3212.9452000000001</v>
      </c>
      <c r="D30" s="61">
        <f>IF(OR(6588.76895="",3212.9452="",6588.76895=0,3212.9452=0),"-",3212.9452/6588.76895*100)</f>
        <v>48.763968267547156</v>
      </c>
    </row>
    <row r="31" spans="1:4" x14ac:dyDescent="0.25">
      <c r="A31" s="44" t="s">
        <v>263</v>
      </c>
      <c r="B31" s="45">
        <f>IF(OR(-17211.6185="",-17211.6185=0),"-",-17211.6185)</f>
        <v>-17211.6185</v>
      </c>
      <c r="C31" s="45">
        <f>IF(OR(-16771.07254="",-16771.07254=0),"-",-16771.07254)</f>
        <v>-16771.072540000001</v>
      </c>
      <c r="D31" s="61">
        <f>IF(OR(-17211.6185="",-16771.07254="",-17211.6185=0,-16771.07254=0),"-",-16771.07254/-17211.6185*100)</f>
        <v>97.440415263677849</v>
      </c>
    </row>
    <row r="32" spans="1:4" x14ac:dyDescent="0.25">
      <c r="A32" s="52" t="s">
        <v>264</v>
      </c>
      <c r="B32" s="40">
        <f>IF(-390762.76336="","-",-390762.76336)</f>
        <v>-390762.76335999998</v>
      </c>
      <c r="C32" s="40">
        <f>IF(-267767.73626="","-",-267767.73626)</f>
        <v>-267767.73625999998</v>
      </c>
      <c r="D32" s="60">
        <f>IF(-390762.76336="","-",-267767.73626/-390762.76336*100)</f>
        <v>68.524373703773875</v>
      </c>
    </row>
    <row r="33" spans="1:4" x14ac:dyDescent="0.25">
      <c r="A33" s="44" t="s">
        <v>312</v>
      </c>
      <c r="B33" s="45">
        <f>IF(OR(-7222.82962="",-7222.82962=0),"-",-7222.82962)</f>
        <v>-7222.8296200000004</v>
      </c>
      <c r="C33" s="45">
        <f>IF(OR(-4846.15693="",-4846.15693=0),"-",-4846.15693)</f>
        <v>-4846.1569300000001</v>
      </c>
      <c r="D33" s="61">
        <f>IF(OR(-7222.82962="",-4846.15693="",-7222.82962=0,-4846.15693=0),"-",-4846.15693/-7222.82962*100)</f>
        <v>67.0949916440089</v>
      </c>
    </row>
    <row r="34" spans="1:4" x14ac:dyDescent="0.25">
      <c r="A34" s="44" t="s">
        <v>265</v>
      </c>
      <c r="B34" s="45">
        <f>IF(OR(-214020.80778="",-214020.80778=0),"-",-214020.80778)</f>
        <v>-214020.80778</v>
      </c>
      <c r="C34" s="45">
        <f>IF(OR(-149258.33639="",-149258.33639=0),"-",-149258.33639)</f>
        <v>-149258.33639000001</v>
      </c>
      <c r="D34" s="61">
        <f>IF(OR(-214020.80778="",-149258.33639="",-214020.80778=0,-149258.33639=0),"-",-149258.33639/-214020.80778*100)</f>
        <v>69.740105150630143</v>
      </c>
    </row>
    <row r="35" spans="1:4" x14ac:dyDescent="0.25">
      <c r="A35" s="44" t="s">
        <v>313</v>
      </c>
      <c r="B35" s="45">
        <f>IF(OR(-150788.67396="",-150788.67396=0),"-",-150788.67396)</f>
        <v>-150788.67395999999</v>
      </c>
      <c r="C35" s="45">
        <f>IF(OR(-105556.2712="",-105556.2712=0),"-",-105556.2712)</f>
        <v>-105556.2712</v>
      </c>
      <c r="D35" s="61">
        <f>IF(OR(-150788.67396="",-105556.2712="",-150788.67396=0,-105556.2712=0),"-",-105556.2712/-150788.67396*100)</f>
        <v>70.002784975747673</v>
      </c>
    </row>
    <row r="36" spans="1:4" x14ac:dyDescent="0.25">
      <c r="A36" s="44" t="s">
        <v>266</v>
      </c>
      <c r="B36" s="45">
        <f>IF(OR(-18730.452="",-18730.452=0),"-",-18730.452)</f>
        <v>-18730.452000000001</v>
      </c>
      <c r="C36" s="45">
        <f>IF(OR(-8106.97174="",-8106.97174=0),"-",-8106.97174)</f>
        <v>-8106.97174</v>
      </c>
      <c r="D36" s="61">
        <f>IF(OR(-18730.452="",-8106.97174="",-18730.452=0,-8106.97174=0),"-",-8106.97174/-18730.452*100)</f>
        <v>43.282307015335235</v>
      </c>
    </row>
    <row r="37" spans="1:4" x14ac:dyDescent="0.25">
      <c r="A37" s="52" t="s">
        <v>267</v>
      </c>
      <c r="B37" s="40">
        <f>IF(26222.62031="","-",26222.62031)</f>
        <v>26222.620309999998</v>
      </c>
      <c r="C37" s="40">
        <f>IF(46660.18564="","-",46660.18564)</f>
        <v>46660.185640000003</v>
      </c>
      <c r="D37" s="60" t="s">
        <v>105</v>
      </c>
    </row>
    <row r="38" spans="1:4" x14ac:dyDescent="0.25">
      <c r="A38" s="44" t="s">
        <v>317</v>
      </c>
      <c r="B38" s="45">
        <f>IF(OR(-594.91025="",-594.91025=0),"-",-594.91025)</f>
        <v>-594.91025000000002</v>
      </c>
      <c r="C38" s="45">
        <f>IF(OR(-638.44674="",-638.44674=0),"-",-638.44674)</f>
        <v>-638.44673999999998</v>
      </c>
      <c r="D38" s="61">
        <f>IF(OR(-594.91025="",-638.44674="",-594.91025=0,-638.44674=0),"-",-638.44674/-594.91025*100)</f>
        <v>107.31816101672477</v>
      </c>
    </row>
    <row r="39" spans="1:4" ht="14.25" customHeight="1" x14ac:dyDescent="0.25">
      <c r="A39" s="44" t="s">
        <v>268</v>
      </c>
      <c r="B39" s="45">
        <f>IF(OR(28017.78846="",28017.78846=0),"-",28017.78846)</f>
        <v>28017.78846</v>
      </c>
      <c r="C39" s="45">
        <f>IF(OR(47951.64188="",47951.64188=0),"-",47951.64188)</f>
        <v>47951.641880000003</v>
      </c>
      <c r="D39" s="61" t="s">
        <v>106</v>
      </c>
    </row>
    <row r="40" spans="1:4" ht="38.25" x14ac:dyDescent="0.25">
      <c r="A40" s="44" t="s">
        <v>315</v>
      </c>
      <c r="B40" s="45">
        <f>IF(OR(-1200.2579="",-1200.2579=0),"-",-1200.2579)</f>
        <v>-1200.2579000000001</v>
      </c>
      <c r="C40" s="45">
        <f>IF(OR(-653.0095="",-653.0095=0),"-",-653.0095)</f>
        <v>-653.0095</v>
      </c>
      <c r="D40" s="61">
        <f>IF(OR(-1200.2579="",-653.0095="",-1200.2579=0,-653.0095=0),"-",-653.0095/-1200.2579*100)</f>
        <v>54.405765627537214</v>
      </c>
    </row>
    <row r="41" spans="1:4" ht="15" customHeight="1" x14ac:dyDescent="0.25">
      <c r="A41" s="52" t="s">
        <v>269</v>
      </c>
      <c r="B41" s="40">
        <f>IF(-312218.63837="","-",-312218.63837)</f>
        <v>-312218.63837</v>
      </c>
      <c r="C41" s="40">
        <f>IF(-297345.68638="","-",-297345.68638)</f>
        <v>-297345.68638000003</v>
      </c>
      <c r="D41" s="60">
        <f>IF(-312218.63837="","-",-297345.68638/-312218.63837*100)</f>
        <v>95.236366391306035</v>
      </c>
    </row>
    <row r="42" spans="1:4" x14ac:dyDescent="0.25">
      <c r="A42" s="44" t="s">
        <v>26</v>
      </c>
      <c r="B42" s="45">
        <f>IF(OR(-2402.82686="",-2402.82686=0),"-",-2402.82686)</f>
        <v>-2402.8268600000001</v>
      </c>
      <c r="C42" s="45">
        <f>IF(OR(14941.65536="",14941.65536=0),"-",14941.65536)</f>
        <v>14941.655360000001</v>
      </c>
      <c r="D42" s="61" t="s">
        <v>22</v>
      </c>
    </row>
    <row r="43" spans="1:4" x14ac:dyDescent="0.25">
      <c r="A43" s="44" t="s">
        <v>27</v>
      </c>
      <c r="B43" s="45">
        <f>IF(OR(-6325.20874="",-6325.20874=0),"-",-6325.20874)</f>
        <v>-6325.20874</v>
      </c>
      <c r="C43" s="45">
        <f>IF(OR(-6525.82211="",-6525.82211=0),"-",-6525.82211)</f>
        <v>-6525.8221100000001</v>
      </c>
      <c r="D43" s="61">
        <f>IF(OR(-6325.20874="",-6525.82211="",-6325.20874=0,-6525.82211=0),"-",-6525.82211/-6325.20874*100)</f>
        <v>103.17164821346276</v>
      </c>
    </row>
    <row r="44" spans="1:4" x14ac:dyDescent="0.25">
      <c r="A44" s="44" t="s">
        <v>270</v>
      </c>
      <c r="B44" s="45">
        <f>IF(OR(-13174.44345="",-13174.44345=0),"-",-13174.44345)</f>
        <v>-13174.443450000001</v>
      </c>
      <c r="C44" s="45">
        <f>IF(OR(-12222.95522="",-12222.95522=0),"-",-12222.95522)</f>
        <v>-12222.95522</v>
      </c>
      <c r="D44" s="61">
        <f>IF(OR(-13174.44345="",-12222.95522="",-13174.44345=0,-12222.95522=0),"-",-12222.95522/-13174.44345*100)</f>
        <v>92.777772862959154</v>
      </c>
    </row>
    <row r="45" spans="1:4" x14ac:dyDescent="0.25">
      <c r="A45" s="44" t="s">
        <v>271</v>
      </c>
      <c r="B45" s="45">
        <f>IF(OR(-70764.55065="",-70764.55065=0),"-",-70764.55065)</f>
        <v>-70764.550650000005</v>
      </c>
      <c r="C45" s="45">
        <f>IF(OR(-76460.82248="",-76460.82248=0),"-",-76460.82248)</f>
        <v>-76460.822480000003</v>
      </c>
      <c r="D45" s="61">
        <f>IF(OR(-70764.55065="",-76460.82248="",-70764.55065=0,-76460.82248=0),"-",-76460.82248/-70764.55065*100)</f>
        <v>108.0496120976923</v>
      </c>
    </row>
    <row r="46" spans="1:4" ht="25.5" x14ac:dyDescent="0.25">
      <c r="A46" s="44" t="s">
        <v>272</v>
      </c>
      <c r="B46" s="45">
        <f>IF(OR(-39346.61569="",-39346.61569=0),"-",-39346.61569)</f>
        <v>-39346.615689999999</v>
      </c>
      <c r="C46" s="45">
        <f>IF(OR(-37432.30396="",-37432.30396=0),"-",-37432.30396)</f>
        <v>-37432.303959999997</v>
      </c>
      <c r="D46" s="61">
        <f>IF(OR(-39346.61569="",-37432.30396="",-39346.61569=0,-37432.30396=0),"-",-37432.30396/-39346.61569*100)</f>
        <v>95.134748703465931</v>
      </c>
    </row>
    <row r="47" spans="1:4" x14ac:dyDescent="0.25">
      <c r="A47" s="44" t="s">
        <v>273</v>
      </c>
      <c r="B47" s="45">
        <f>IF(OR(-41680.2956="",-41680.2956=0),"-",-41680.2956)</f>
        <v>-41680.295599999998</v>
      </c>
      <c r="C47" s="45">
        <f>IF(OR(-45287.12991="",-45287.12991=0),"-",-45287.12991)</f>
        <v>-45287.129910000003</v>
      </c>
      <c r="D47" s="61">
        <f>IF(OR(-41680.2956="",-45287.12991="",-41680.2956=0,-45287.12991=0),"-",-45287.12991/-41680.2956*100)</f>
        <v>108.65357180912125</v>
      </c>
    </row>
    <row r="48" spans="1:4" x14ac:dyDescent="0.25">
      <c r="A48" s="44" t="s">
        <v>28</v>
      </c>
      <c r="B48" s="45">
        <f>IF(OR(-19732.82059="",-19732.82059=0),"-",-19732.82059)</f>
        <v>-19732.820589999999</v>
      </c>
      <c r="C48" s="45">
        <f>IF(OR(-17093.12281="",-17093.12281=0),"-",-17093.12281)</f>
        <v>-17093.122810000001</v>
      </c>
      <c r="D48" s="61">
        <f>IF(OR(-19732.82059="",-17093.12281="",-19732.82059=0,-17093.12281=0),"-",-17093.12281/-19732.82059*100)</f>
        <v>86.622805554023444</v>
      </c>
    </row>
    <row r="49" spans="1:4" x14ac:dyDescent="0.25">
      <c r="A49" s="44" t="s">
        <v>29</v>
      </c>
      <c r="B49" s="45">
        <f>IF(OR(-41784.00633="",-41784.00633=0),"-",-41784.00633)</f>
        <v>-41784.006329999997</v>
      </c>
      <c r="C49" s="45">
        <f>IF(OR(-38159.6333="",-38159.6333=0),"-",-38159.6333)</f>
        <v>-38159.633300000001</v>
      </c>
      <c r="D49" s="61">
        <f>IF(OR(-41784.00633="",-38159.6333="",-41784.00633=0,-38159.6333=0),"-",-38159.6333/-41784.00633*100)</f>
        <v>91.325932220631088</v>
      </c>
    </row>
    <row r="50" spans="1:4" x14ac:dyDescent="0.25">
      <c r="A50" s="44" t="s">
        <v>274</v>
      </c>
      <c r="B50" s="45">
        <f>IF(OR(-77007.87046="",-77007.87046=0),"-",-77007.87046)</f>
        <v>-77007.870460000006</v>
      </c>
      <c r="C50" s="45">
        <f>IF(OR(-79105.55195="",-79105.55195=0),"-",-79105.55195)</f>
        <v>-79105.551949999994</v>
      </c>
      <c r="D50" s="61">
        <f>IF(OR(-77007.87046="",-79105.55195="",-77007.87046=0,-79105.55195=0),"-",-79105.55195/-77007.87046*100)</f>
        <v>102.72398324673786</v>
      </c>
    </row>
    <row r="51" spans="1:4" ht="25.5" x14ac:dyDescent="0.25">
      <c r="A51" s="52" t="s">
        <v>275</v>
      </c>
      <c r="B51" s="40">
        <f>IF(-361964.2492="","-",-361964.2492)</f>
        <v>-361964.24920000002</v>
      </c>
      <c r="C51" s="40">
        <f>IF(-298544.28165="","-",-298544.28165)</f>
        <v>-298544.28165000002</v>
      </c>
      <c r="D51" s="60">
        <f>IF(-361964.2492="","-",-298544.28165/-361964.2492*100)</f>
        <v>82.4789415832728</v>
      </c>
    </row>
    <row r="52" spans="1:4" x14ac:dyDescent="0.25">
      <c r="A52" s="44" t="s">
        <v>276</v>
      </c>
      <c r="B52" s="45">
        <f>IF(OR(-20611.07611="",-20611.07611=0),"-",-20611.07611)</f>
        <v>-20611.076110000002</v>
      </c>
      <c r="C52" s="45">
        <f>IF(OR(-14915.33009="",-14915.33009=0),"-",-14915.33009)</f>
        <v>-14915.330089999999</v>
      </c>
      <c r="D52" s="61">
        <f>IF(OR(-20611.07611="",-14915.33009="",-20611.07611=0,-14915.33009=0),"-",-14915.33009/-20611.07611*100)</f>
        <v>72.365605805334141</v>
      </c>
    </row>
    <row r="53" spans="1:4" x14ac:dyDescent="0.25">
      <c r="A53" s="44" t="s">
        <v>30</v>
      </c>
      <c r="B53" s="45">
        <f>IF(OR(-23813.07523="",-23813.07523=0),"-",-23813.07523)</f>
        <v>-23813.075229999999</v>
      </c>
      <c r="C53" s="45">
        <f>IF(OR(-20708.46687="",-20708.46687=0),"-",-20708.46687)</f>
        <v>-20708.46687</v>
      </c>
      <c r="D53" s="61">
        <f>IF(OR(-23813.07523="",-20708.46687="",-23813.07523=0,-20708.46687=0),"-",-20708.46687/-23813.07523*100)</f>
        <v>86.962589543710948</v>
      </c>
    </row>
    <row r="54" spans="1:4" x14ac:dyDescent="0.25">
      <c r="A54" s="44" t="s">
        <v>277</v>
      </c>
      <c r="B54" s="45">
        <f>IF(OR(-23597.30715="",-23597.30715=0),"-",-23597.30715)</f>
        <v>-23597.307150000001</v>
      </c>
      <c r="C54" s="45">
        <f>IF(OR(-18026.30493="",-18026.30493=0),"-",-18026.30493)</f>
        <v>-18026.304929999998</v>
      </c>
      <c r="D54" s="61">
        <f>IF(OR(-23597.30715="",-18026.30493="",-23597.30715=0,-18026.30493=0),"-",-18026.30493/-23597.30715*100)</f>
        <v>76.391364554493236</v>
      </c>
    </row>
    <row r="55" spans="1:4" ht="25.5" x14ac:dyDescent="0.25">
      <c r="A55" s="44" t="s">
        <v>278</v>
      </c>
      <c r="B55" s="45">
        <f>IF(OR(-37989.35675="",-37989.35675=0),"-",-37989.35675)</f>
        <v>-37989.356749999999</v>
      </c>
      <c r="C55" s="45">
        <f>IF(OR(-32159.23874="",-32159.23874=0),"-",-32159.23874)</f>
        <v>-32159.238740000001</v>
      </c>
      <c r="D55" s="61">
        <f>IF(OR(-37989.35675="",-32159.23874="",-37989.35675=0,-32159.23874=0),"-",-32159.23874/-37989.35675*100)</f>
        <v>84.653285791684269</v>
      </c>
    </row>
    <row r="56" spans="1:4" ht="25.5" x14ac:dyDescent="0.25">
      <c r="A56" s="44" t="s">
        <v>279</v>
      </c>
      <c r="B56" s="45">
        <f>IF(OR(-88368.59549="",-88368.59549=0),"-",-88368.59549)</f>
        <v>-88368.595490000007</v>
      </c>
      <c r="C56" s="45">
        <f>IF(OR(-72628.97043="",-72628.97043=0),"-",-72628.97043)</f>
        <v>-72628.970430000001</v>
      </c>
      <c r="D56" s="61">
        <f>IF(OR(-88368.59549="",-72628.97043="",-88368.59549=0,-72628.97043=0),"-",-72628.97043/-88368.59549*100)</f>
        <v>82.188666717260276</v>
      </c>
    </row>
    <row r="57" spans="1:4" x14ac:dyDescent="0.25">
      <c r="A57" s="44" t="s">
        <v>31</v>
      </c>
      <c r="B57" s="45">
        <f>IF(OR(-28223.04525="",-28223.04525=0),"-",-28223.04525)</f>
        <v>-28223.045249999999</v>
      </c>
      <c r="C57" s="45">
        <f>IF(OR(-27022.25583="",-27022.25583=0),"-",-27022.25583)</f>
        <v>-27022.255829999998</v>
      </c>
      <c r="D57" s="61">
        <f>IF(OR(-28223.04525="",-27022.25583="",-28223.04525=0,-27022.25583=0),"-",-27022.25583/-28223.04525*100)</f>
        <v>95.745358414149166</v>
      </c>
    </row>
    <row r="58" spans="1:4" x14ac:dyDescent="0.25">
      <c r="A58" s="44" t="s">
        <v>280</v>
      </c>
      <c r="B58" s="45">
        <f>IF(OR(-49539.82853="",-49539.82853=0),"-",-49539.82853)</f>
        <v>-49539.828529999999</v>
      </c>
      <c r="C58" s="45">
        <f>IF(OR(-47147.96399="",-47147.96399=0),"-",-47147.96399)</f>
        <v>-47147.963989999997</v>
      </c>
      <c r="D58" s="61">
        <f>IF(OR(-49539.82853="",-47147.96399="",-49539.82853=0,-47147.96399=0),"-",-47147.96399/-49539.82853*100)</f>
        <v>95.17183524656015</v>
      </c>
    </row>
    <row r="59" spans="1:4" x14ac:dyDescent="0.25">
      <c r="A59" s="44" t="s">
        <v>32</v>
      </c>
      <c r="B59" s="45">
        <f>IF(OR(-37561.58581="",-37561.58581=0),"-",-37561.58581)</f>
        <v>-37561.585809999997</v>
      </c>
      <c r="C59" s="45">
        <f>IF(OR(-24009.45566="",-24009.45566=0),"-",-24009.45566)</f>
        <v>-24009.45566</v>
      </c>
      <c r="D59" s="61">
        <f>IF(OR(-37561.58581="",-24009.45566="",-37561.58581=0,-24009.45566=0),"-",-24009.45566/-37561.58581*100)</f>
        <v>63.920239633780263</v>
      </c>
    </row>
    <row r="60" spans="1:4" x14ac:dyDescent="0.25">
      <c r="A60" s="44" t="s">
        <v>33</v>
      </c>
      <c r="B60" s="45">
        <f>IF(OR(-52260.37888="",-52260.37888=0),"-",-52260.37888)</f>
        <v>-52260.378879999997</v>
      </c>
      <c r="C60" s="45">
        <f>IF(OR(-41926.29511="",-41926.29511=0),"-",-41926.29511)</f>
        <v>-41926.295109999999</v>
      </c>
      <c r="D60" s="61">
        <f>IF(OR(-52260.37888="",-41926.29511="",-52260.37888=0,-41926.29511=0),"-",-41926.29511/-52260.37888*100)</f>
        <v>80.225777172934272</v>
      </c>
    </row>
    <row r="61" spans="1:4" x14ac:dyDescent="0.25">
      <c r="A61" s="52" t="s">
        <v>281</v>
      </c>
      <c r="B61" s="40">
        <f>IF(-253238.68785="","-",-253238.68785)</f>
        <v>-253238.68784999999</v>
      </c>
      <c r="C61" s="40">
        <f>IF(-241141.92249="","-",-241141.92249)</f>
        <v>-241141.92249</v>
      </c>
      <c r="D61" s="60">
        <f>IF(-253238.68785="","-",-241141.92249/-253238.68785*100)</f>
        <v>95.22317641798665</v>
      </c>
    </row>
    <row r="62" spans="1:4" x14ac:dyDescent="0.25">
      <c r="A62" s="44" t="s">
        <v>282</v>
      </c>
      <c r="B62" s="45">
        <f>IF(OR(-4602.66475="",-4602.66475=0),"-",-4602.66475)</f>
        <v>-4602.6647499999999</v>
      </c>
      <c r="C62" s="45">
        <f>IF(OR(-5540.3849="",-5540.3849=0),"-",-5540.3849)</f>
        <v>-5540.3849</v>
      </c>
      <c r="D62" s="61">
        <f>IF(OR(-4602.66475="",-5540.3849="",-4602.66475=0,-5540.3849=0),"-",-5540.3849/-4602.66475*100)</f>
        <v>120.373418463728</v>
      </c>
    </row>
    <row r="63" spans="1:4" x14ac:dyDescent="0.25">
      <c r="A63" s="44" t="s">
        <v>283</v>
      </c>
      <c r="B63" s="45">
        <f>IF(OR(-76748.94617="",-76748.94617=0),"-",-76748.94617)</f>
        <v>-76748.946169999996</v>
      </c>
      <c r="C63" s="45">
        <f>IF(OR(-58626.24488="",-58626.24488=0),"-",-58626.24488)</f>
        <v>-58626.244879999998</v>
      </c>
      <c r="D63" s="61">
        <f>IF(OR(-76748.94617="",-58626.24488="",-76748.94617=0,-58626.24488=0),"-",-58626.24488/-76748.94617*100)</f>
        <v>76.387035660583592</v>
      </c>
    </row>
    <row r="64" spans="1:4" x14ac:dyDescent="0.25">
      <c r="A64" s="44" t="s">
        <v>284</v>
      </c>
      <c r="B64" s="45">
        <f>IF(OR(-3093.29372="",-3093.29372=0),"-",-3093.29372)</f>
        <v>-3093.2937200000001</v>
      </c>
      <c r="C64" s="45">
        <f>IF(OR(-3647.83813="",-3647.83813=0),"-",-3647.83813)</f>
        <v>-3647.8381300000001</v>
      </c>
      <c r="D64" s="61">
        <f>IF(OR(-3093.29372="",-3647.83813="",-3093.29372=0,-3647.83813=0),"-",-3647.83813/-3093.29372*100)</f>
        <v>117.92731179760065</v>
      </c>
    </row>
    <row r="65" spans="1:4" ht="25.5" x14ac:dyDescent="0.25">
      <c r="A65" s="44" t="s">
        <v>285</v>
      </c>
      <c r="B65" s="45">
        <f>IF(OR(-64989.96166="",-64989.96166=0),"-",-64989.96166)</f>
        <v>-64989.961660000001</v>
      </c>
      <c r="C65" s="45">
        <f>IF(OR(-61466.57037="",-61466.57037=0),"-",-61466.57037)</f>
        <v>-61466.570370000001</v>
      </c>
      <c r="D65" s="61">
        <f>IF(OR(-64989.96166="",-61466.57037="",-64989.96166=0,-61466.57037=0),"-",-61466.57037/-64989.96166*100)</f>
        <v>94.578560749992604</v>
      </c>
    </row>
    <row r="66" spans="1:4" ht="25.5" x14ac:dyDescent="0.25">
      <c r="A66" s="44" t="s">
        <v>286</v>
      </c>
      <c r="B66" s="45">
        <f>IF(OR(-18258.78419="",-18258.78419=0),"-",-18258.78419)</f>
        <v>-18258.784189999998</v>
      </c>
      <c r="C66" s="45">
        <f>IF(OR(-15540.10466="",-15540.10466=0),"-",-15540.10466)</f>
        <v>-15540.104660000001</v>
      </c>
      <c r="D66" s="61">
        <f>IF(OR(-18258.78419="",-15540.10466="",-18258.78419=0,-15540.10466=0),"-",-15540.10466/-18258.78419*100)</f>
        <v>85.110292658538739</v>
      </c>
    </row>
    <row r="67" spans="1:4" ht="25.5" x14ac:dyDescent="0.25">
      <c r="A67" s="44" t="s">
        <v>287</v>
      </c>
      <c r="B67" s="45">
        <f>IF(OR(-56822.49475="",-56822.49475=0),"-",-56822.49475)</f>
        <v>-56822.494749999998</v>
      </c>
      <c r="C67" s="45">
        <f>IF(OR(-48546.6127="",-48546.6127=0),"-",-48546.6127)</f>
        <v>-48546.612699999998</v>
      </c>
      <c r="D67" s="61">
        <f>IF(OR(-56822.49475="",-48546.6127="",-56822.49475=0,-48546.6127=0),"-",-48546.6127/-56822.49475*100)</f>
        <v>85.435553144206153</v>
      </c>
    </row>
    <row r="68" spans="1:4" ht="26.25" customHeight="1" x14ac:dyDescent="0.25">
      <c r="A68" s="44" t="s">
        <v>288</v>
      </c>
      <c r="B68" s="45">
        <f>IF(OR(92165.00912="",92165.00912=0),"-",92165.00912)</f>
        <v>92165.009120000002</v>
      </c>
      <c r="C68" s="45">
        <f>IF(OR(38256.74505="",38256.74505=0),"-",38256.74505)</f>
        <v>38256.745049999998</v>
      </c>
      <c r="D68" s="61">
        <f>IF(OR(92165.00912="",38256.74505="",92165.00912=0,38256.74505=0),"-",38256.74505/92165.00912*100)</f>
        <v>41.508968984302101</v>
      </c>
    </row>
    <row r="69" spans="1:4" x14ac:dyDescent="0.25">
      <c r="A69" s="44" t="s">
        <v>289</v>
      </c>
      <c r="B69" s="45">
        <f>IF(OR(-120840.9624="",-120840.9624=0),"-",-120840.9624)</f>
        <v>-120840.9624</v>
      </c>
      <c r="C69" s="45">
        <f>IF(OR(-82713.90146="",-82713.90146=0),"-",-82713.90146)</f>
        <v>-82713.901459999994</v>
      </c>
      <c r="D69" s="61">
        <f>IF(OR(-120840.9624="",-82713.90146="",-120840.9624=0,-82713.90146=0),"-",-82713.90146/-120840.9624*100)</f>
        <v>68.448562322936283</v>
      </c>
    </row>
    <row r="70" spans="1:4" x14ac:dyDescent="0.25">
      <c r="A70" s="44" t="s">
        <v>34</v>
      </c>
      <c r="B70" s="45">
        <f>IF(OR(-46.58933="",-46.58933=0),"-",-46.58933)</f>
        <v>-46.589329999999997</v>
      </c>
      <c r="C70" s="45">
        <f>IF(OR(-3317.01044="",-3317.01044=0),"-",-3317.01044)</f>
        <v>-3317.01044</v>
      </c>
      <c r="D70" s="61" t="s">
        <v>225</v>
      </c>
    </row>
    <row r="71" spans="1:4" x14ac:dyDescent="0.25">
      <c r="A71" s="52" t="s">
        <v>35</v>
      </c>
      <c r="B71" s="40">
        <f>IF(-9984.04934="","-",-9984.04934)</f>
        <v>-9984.0493399999996</v>
      </c>
      <c r="C71" s="40">
        <f>IF(-12521.60739="","-",-12521.60739)</f>
        <v>-12521.607389999999</v>
      </c>
      <c r="D71" s="60">
        <f>IF(-9984.04934="","-",-12521.60739/-9984.04934*100)</f>
        <v>125.41612089028398</v>
      </c>
    </row>
    <row r="72" spans="1:4" ht="25.5" x14ac:dyDescent="0.25">
      <c r="A72" s="44" t="s">
        <v>318</v>
      </c>
      <c r="B72" s="45">
        <f>IF(OR(-12057.73476="",-12057.73476=0),"-",-12057.73476)</f>
        <v>-12057.734759999999</v>
      </c>
      <c r="C72" s="45">
        <f>IF(OR(-9252.40721="",-9252.40721=0),"-",-9252.40721)</f>
        <v>-9252.4072099999994</v>
      </c>
      <c r="D72" s="61">
        <f>IF(OR(-12057.73476="",-9252.40721="",-12057.73476=0,-9252.40721=0),"-",-9252.40721/-12057.73476*100)</f>
        <v>76.734207495537916</v>
      </c>
    </row>
    <row r="73" spans="1:4" x14ac:dyDescent="0.25">
      <c r="A73" s="44" t="s">
        <v>291</v>
      </c>
      <c r="B73" s="45">
        <f>IF(OR(39172.40737="",39172.40737=0),"-",39172.40737)</f>
        <v>39172.407370000001</v>
      </c>
      <c r="C73" s="45">
        <f>IF(OR(24696.05613="",24696.05613=0),"-",24696.05613)</f>
        <v>24696.056130000001</v>
      </c>
      <c r="D73" s="61">
        <f>IF(OR(39172.40737="",24696.05613="",39172.40737=0,24696.05613=0),"-",24696.05613/39172.40737*100)</f>
        <v>63.044519824210134</v>
      </c>
    </row>
    <row r="74" spans="1:4" x14ac:dyDescent="0.25">
      <c r="A74" s="44" t="s">
        <v>292</v>
      </c>
      <c r="B74" s="45">
        <f>IF(OR(1001.67553="",1001.67553=0),"-",1001.67553)</f>
        <v>1001.67553</v>
      </c>
      <c r="C74" s="45">
        <f>IF(OR(1731.12497="",1731.12497=0),"-",1731.12497)</f>
        <v>1731.1249700000001</v>
      </c>
      <c r="D74" s="61" t="s">
        <v>106</v>
      </c>
    </row>
    <row r="75" spans="1:4" x14ac:dyDescent="0.25">
      <c r="A75" s="44" t="s">
        <v>293</v>
      </c>
      <c r="B75" s="45">
        <f>IF(OR(58147.5286="",58147.5286=0),"-",58147.5286)</f>
        <v>58147.528599999998</v>
      </c>
      <c r="C75" s="45">
        <f>IF(OR(41096.07992="",41096.07992=0),"-",41096.07992)</f>
        <v>41096.079919999996</v>
      </c>
      <c r="D75" s="61">
        <f>IF(OR(58147.5286="",41096.07992="",58147.5286=0,41096.07992=0),"-",41096.07992/58147.5286*100)</f>
        <v>70.675540146688192</v>
      </c>
    </row>
    <row r="76" spans="1:4" x14ac:dyDescent="0.25">
      <c r="A76" s="44" t="s">
        <v>294</v>
      </c>
      <c r="B76" s="45">
        <f>IF(OR(-7006.01855="",-7006.01855=0),"-",-7006.01855)</f>
        <v>-7006.0185499999998</v>
      </c>
      <c r="C76" s="45">
        <f>IF(OR(-2503.54809="",-2503.54809=0),"-",-2503.54809)</f>
        <v>-2503.5480899999998</v>
      </c>
      <c r="D76" s="61">
        <f>IF(OR(-7006.01855="",-2503.54809="",-7006.01855=0,-2503.54809=0),"-",-2503.54809/-7006.01855*100)</f>
        <v>35.734248662530305</v>
      </c>
    </row>
    <row r="77" spans="1:4" x14ac:dyDescent="0.25">
      <c r="A77" s="44" t="s">
        <v>319</v>
      </c>
      <c r="B77" s="45">
        <f>IF(OR(-14761.27766="",-14761.27766=0),"-",-14761.27766)</f>
        <v>-14761.27766</v>
      </c>
      <c r="C77" s="45">
        <f>IF(OR(-13529.30767="",-13529.30767=0),"-",-13529.30767)</f>
        <v>-13529.30767</v>
      </c>
      <c r="D77" s="61">
        <f>IF(OR(-14761.27766="",-13529.30767="",-14761.27766=0,-13529.30767=0),"-",-13529.30767/-14761.27766*100)</f>
        <v>91.654042296498602</v>
      </c>
    </row>
    <row r="78" spans="1:4" ht="25.5" x14ac:dyDescent="0.25">
      <c r="A78" s="44" t="s">
        <v>296</v>
      </c>
      <c r="B78" s="45">
        <f>IF(OR(-3307.91233="",-3307.91233=0),"-",-3307.91233)</f>
        <v>-3307.9123300000001</v>
      </c>
      <c r="C78" s="45">
        <f>IF(OR(-2875.31398="",-2875.31398=0),"-",-2875.31398)</f>
        <v>-2875.3139799999999</v>
      </c>
      <c r="D78" s="61">
        <f>IF(OR(-3307.91233="",-2875.31398="",-3307.91233=0,-2875.31398=0),"-",-2875.31398/-3307.91233*100)</f>
        <v>86.922315138865841</v>
      </c>
    </row>
    <row r="79" spans="1:4" x14ac:dyDescent="0.25">
      <c r="A79" s="44" t="s">
        <v>36</v>
      </c>
      <c r="B79" s="57">
        <f>IF(OR(-71172.71754="",-71172.71754=0),"-",-71172.71754)</f>
        <v>-71172.717539999998</v>
      </c>
      <c r="C79" s="57">
        <f>IF(OR(-51884.29146="",-51884.29146=0),"-",-51884.29146)</f>
        <v>-51884.29146</v>
      </c>
      <c r="D79" s="62">
        <f>IF(OR(-71172.71754="",-51884.29146="",-71172.71754=0,-51884.29146=0),"-",-51884.29146/-71172.71754*100)</f>
        <v>72.899129404241663</v>
      </c>
    </row>
    <row r="80" spans="1:4" x14ac:dyDescent="0.25">
      <c r="A80" s="53" t="s">
        <v>297</v>
      </c>
      <c r="B80" s="54">
        <f>IF(265.39253="","-",265.39253)</f>
        <v>265.39253000000002</v>
      </c>
      <c r="C80" s="54">
        <f>IF(12.94369="","-",12.94369)</f>
        <v>12.94369</v>
      </c>
      <c r="D80" s="63">
        <f>IF(265.39253="","-",12.94369/265.39253*100)</f>
        <v>4.8771870105010118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2020-07-14T10:05:12Z</cp:lastPrinted>
  <dcterms:created xsi:type="dcterms:W3CDTF">2016-09-01T07:59:47Z</dcterms:created>
  <dcterms:modified xsi:type="dcterms:W3CDTF">2020-07-14T10:39:30Z</dcterms:modified>
</cp:coreProperties>
</file>