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ina Vudvud\Desktop\Nota informativa\"/>
    </mc:Choice>
  </mc:AlternateContent>
  <xr:revisionPtr revIDLastSave="0" documentId="13_ncr:1_{9C3A77D9-D2D6-4805-9B37-C6047E862194}" xr6:coauthVersionLast="37" xr6:coauthVersionMax="37" xr10:uidLastSave="{00000000-0000-0000-0000-000000000000}"/>
  <bookViews>
    <workbookView xWindow="0" yWindow="0" windowWidth="20400" windowHeight="6945" xr2:uid="{00000000-000D-0000-FFFF-FFFF00000000}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79021" iterate="1"/>
</workbook>
</file>

<file path=xl/calcChain.xml><?xml version="1.0" encoding="utf-8"?>
<calcChain xmlns="http://schemas.openxmlformats.org/spreadsheetml/2006/main">
  <c r="D136" i="3" l="1"/>
  <c r="C136" i="3"/>
  <c r="B136" i="3"/>
  <c r="D135" i="3"/>
  <c r="C135" i="3"/>
  <c r="B135" i="3"/>
  <c r="D134" i="3"/>
  <c r="C134" i="3"/>
  <c r="B134" i="3"/>
  <c r="C133" i="3"/>
  <c r="B133" i="3"/>
  <c r="C132" i="3"/>
  <c r="B132" i="3"/>
  <c r="C131" i="3"/>
  <c r="B131" i="3"/>
  <c r="D130" i="3"/>
  <c r="C130" i="3"/>
  <c r="B130" i="3"/>
  <c r="D129" i="3"/>
  <c r="C129" i="3"/>
  <c r="B129" i="3"/>
  <c r="C128" i="3"/>
  <c r="B128" i="3"/>
  <c r="C127" i="3"/>
  <c r="B127" i="3"/>
  <c r="D126" i="3"/>
  <c r="C126" i="3"/>
  <c r="B126" i="3"/>
  <c r="C125" i="3"/>
  <c r="B125" i="3"/>
  <c r="D124" i="3"/>
  <c r="C124" i="3"/>
  <c r="B124" i="3"/>
  <c r="D123" i="3"/>
  <c r="C123" i="3"/>
  <c r="B123" i="3"/>
  <c r="C122" i="3"/>
  <c r="B122" i="3"/>
  <c r="C121" i="3"/>
  <c r="B121" i="3"/>
  <c r="D120" i="3"/>
  <c r="C120" i="3"/>
  <c r="B120" i="3"/>
  <c r="C119" i="3"/>
  <c r="B119" i="3"/>
  <c r="C118" i="3"/>
  <c r="B118" i="3"/>
  <c r="C117" i="3"/>
  <c r="B117" i="3"/>
  <c r="C116" i="3"/>
  <c r="B116" i="3"/>
  <c r="D115" i="3"/>
  <c r="C115" i="3"/>
  <c r="B115" i="3"/>
  <c r="D114" i="3"/>
  <c r="C114" i="3"/>
  <c r="B114" i="3"/>
  <c r="D113" i="3"/>
  <c r="C113" i="3"/>
  <c r="B113" i="3"/>
  <c r="C112" i="3"/>
  <c r="C111" i="3"/>
  <c r="D110" i="3"/>
  <c r="C110" i="3"/>
  <c r="B110" i="3"/>
  <c r="C109" i="3"/>
  <c r="B109" i="3"/>
  <c r="C108" i="3"/>
  <c r="B108" i="3"/>
  <c r="C107" i="3"/>
  <c r="B107" i="3"/>
  <c r="D106" i="3"/>
  <c r="C106" i="3"/>
  <c r="B106" i="3"/>
  <c r="C105" i="3"/>
  <c r="B105" i="3"/>
  <c r="D104" i="3"/>
  <c r="C104" i="3"/>
  <c r="B104" i="3"/>
  <c r="C103" i="3"/>
  <c r="B103" i="3"/>
  <c r="C102" i="3"/>
  <c r="B102" i="3"/>
  <c r="D101" i="3"/>
  <c r="C101" i="3"/>
  <c r="B101" i="3"/>
  <c r="C100" i="3"/>
  <c r="B100" i="3"/>
  <c r="C99" i="3"/>
  <c r="B99" i="3"/>
  <c r="D98" i="3"/>
  <c r="C98" i="3"/>
  <c r="B98" i="3"/>
  <c r="D97" i="3"/>
  <c r="C97" i="3"/>
  <c r="B97" i="3"/>
  <c r="C96" i="3"/>
  <c r="B96" i="3"/>
  <c r="C95" i="3"/>
  <c r="B95" i="3"/>
  <c r="C94" i="3"/>
  <c r="B94" i="3"/>
  <c r="D93" i="3"/>
  <c r="C93" i="3"/>
  <c r="B93" i="3"/>
  <c r="C92" i="3"/>
  <c r="B92" i="3"/>
  <c r="C91" i="3"/>
  <c r="B91" i="3"/>
  <c r="D90" i="3"/>
  <c r="C90" i="3"/>
  <c r="B90" i="3"/>
  <c r="C89" i="3"/>
  <c r="B89" i="3"/>
  <c r="C88" i="3"/>
  <c r="B88" i="3"/>
  <c r="C87" i="3"/>
  <c r="B87" i="3"/>
  <c r="D86" i="3"/>
  <c r="C86" i="3"/>
  <c r="B86" i="3"/>
  <c r="C85" i="3"/>
  <c r="B85" i="3"/>
  <c r="C84" i="3"/>
  <c r="B84" i="3"/>
  <c r="D83" i="3"/>
  <c r="C83" i="3"/>
  <c r="B83" i="3"/>
  <c r="D82" i="3"/>
  <c r="C82" i="3"/>
  <c r="B82" i="3"/>
  <c r="C81" i="3"/>
  <c r="B81" i="3"/>
  <c r="C80" i="3"/>
  <c r="B80" i="3"/>
  <c r="C79" i="3"/>
  <c r="B79" i="3"/>
  <c r="D78" i="3"/>
  <c r="C78" i="3"/>
  <c r="B78" i="3"/>
  <c r="D77" i="3"/>
  <c r="C77" i="3"/>
  <c r="B77" i="3"/>
  <c r="C76" i="3"/>
  <c r="B76" i="3"/>
  <c r="D75" i="3"/>
  <c r="C75" i="3"/>
  <c r="B75" i="3"/>
  <c r="C74" i="3"/>
  <c r="B74" i="3"/>
  <c r="D73" i="3"/>
  <c r="C73" i="3"/>
  <c r="B73" i="3"/>
  <c r="C72" i="3"/>
  <c r="B72" i="3"/>
  <c r="C71" i="3"/>
  <c r="B71" i="3"/>
  <c r="D70" i="3"/>
  <c r="C70" i="3"/>
  <c r="B70" i="3"/>
  <c r="C69" i="3"/>
  <c r="B69" i="3"/>
  <c r="C68" i="3"/>
  <c r="B68" i="3"/>
  <c r="D67" i="3"/>
  <c r="C67" i="3"/>
  <c r="B67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C61" i="3"/>
  <c r="B61" i="3"/>
  <c r="D60" i="3"/>
  <c r="C60" i="3"/>
  <c r="B60" i="3"/>
  <c r="C59" i="3"/>
  <c r="B59" i="3"/>
  <c r="D58" i="3"/>
  <c r="C58" i="3"/>
  <c r="B58" i="3"/>
  <c r="D57" i="3"/>
  <c r="C57" i="3"/>
  <c r="B57" i="3"/>
  <c r="D56" i="3"/>
  <c r="C56" i="3"/>
  <c r="B56" i="3"/>
  <c r="C55" i="3"/>
  <c r="B55" i="3"/>
  <c r="D54" i="3"/>
  <c r="C54" i="3"/>
  <c r="B54" i="3"/>
  <c r="D53" i="3"/>
  <c r="C53" i="3"/>
  <c r="B53" i="3"/>
  <c r="C52" i="3"/>
  <c r="B52" i="3"/>
  <c r="D51" i="3"/>
  <c r="C51" i="3"/>
  <c r="B51" i="3"/>
  <c r="C50" i="3"/>
  <c r="B50" i="3"/>
  <c r="D49" i="3"/>
  <c r="C49" i="3"/>
  <c r="B49" i="3"/>
  <c r="D48" i="3"/>
  <c r="C48" i="3"/>
  <c r="B48" i="3"/>
  <c r="C47" i="3"/>
  <c r="B47" i="3"/>
  <c r="C46" i="3"/>
  <c r="B46" i="3"/>
  <c r="C45" i="3"/>
  <c r="B45" i="3"/>
  <c r="D44" i="3"/>
  <c r="C44" i="3"/>
  <c r="B44" i="3"/>
  <c r="C43" i="3"/>
  <c r="B43" i="3"/>
  <c r="D42" i="3"/>
  <c r="C42" i="3"/>
  <c r="B42" i="3"/>
  <c r="C41" i="3"/>
  <c r="B41" i="3"/>
  <c r="D40" i="3"/>
  <c r="C40" i="3"/>
  <c r="B40" i="3"/>
  <c r="C39" i="3"/>
  <c r="B39" i="3"/>
  <c r="D38" i="3"/>
  <c r="C38" i="3"/>
  <c r="B38" i="3"/>
  <c r="D37" i="3"/>
  <c r="C37" i="3"/>
  <c r="B37" i="3"/>
  <c r="D36" i="3"/>
  <c r="C36" i="3"/>
  <c r="B36" i="3"/>
  <c r="C35" i="3"/>
  <c r="B35" i="3"/>
  <c r="D34" i="3"/>
  <c r="C34" i="3"/>
  <c r="B34" i="3"/>
  <c r="D33" i="3"/>
  <c r="C33" i="3"/>
  <c r="B33" i="3"/>
  <c r="C32" i="3"/>
  <c r="B32" i="3"/>
  <c r="C31" i="3"/>
  <c r="B31" i="3"/>
  <c r="D30" i="3"/>
  <c r="C30" i="3"/>
  <c r="B30" i="3"/>
  <c r="C29" i="3"/>
  <c r="B29" i="3"/>
  <c r="C28" i="3"/>
  <c r="B28" i="3"/>
  <c r="D27" i="3"/>
  <c r="C27" i="3"/>
  <c r="B27" i="3"/>
  <c r="C26" i="3"/>
  <c r="B26" i="3"/>
  <c r="D25" i="3"/>
  <c r="C25" i="3"/>
  <c r="B25" i="3"/>
  <c r="C24" i="3"/>
  <c r="B24" i="3"/>
  <c r="D23" i="3"/>
  <c r="C23" i="3"/>
  <c r="B23" i="3"/>
  <c r="C22" i="3"/>
  <c r="B22" i="3"/>
  <c r="D21" i="3"/>
  <c r="C21" i="3"/>
  <c r="B21" i="3"/>
  <c r="D20" i="3"/>
  <c r="C20" i="3"/>
  <c r="B20" i="3"/>
  <c r="C19" i="3"/>
  <c r="B19" i="3"/>
  <c r="D18" i="3"/>
  <c r="C18" i="3"/>
  <c r="B18" i="3"/>
  <c r="C17" i="3"/>
  <c r="B17" i="3"/>
  <c r="C16" i="3"/>
  <c r="B16" i="3"/>
  <c r="C15" i="3"/>
  <c r="B15" i="3"/>
  <c r="C14" i="3"/>
  <c r="B14" i="3"/>
  <c r="C13" i="3"/>
  <c r="B13" i="3"/>
  <c r="D12" i="3"/>
  <c r="C12" i="3"/>
  <c r="B12" i="3"/>
  <c r="D11" i="3"/>
  <c r="C11" i="3"/>
  <c r="B11" i="3"/>
  <c r="C10" i="3"/>
  <c r="B10" i="3"/>
  <c r="C9" i="3"/>
  <c r="B9" i="3"/>
  <c r="D8" i="3"/>
  <c r="C8" i="3"/>
  <c r="B8" i="3"/>
  <c r="C7" i="3"/>
  <c r="B7" i="3"/>
  <c r="C5" i="3"/>
  <c r="B5" i="3"/>
  <c r="E39" i="8" l="1"/>
  <c r="D39" i="8"/>
  <c r="E38" i="8"/>
  <c r="D38" i="8"/>
  <c r="E37" i="8"/>
  <c r="D37" i="8"/>
  <c r="E36" i="8"/>
  <c r="D36" i="8"/>
  <c r="D35" i="8"/>
  <c r="E34" i="8"/>
  <c r="D34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39" i="7" l="1"/>
  <c r="E38" i="7"/>
  <c r="D38" i="7"/>
  <c r="E37" i="7"/>
  <c r="D37" i="7"/>
  <c r="E36" i="7"/>
  <c r="D36" i="7"/>
  <c r="E35" i="7"/>
  <c r="D35" i="7"/>
  <c r="E34" i="7"/>
  <c r="D34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E22" i="7"/>
  <c r="E21" i="7"/>
  <c r="D21" i="7"/>
  <c r="E20" i="7"/>
  <c r="D20" i="7"/>
  <c r="E19" i="7"/>
  <c r="D19" i="7"/>
  <c r="E18" i="7"/>
  <c r="D18" i="7"/>
  <c r="E17" i="7"/>
  <c r="D17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C80" i="4" l="1"/>
  <c r="C79" i="4"/>
  <c r="C78" i="4"/>
  <c r="C77" i="4"/>
  <c r="C76" i="4"/>
  <c r="E75" i="4"/>
  <c r="C75" i="4"/>
  <c r="E74" i="4"/>
  <c r="C74" i="4"/>
  <c r="C73" i="4"/>
  <c r="C72" i="4"/>
  <c r="C71" i="4"/>
  <c r="E70" i="4"/>
  <c r="C70" i="4"/>
  <c r="C69" i="4"/>
  <c r="E68" i="4"/>
  <c r="C68" i="4"/>
  <c r="E67" i="4"/>
  <c r="C67" i="4"/>
  <c r="C66" i="4"/>
  <c r="E65" i="4"/>
  <c r="C65" i="4"/>
  <c r="E64" i="4"/>
  <c r="C64" i="4"/>
  <c r="E63" i="4"/>
  <c r="C63" i="4"/>
  <c r="C62" i="4"/>
  <c r="C61" i="4"/>
  <c r="E60" i="4"/>
  <c r="C60" i="4"/>
  <c r="E59" i="4"/>
  <c r="C59" i="4"/>
  <c r="E58" i="4"/>
  <c r="C58" i="4"/>
  <c r="E57" i="4"/>
  <c r="C57" i="4"/>
  <c r="E56" i="4"/>
  <c r="C56" i="4"/>
  <c r="E55" i="4"/>
  <c r="C55" i="4"/>
  <c r="C54" i="4"/>
  <c r="E53" i="4"/>
  <c r="C53" i="4"/>
  <c r="C52" i="4"/>
  <c r="E51" i="4"/>
  <c r="C51" i="4"/>
  <c r="E50" i="4"/>
  <c r="C50" i="4"/>
  <c r="E49" i="4"/>
  <c r="C49" i="4"/>
  <c r="E48" i="4"/>
  <c r="C48" i="4"/>
  <c r="E47" i="4"/>
  <c r="C47" i="4"/>
  <c r="E46" i="4"/>
  <c r="C46" i="4"/>
  <c r="E45" i="4"/>
  <c r="C45" i="4"/>
  <c r="E44" i="4"/>
  <c r="C44" i="4"/>
  <c r="E43" i="4"/>
  <c r="C43" i="4"/>
  <c r="E42" i="4"/>
  <c r="C42" i="4"/>
  <c r="E41" i="4"/>
  <c r="C41" i="4"/>
  <c r="E40" i="4"/>
  <c r="C40" i="4"/>
  <c r="E39" i="4"/>
  <c r="C39" i="4"/>
  <c r="E38" i="4"/>
  <c r="C38" i="4"/>
  <c r="E37" i="4"/>
  <c r="C37" i="4"/>
  <c r="E36" i="4"/>
  <c r="C36" i="4"/>
  <c r="E35" i="4"/>
  <c r="C35" i="4"/>
  <c r="E34" i="4"/>
  <c r="C34" i="4"/>
  <c r="E33" i="4"/>
  <c r="C33" i="4"/>
  <c r="E32" i="4"/>
  <c r="C32" i="4"/>
  <c r="C31" i="4"/>
  <c r="C30" i="4"/>
  <c r="C29" i="4"/>
  <c r="C28" i="4"/>
  <c r="C27" i="4"/>
  <c r="E26" i="4"/>
  <c r="C26" i="4"/>
  <c r="E25" i="4"/>
  <c r="C25" i="4"/>
  <c r="E24" i="4"/>
  <c r="C24" i="4"/>
  <c r="E23" i="4"/>
  <c r="C23" i="4"/>
  <c r="E22" i="4"/>
  <c r="C22" i="4"/>
  <c r="E21" i="4"/>
  <c r="C21" i="4"/>
  <c r="E20" i="4"/>
  <c r="C20" i="4"/>
  <c r="E19" i="4"/>
  <c r="C19" i="4"/>
  <c r="E18" i="4"/>
  <c r="C18" i="4"/>
  <c r="C17" i="4"/>
  <c r="E16" i="4"/>
  <c r="C16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C8" i="4"/>
  <c r="D6" i="4"/>
  <c r="H80" i="6" l="1"/>
  <c r="G80" i="6"/>
  <c r="F80" i="6"/>
  <c r="E80" i="6"/>
  <c r="D80" i="6"/>
  <c r="C80" i="6"/>
  <c r="H79" i="6"/>
  <c r="G79" i="6"/>
  <c r="F79" i="6"/>
  <c r="E79" i="6"/>
  <c r="C79" i="6"/>
  <c r="H78" i="6"/>
  <c r="G78" i="6"/>
  <c r="F78" i="6"/>
  <c r="E78" i="6"/>
  <c r="C78" i="6"/>
  <c r="H77" i="6"/>
  <c r="G77" i="6"/>
  <c r="F77" i="6"/>
  <c r="E77" i="6"/>
  <c r="C77" i="6"/>
  <c r="H76" i="6"/>
  <c r="G76" i="6"/>
  <c r="F76" i="6"/>
  <c r="E76" i="6"/>
  <c r="D76" i="6"/>
  <c r="C76" i="6"/>
  <c r="H75" i="6"/>
  <c r="G75" i="6"/>
  <c r="F75" i="6"/>
  <c r="E75" i="6"/>
  <c r="C75" i="6"/>
  <c r="H74" i="6"/>
  <c r="G74" i="6"/>
  <c r="F74" i="6"/>
  <c r="E74" i="6"/>
  <c r="C74" i="6"/>
  <c r="H73" i="6"/>
  <c r="G73" i="6"/>
  <c r="F73" i="6"/>
  <c r="E73" i="6"/>
  <c r="C73" i="6"/>
  <c r="H72" i="6"/>
  <c r="G72" i="6"/>
  <c r="F72" i="6"/>
  <c r="E72" i="6"/>
  <c r="C72" i="6"/>
  <c r="H71" i="6"/>
  <c r="G71" i="6"/>
  <c r="F71" i="6"/>
  <c r="E71" i="6"/>
  <c r="C71" i="6"/>
  <c r="H70" i="6"/>
  <c r="G70" i="6"/>
  <c r="F70" i="6"/>
  <c r="E70" i="6"/>
  <c r="D70" i="6"/>
  <c r="C70" i="6"/>
  <c r="H69" i="6"/>
  <c r="G69" i="6"/>
  <c r="F69" i="6"/>
  <c r="E69" i="6"/>
  <c r="C69" i="6"/>
  <c r="H68" i="6"/>
  <c r="G68" i="6"/>
  <c r="F68" i="6"/>
  <c r="E68" i="6"/>
  <c r="C68" i="6"/>
  <c r="H67" i="6"/>
  <c r="G67" i="6"/>
  <c r="F67" i="6"/>
  <c r="E67" i="6"/>
  <c r="D67" i="6"/>
  <c r="C67" i="6"/>
  <c r="H66" i="6"/>
  <c r="G66" i="6"/>
  <c r="F66" i="6"/>
  <c r="E66" i="6"/>
  <c r="C66" i="6"/>
  <c r="H65" i="6"/>
  <c r="G65" i="6"/>
  <c r="F65" i="6"/>
  <c r="E65" i="6"/>
  <c r="D65" i="6"/>
  <c r="C65" i="6"/>
  <c r="H64" i="6"/>
  <c r="G64" i="6"/>
  <c r="F64" i="6"/>
  <c r="E64" i="6"/>
  <c r="D64" i="6"/>
  <c r="C64" i="6"/>
  <c r="H63" i="6"/>
  <c r="G63" i="6"/>
  <c r="F63" i="6"/>
  <c r="E63" i="6"/>
  <c r="D63" i="6"/>
  <c r="C63" i="6"/>
  <c r="H62" i="6"/>
  <c r="G62" i="6"/>
  <c r="F62" i="6"/>
  <c r="E62" i="6"/>
  <c r="C62" i="6"/>
  <c r="H61" i="6"/>
  <c r="G61" i="6"/>
  <c r="F61" i="6"/>
  <c r="E61" i="6"/>
  <c r="C61" i="6"/>
  <c r="H60" i="6"/>
  <c r="G60" i="6"/>
  <c r="F60" i="6"/>
  <c r="E60" i="6"/>
  <c r="C60" i="6"/>
  <c r="H59" i="6"/>
  <c r="G59" i="6"/>
  <c r="F59" i="6"/>
  <c r="E59" i="6"/>
  <c r="D59" i="6"/>
  <c r="C59" i="6"/>
  <c r="H58" i="6"/>
  <c r="G58" i="6"/>
  <c r="F58" i="6"/>
  <c r="E58" i="6"/>
  <c r="D58" i="6"/>
  <c r="C58" i="6"/>
  <c r="H57" i="6"/>
  <c r="G57" i="6"/>
  <c r="F57" i="6"/>
  <c r="E57" i="6"/>
  <c r="D57" i="6"/>
  <c r="C57" i="6"/>
  <c r="H56" i="6"/>
  <c r="G56" i="6"/>
  <c r="F56" i="6"/>
  <c r="E56" i="6"/>
  <c r="D56" i="6"/>
  <c r="C56" i="6"/>
  <c r="H55" i="6"/>
  <c r="G55" i="6"/>
  <c r="F55" i="6"/>
  <c r="E55" i="6"/>
  <c r="D55" i="6"/>
  <c r="C55" i="6"/>
  <c r="H54" i="6"/>
  <c r="G54" i="6"/>
  <c r="F54" i="6"/>
  <c r="E54" i="6"/>
  <c r="C54" i="6"/>
  <c r="H53" i="6"/>
  <c r="G53" i="6"/>
  <c r="F53" i="6"/>
  <c r="E53" i="6"/>
  <c r="D53" i="6"/>
  <c r="C53" i="6"/>
  <c r="H52" i="6"/>
  <c r="G52" i="6"/>
  <c r="F52" i="6"/>
  <c r="E52" i="6"/>
  <c r="C52" i="6"/>
  <c r="H51" i="6"/>
  <c r="G51" i="6"/>
  <c r="F51" i="6"/>
  <c r="E51" i="6"/>
  <c r="D51" i="6"/>
  <c r="C51" i="6"/>
  <c r="H50" i="6"/>
  <c r="G50" i="6"/>
  <c r="F50" i="6"/>
  <c r="E50" i="6"/>
  <c r="D50" i="6"/>
  <c r="C50" i="6"/>
  <c r="H49" i="6"/>
  <c r="G49" i="6"/>
  <c r="F49" i="6"/>
  <c r="E49" i="6"/>
  <c r="C49" i="6"/>
  <c r="H48" i="6"/>
  <c r="G48" i="6"/>
  <c r="F48" i="6"/>
  <c r="E48" i="6"/>
  <c r="D48" i="6"/>
  <c r="C48" i="6"/>
  <c r="H47" i="6"/>
  <c r="G47" i="6"/>
  <c r="F47" i="6"/>
  <c r="E47" i="6"/>
  <c r="D47" i="6"/>
  <c r="C47" i="6"/>
  <c r="H46" i="6"/>
  <c r="G46" i="6"/>
  <c r="F46" i="6"/>
  <c r="E46" i="6"/>
  <c r="D46" i="6"/>
  <c r="C46" i="6"/>
  <c r="H45" i="6"/>
  <c r="G45" i="6"/>
  <c r="F45" i="6"/>
  <c r="E45" i="6"/>
  <c r="D45" i="6"/>
  <c r="C45" i="6"/>
  <c r="H44" i="6"/>
  <c r="G44" i="6"/>
  <c r="F44" i="6"/>
  <c r="E44" i="6"/>
  <c r="D44" i="6"/>
  <c r="C44" i="6"/>
  <c r="H43" i="6"/>
  <c r="G43" i="6"/>
  <c r="F43" i="6"/>
  <c r="E43" i="6"/>
  <c r="D43" i="6"/>
  <c r="C43" i="6"/>
  <c r="H42" i="6"/>
  <c r="G42" i="6"/>
  <c r="F42" i="6"/>
  <c r="E42" i="6"/>
  <c r="D42" i="6"/>
  <c r="C42" i="6"/>
  <c r="H41" i="6"/>
  <c r="G41" i="6"/>
  <c r="F41" i="6"/>
  <c r="E41" i="6"/>
  <c r="D41" i="6"/>
  <c r="C41" i="6"/>
  <c r="H40" i="6"/>
  <c r="G40" i="6"/>
  <c r="F40" i="6"/>
  <c r="E40" i="6"/>
  <c r="D40" i="6"/>
  <c r="C40" i="6"/>
  <c r="H39" i="6"/>
  <c r="G39" i="6"/>
  <c r="F39" i="6"/>
  <c r="E39" i="6"/>
  <c r="C39" i="6"/>
  <c r="H38" i="6"/>
  <c r="G38" i="6"/>
  <c r="F38" i="6"/>
  <c r="E38" i="6"/>
  <c r="D38" i="6"/>
  <c r="C38" i="6"/>
  <c r="H37" i="6"/>
  <c r="G37" i="6"/>
  <c r="F37" i="6"/>
  <c r="E37" i="6"/>
  <c r="C37" i="6"/>
  <c r="H36" i="6"/>
  <c r="G36" i="6"/>
  <c r="F36" i="6"/>
  <c r="E36" i="6"/>
  <c r="D36" i="6"/>
  <c r="C36" i="6"/>
  <c r="H35" i="6"/>
  <c r="G35" i="6"/>
  <c r="F35" i="6"/>
  <c r="E35" i="6"/>
  <c r="D35" i="6"/>
  <c r="C35" i="6"/>
  <c r="H34" i="6"/>
  <c r="G34" i="6"/>
  <c r="F34" i="6"/>
  <c r="E34" i="6"/>
  <c r="D34" i="6"/>
  <c r="C34" i="6"/>
  <c r="H33" i="6"/>
  <c r="G33" i="6"/>
  <c r="F33" i="6"/>
  <c r="E33" i="6"/>
  <c r="D33" i="6"/>
  <c r="C33" i="6"/>
  <c r="H32" i="6"/>
  <c r="G32" i="6"/>
  <c r="F32" i="6"/>
  <c r="E32" i="6"/>
  <c r="D32" i="6"/>
  <c r="C32" i="6"/>
  <c r="H31" i="6"/>
  <c r="G31" i="6"/>
  <c r="F31" i="6"/>
  <c r="E31" i="6"/>
  <c r="D31" i="6"/>
  <c r="C31" i="6"/>
  <c r="H30" i="6"/>
  <c r="G30" i="6"/>
  <c r="F30" i="6"/>
  <c r="E30" i="6"/>
  <c r="D30" i="6"/>
  <c r="C30" i="6"/>
  <c r="H29" i="6"/>
  <c r="G29" i="6"/>
  <c r="F29" i="6"/>
  <c r="E29" i="6"/>
  <c r="D29" i="6"/>
  <c r="C29" i="6"/>
  <c r="H28" i="6"/>
  <c r="G28" i="6"/>
  <c r="F28" i="6"/>
  <c r="E28" i="6"/>
  <c r="C28" i="6"/>
  <c r="H27" i="6"/>
  <c r="G27" i="6"/>
  <c r="F27" i="6"/>
  <c r="E27" i="6"/>
  <c r="D27" i="6"/>
  <c r="C27" i="6"/>
  <c r="H26" i="6"/>
  <c r="G26" i="6"/>
  <c r="F26" i="6"/>
  <c r="E26" i="6"/>
  <c r="D26" i="6"/>
  <c r="C26" i="6"/>
  <c r="H25" i="6"/>
  <c r="G25" i="6"/>
  <c r="F25" i="6"/>
  <c r="E25" i="6"/>
  <c r="C25" i="6"/>
  <c r="H24" i="6"/>
  <c r="G24" i="6"/>
  <c r="F24" i="6"/>
  <c r="E24" i="6"/>
  <c r="D24" i="6"/>
  <c r="C24" i="6"/>
  <c r="H23" i="6"/>
  <c r="G23" i="6"/>
  <c r="F23" i="6"/>
  <c r="E23" i="6"/>
  <c r="D23" i="6"/>
  <c r="C23" i="6"/>
  <c r="H22" i="6"/>
  <c r="G22" i="6"/>
  <c r="F22" i="6"/>
  <c r="E22" i="6"/>
  <c r="D22" i="6"/>
  <c r="C22" i="6"/>
  <c r="H21" i="6"/>
  <c r="G21" i="6"/>
  <c r="F21" i="6"/>
  <c r="E21" i="6"/>
  <c r="D21" i="6"/>
  <c r="C21" i="6"/>
  <c r="H20" i="6"/>
  <c r="G20" i="6"/>
  <c r="F20" i="6"/>
  <c r="E20" i="6"/>
  <c r="D20" i="6"/>
  <c r="C20" i="6"/>
  <c r="H19" i="6"/>
  <c r="G19" i="6"/>
  <c r="F19" i="6"/>
  <c r="E19" i="6"/>
  <c r="D19" i="6"/>
  <c r="C19" i="6"/>
  <c r="H18" i="6"/>
  <c r="G18" i="6"/>
  <c r="F18" i="6"/>
  <c r="E18" i="6"/>
  <c r="D18" i="6"/>
  <c r="C18" i="6"/>
  <c r="H17" i="6"/>
  <c r="G17" i="6"/>
  <c r="F17" i="6"/>
  <c r="E17" i="6"/>
  <c r="D17" i="6"/>
  <c r="C17" i="6"/>
  <c r="H16" i="6"/>
  <c r="G16" i="6"/>
  <c r="F16" i="6"/>
  <c r="E16" i="6"/>
  <c r="D16" i="6"/>
  <c r="C16" i="6"/>
  <c r="H15" i="6"/>
  <c r="G15" i="6"/>
  <c r="F15" i="6"/>
  <c r="E15" i="6"/>
  <c r="D15" i="6"/>
  <c r="C15" i="6"/>
  <c r="H14" i="6"/>
  <c r="G14" i="6"/>
  <c r="F14" i="6"/>
  <c r="E14" i="6"/>
  <c r="D14" i="6"/>
  <c r="C14" i="6"/>
  <c r="H13" i="6"/>
  <c r="G13" i="6"/>
  <c r="F13" i="6"/>
  <c r="E13" i="6"/>
  <c r="D13" i="6"/>
  <c r="C13" i="6"/>
  <c r="H12" i="6"/>
  <c r="G12" i="6"/>
  <c r="F12" i="6"/>
  <c r="E12" i="6"/>
  <c r="D12" i="6"/>
  <c r="C12" i="6"/>
  <c r="H11" i="6"/>
  <c r="G11" i="6"/>
  <c r="F11" i="6"/>
  <c r="E11" i="6"/>
  <c r="D11" i="6"/>
  <c r="C11" i="6"/>
  <c r="H10" i="6"/>
  <c r="G10" i="6"/>
  <c r="F10" i="6"/>
  <c r="E10" i="6"/>
  <c r="D10" i="6"/>
  <c r="C10" i="6"/>
  <c r="H9" i="6"/>
  <c r="G9" i="6"/>
  <c r="F9" i="6"/>
  <c r="E9" i="6"/>
  <c r="D9" i="6"/>
  <c r="C9" i="6"/>
  <c r="H8" i="6"/>
  <c r="G8" i="6"/>
  <c r="F8" i="6"/>
  <c r="E8" i="6"/>
  <c r="D8" i="6"/>
  <c r="C8" i="6"/>
  <c r="H7" i="6"/>
  <c r="G7" i="6"/>
  <c r="D7" i="6"/>
  <c r="C7" i="6"/>
  <c r="G79" i="5" l="1"/>
  <c r="E79" i="5"/>
  <c r="H78" i="5"/>
  <c r="G78" i="5"/>
  <c r="F78" i="5"/>
  <c r="E78" i="5"/>
  <c r="D78" i="5"/>
  <c r="H77" i="5"/>
  <c r="G77" i="5"/>
  <c r="F77" i="5"/>
  <c r="E77" i="5"/>
  <c r="D77" i="5"/>
  <c r="H76" i="5"/>
  <c r="G76" i="5"/>
  <c r="F76" i="5"/>
  <c r="E76" i="5"/>
  <c r="H75" i="5"/>
  <c r="G75" i="5"/>
  <c r="F75" i="5"/>
  <c r="E75" i="5"/>
  <c r="D75" i="5"/>
  <c r="H74" i="5"/>
  <c r="G74" i="5"/>
  <c r="F74" i="5"/>
  <c r="E74" i="5"/>
  <c r="D74" i="5"/>
  <c r="H73" i="5"/>
  <c r="G73" i="5"/>
  <c r="F73" i="5"/>
  <c r="E73" i="5"/>
  <c r="D73" i="5"/>
  <c r="H72" i="5"/>
  <c r="G72" i="5"/>
  <c r="F72" i="5"/>
  <c r="E72" i="5"/>
  <c r="H71" i="5"/>
  <c r="G71" i="5"/>
  <c r="F71" i="5"/>
  <c r="E71" i="5"/>
  <c r="H70" i="5"/>
  <c r="G70" i="5"/>
  <c r="F70" i="5"/>
  <c r="E70" i="5"/>
  <c r="D70" i="5"/>
  <c r="H69" i="5"/>
  <c r="G69" i="5"/>
  <c r="F69" i="5"/>
  <c r="E69" i="5"/>
  <c r="H68" i="5"/>
  <c r="G68" i="5"/>
  <c r="F68" i="5"/>
  <c r="E68" i="5"/>
  <c r="H67" i="5"/>
  <c r="G67" i="5"/>
  <c r="F67" i="5"/>
  <c r="E67" i="5"/>
  <c r="D67" i="5"/>
  <c r="H66" i="5"/>
  <c r="G66" i="5"/>
  <c r="F66" i="5"/>
  <c r="E66" i="5"/>
  <c r="D66" i="5"/>
  <c r="H65" i="5"/>
  <c r="G65" i="5"/>
  <c r="F65" i="5"/>
  <c r="E65" i="5"/>
  <c r="H64" i="5"/>
  <c r="G64" i="5"/>
  <c r="F64" i="5"/>
  <c r="E64" i="5"/>
  <c r="D64" i="5"/>
  <c r="H63" i="5"/>
  <c r="G63" i="5"/>
  <c r="F63" i="5"/>
  <c r="E63" i="5"/>
  <c r="D63" i="5"/>
  <c r="H62" i="5"/>
  <c r="G62" i="5"/>
  <c r="F62" i="5"/>
  <c r="E62" i="5"/>
  <c r="H61" i="5"/>
  <c r="G61" i="5"/>
  <c r="F61" i="5"/>
  <c r="E61" i="5"/>
  <c r="D61" i="5"/>
  <c r="H60" i="5"/>
  <c r="G60" i="5"/>
  <c r="F60" i="5"/>
  <c r="E60" i="5"/>
  <c r="H59" i="5"/>
  <c r="G59" i="5"/>
  <c r="F59" i="5"/>
  <c r="E59" i="5"/>
  <c r="H58" i="5"/>
  <c r="G58" i="5"/>
  <c r="F58" i="5"/>
  <c r="E58" i="5"/>
  <c r="D58" i="5"/>
  <c r="H57" i="5"/>
  <c r="G57" i="5"/>
  <c r="F57" i="5"/>
  <c r="E57" i="5"/>
  <c r="H56" i="5"/>
  <c r="G56" i="5"/>
  <c r="F56" i="5"/>
  <c r="E56" i="5"/>
  <c r="D56" i="5"/>
  <c r="H55" i="5"/>
  <c r="G55" i="5"/>
  <c r="F55" i="5"/>
  <c r="E55" i="5"/>
  <c r="H54" i="5"/>
  <c r="G54" i="5"/>
  <c r="F54" i="5"/>
  <c r="E54" i="5"/>
  <c r="D54" i="5"/>
  <c r="H53" i="5"/>
  <c r="G53" i="5"/>
  <c r="F53" i="5"/>
  <c r="E53" i="5"/>
  <c r="D53" i="5"/>
  <c r="H52" i="5"/>
  <c r="G52" i="5"/>
  <c r="F52" i="5"/>
  <c r="E52" i="5"/>
  <c r="D52" i="5"/>
  <c r="H51" i="5"/>
  <c r="G51" i="5"/>
  <c r="F51" i="5"/>
  <c r="E51" i="5"/>
  <c r="H50" i="5"/>
  <c r="G50" i="5"/>
  <c r="F50" i="5"/>
  <c r="E50" i="5"/>
  <c r="D50" i="5"/>
  <c r="H49" i="5"/>
  <c r="G49" i="5"/>
  <c r="F49" i="5"/>
  <c r="E49" i="5"/>
  <c r="H48" i="5"/>
  <c r="G48" i="5"/>
  <c r="F48" i="5"/>
  <c r="E48" i="5"/>
  <c r="H47" i="5"/>
  <c r="G47" i="5"/>
  <c r="F47" i="5"/>
  <c r="E47" i="5"/>
  <c r="D47" i="5"/>
  <c r="H46" i="5"/>
  <c r="G46" i="5"/>
  <c r="F46" i="5"/>
  <c r="E46" i="5"/>
  <c r="H45" i="5"/>
  <c r="G45" i="5"/>
  <c r="F45" i="5"/>
  <c r="E45" i="5"/>
  <c r="D45" i="5"/>
  <c r="H44" i="5"/>
  <c r="G44" i="5"/>
  <c r="F44" i="5"/>
  <c r="E44" i="5"/>
  <c r="D44" i="5"/>
  <c r="H43" i="5"/>
  <c r="G43" i="5"/>
  <c r="F43" i="5"/>
  <c r="E43" i="5"/>
  <c r="H42" i="5"/>
  <c r="G42" i="5"/>
  <c r="F42" i="5"/>
  <c r="E42" i="5"/>
  <c r="D42" i="5"/>
  <c r="H41" i="5"/>
  <c r="G41" i="5"/>
  <c r="F41" i="5"/>
  <c r="E41" i="5"/>
  <c r="D41" i="5"/>
  <c r="H40" i="5"/>
  <c r="G40" i="5"/>
  <c r="F40" i="5"/>
  <c r="E40" i="5"/>
  <c r="D40" i="5"/>
  <c r="H39" i="5"/>
  <c r="G39" i="5"/>
  <c r="F39" i="5"/>
  <c r="E39" i="5"/>
  <c r="D39" i="5"/>
  <c r="H38" i="5"/>
  <c r="G38" i="5"/>
  <c r="F38" i="5"/>
  <c r="E38" i="5"/>
  <c r="D38" i="5"/>
  <c r="H37" i="5"/>
  <c r="G37" i="5"/>
  <c r="F37" i="5"/>
  <c r="E37" i="5"/>
  <c r="H36" i="5"/>
  <c r="G36" i="5"/>
  <c r="F36" i="5"/>
  <c r="E36" i="5"/>
  <c r="D36" i="5"/>
  <c r="H35" i="5"/>
  <c r="G35" i="5"/>
  <c r="F35" i="5"/>
  <c r="E35" i="5"/>
  <c r="D35" i="5"/>
  <c r="H34" i="5"/>
  <c r="G34" i="5"/>
  <c r="F34" i="5"/>
  <c r="E34" i="5"/>
  <c r="H33" i="5"/>
  <c r="G33" i="5"/>
  <c r="F33" i="5"/>
  <c r="E33" i="5"/>
  <c r="H32" i="5"/>
  <c r="G32" i="5"/>
  <c r="F32" i="5"/>
  <c r="E32" i="5"/>
  <c r="H31" i="5"/>
  <c r="G31" i="5"/>
  <c r="F31" i="5"/>
  <c r="E31" i="5"/>
  <c r="D31" i="5"/>
  <c r="H30" i="5"/>
  <c r="G30" i="5"/>
  <c r="F30" i="5"/>
  <c r="E30" i="5"/>
  <c r="H29" i="5"/>
  <c r="G29" i="5"/>
  <c r="F29" i="5"/>
  <c r="E29" i="5"/>
  <c r="D29" i="5"/>
  <c r="H28" i="5"/>
  <c r="G28" i="5"/>
  <c r="F28" i="5"/>
  <c r="E28" i="5"/>
  <c r="H27" i="5"/>
  <c r="G27" i="5"/>
  <c r="F27" i="5"/>
  <c r="E27" i="5"/>
  <c r="H26" i="5"/>
  <c r="G26" i="5"/>
  <c r="F26" i="5"/>
  <c r="E26" i="5"/>
  <c r="D26" i="5"/>
  <c r="H25" i="5"/>
  <c r="G25" i="5"/>
  <c r="F25" i="5"/>
  <c r="E25" i="5"/>
  <c r="D25" i="5"/>
  <c r="H24" i="5"/>
  <c r="G24" i="5"/>
  <c r="F24" i="5"/>
  <c r="E24" i="5"/>
  <c r="D24" i="5"/>
  <c r="H23" i="5"/>
  <c r="G23" i="5"/>
  <c r="F23" i="5"/>
  <c r="E23" i="5"/>
  <c r="D23" i="5"/>
  <c r="H22" i="5"/>
  <c r="G22" i="5"/>
  <c r="F22" i="5"/>
  <c r="E22" i="5"/>
  <c r="D22" i="5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H17" i="5"/>
  <c r="G17" i="5"/>
  <c r="F17" i="5"/>
  <c r="E17" i="5"/>
  <c r="D17" i="5"/>
  <c r="H16" i="5"/>
  <c r="G16" i="5"/>
  <c r="F16" i="5"/>
  <c r="E16" i="5"/>
  <c r="D16" i="5"/>
  <c r="H15" i="5"/>
  <c r="G15" i="5"/>
  <c r="F15" i="5"/>
  <c r="E15" i="5"/>
  <c r="D15" i="5"/>
  <c r="H14" i="5"/>
  <c r="G14" i="5"/>
  <c r="F14" i="5"/>
  <c r="E14" i="5"/>
  <c r="D14" i="5"/>
  <c r="H13" i="5"/>
  <c r="G13" i="5"/>
  <c r="F13" i="5"/>
  <c r="E13" i="5"/>
  <c r="D13" i="5"/>
  <c r="H12" i="5"/>
  <c r="G12" i="5"/>
  <c r="F12" i="5"/>
  <c r="E12" i="5"/>
  <c r="H11" i="5"/>
  <c r="G11" i="5"/>
  <c r="F11" i="5"/>
  <c r="E11" i="5"/>
  <c r="D11" i="5"/>
  <c r="H10" i="5"/>
  <c r="G10" i="5"/>
  <c r="F10" i="5"/>
  <c r="E10" i="5"/>
  <c r="H9" i="5"/>
  <c r="G9" i="5"/>
  <c r="F9" i="5"/>
  <c r="E9" i="5"/>
  <c r="D9" i="5"/>
  <c r="H8" i="5"/>
  <c r="G8" i="5"/>
  <c r="F8" i="5"/>
  <c r="E8" i="5"/>
  <c r="D8" i="5"/>
  <c r="H7" i="5"/>
  <c r="G7" i="5"/>
  <c r="D7" i="5"/>
  <c r="G116" i="2" l="1"/>
  <c r="F116" i="2"/>
  <c r="E116" i="2"/>
  <c r="D116" i="2"/>
  <c r="C116" i="2"/>
  <c r="G115" i="2"/>
  <c r="F115" i="2"/>
  <c r="E115" i="2"/>
  <c r="D115" i="2"/>
  <c r="G114" i="2"/>
  <c r="F114" i="2"/>
  <c r="E114" i="2"/>
  <c r="D114" i="2"/>
  <c r="C114" i="2"/>
  <c r="G113" i="2"/>
  <c r="F113" i="2"/>
  <c r="E113" i="2"/>
  <c r="D113" i="2"/>
  <c r="G112" i="2"/>
  <c r="F112" i="2"/>
  <c r="E112" i="2"/>
  <c r="D112" i="2"/>
  <c r="C112" i="2"/>
  <c r="G111" i="2"/>
  <c r="F111" i="2"/>
  <c r="E111" i="2"/>
  <c r="D111" i="2"/>
  <c r="G110" i="2"/>
  <c r="F110" i="2"/>
  <c r="E110" i="2"/>
  <c r="D110" i="2"/>
  <c r="C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C107" i="2"/>
  <c r="G106" i="2"/>
  <c r="F106" i="2"/>
  <c r="E106" i="2"/>
  <c r="D106" i="2"/>
  <c r="C106" i="2"/>
  <c r="G105" i="2"/>
  <c r="F105" i="2"/>
  <c r="E105" i="2"/>
  <c r="D105" i="2"/>
  <c r="C105" i="2"/>
  <c r="G104" i="2"/>
  <c r="F104" i="2"/>
  <c r="E104" i="2"/>
  <c r="D104" i="2"/>
  <c r="C104" i="2"/>
  <c r="G103" i="2"/>
  <c r="F103" i="2"/>
  <c r="E103" i="2"/>
  <c r="D103" i="2"/>
  <c r="C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C99" i="2"/>
  <c r="G98" i="2"/>
  <c r="F98" i="2"/>
  <c r="E98" i="2"/>
  <c r="D98" i="2"/>
  <c r="C98" i="2"/>
  <c r="G97" i="2"/>
  <c r="F97" i="2"/>
  <c r="E97" i="2"/>
  <c r="D97" i="2"/>
  <c r="G96" i="2"/>
  <c r="F96" i="2"/>
  <c r="E96" i="2"/>
  <c r="D96" i="2"/>
  <c r="C96" i="2"/>
  <c r="G95" i="2"/>
  <c r="F95" i="2"/>
  <c r="E95" i="2"/>
  <c r="D95" i="2"/>
  <c r="C95" i="2"/>
  <c r="G94" i="2"/>
  <c r="F94" i="2"/>
  <c r="E94" i="2"/>
  <c r="D94" i="2"/>
  <c r="G93" i="2"/>
  <c r="F93" i="2"/>
  <c r="E93" i="2"/>
  <c r="D93" i="2"/>
  <c r="C93" i="2"/>
  <c r="G92" i="2"/>
  <c r="F92" i="2"/>
  <c r="E92" i="2"/>
  <c r="D92" i="2"/>
  <c r="G91" i="2"/>
  <c r="F91" i="2"/>
  <c r="E91" i="2"/>
  <c r="D91" i="2"/>
  <c r="C91" i="2"/>
  <c r="G90" i="2"/>
  <c r="F90" i="2"/>
  <c r="E90" i="2"/>
  <c r="D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G84" i="2"/>
  <c r="F84" i="2"/>
  <c r="E84" i="2"/>
  <c r="D84" i="2"/>
  <c r="G83" i="2"/>
  <c r="F83" i="2"/>
  <c r="E83" i="2"/>
  <c r="D83" i="2"/>
  <c r="C83" i="2"/>
  <c r="G82" i="2"/>
  <c r="F82" i="2"/>
  <c r="E82" i="2"/>
  <c r="D82" i="2"/>
  <c r="G81" i="2"/>
  <c r="F81" i="2"/>
  <c r="E81" i="2"/>
  <c r="D81" i="2"/>
  <c r="G80" i="2"/>
  <c r="F80" i="2"/>
  <c r="E80" i="2"/>
  <c r="D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G73" i="2"/>
  <c r="F73" i="2"/>
  <c r="E73" i="2"/>
  <c r="D73" i="2"/>
  <c r="C73" i="2"/>
  <c r="G72" i="2"/>
  <c r="F72" i="2"/>
  <c r="E72" i="2"/>
  <c r="D72" i="2"/>
  <c r="C72" i="2"/>
  <c r="G71" i="2"/>
  <c r="F71" i="2"/>
  <c r="E71" i="2"/>
  <c r="D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C60" i="2"/>
  <c r="G59" i="2"/>
  <c r="F59" i="2"/>
  <c r="E59" i="2"/>
  <c r="D59" i="2"/>
  <c r="C59" i="2"/>
  <c r="G58" i="2"/>
  <c r="F58" i="2"/>
  <c r="E58" i="2"/>
  <c r="D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G34" i="2"/>
  <c r="F34" i="2"/>
  <c r="E34" i="2"/>
  <c r="D34" i="2"/>
  <c r="G33" i="2"/>
  <c r="F33" i="2"/>
  <c r="E33" i="2"/>
  <c r="D33" i="2"/>
  <c r="G32" i="2"/>
  <c r="F32" i="2"/>
  <c r="E32" i="2"/>
  <c r="D32" i="2"/>
  <c r="G31" i="2"/>
  <c r="F31" i="2"/>
  <c r="E31" i="2"/>
  <c r="D31" i="2"/>
  <c r="C31" i="2"/>
  <c r="G30" i="2"/>
  <c r="F30" i="2"/>
  <c r="E30" i="2"/>
  <c r="D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G22" i="2"/>
  <c r="F22" i="2"/>
  <c r="E22" i="2"/>
  <c r="D22" i="2"/>
  <c r="C22" i="2"/>
  <c r="G21" i="2"/>
  <c r="F21" i="2"/>
  <c r="E21" i="2"/>
  <c r="D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6" i="2"/>
  <c r="F6" i="2"/>
  <c r="C6" i="2"/>
  <c r="G99" i="1" l="1"/>
  <c r="F99" i="1"/>
  <c r="E99" i="1"/>
  <c r="D99" i="1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C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G86" i="1"/>
  <c r="F86" i="1"/>
  <c r="E86" i="1"/>
  <c r="D86" i="1"/>
  <c r="G85" i="1"/>
  <c r="F85" i="1"/>
  <c r="E85" i="1"/>
  <c r="D85" i="1"/>
  <c r="C85" i="1"/>
  <c r="G84" i="1"/>
  <c r="F84" i="1"/>
  <c r="E84" i="1"/>
  <c r="D84" i="1"/>
  <c r="G83" i="1"/>
  <c r="F83" i="1"/>
  <c r="E83" i="1"/>
  <c r="D83" i="1"/>
  <c r="G82" i="1"/>
  <c r="F82" i="1"/>
  <c r="E82" i="1"/>
  <c r="D82" i="1"/>
  <c r="C82" i="1"/>
  <c r="G81" i="1"/>
  <c r="F81" i="1"/>
  <c r="E81" i="1"/>
  <c r="D81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G77" i="1"/>
  <c r="F77" i="1"/>
  <c r="E77" i="1"/>
  <c r="D77" i="1"/>
  <c r="G76" i="1"/>
  <c r="F76" i="1"/>
  <c r="E76" i="1"/>
  <c r="D76" i="1"/>
  <c r="G75" i="1"/>
  <c r="F75" i="1"/>
  <c r="E75" i="1"/>
  <c r="D75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G71" i="1"/>
  <c r="F71" i="1"/>
  <c r="E71" i="1"/>
  <c r="D71" i="1"/>
  <c r="C71" i="1"/>
  <c r="G70" i="1"/>
  <c r="F70" i="1"/>
  <c r="E70" i="1"/>
  <c r="D70" i="1"/>
  <c r="G69" i="1"/>
  <c r="F69" i="1"/>
  <c r="E69" i="1"/>
  <c r="D69" i="1"/>
  <c r="G68" i="1"/>
  <c r="F68" i="1"/>
  <c r="E68" i="1"/>
  <c r="D68" i="1"/>
  <c r="C68" i="1"/>
  <c r="G67" i="1"/>
  <c r="F67" i="1"/>
  <c r="E67" i="1"/>
  <c r="D67" i="1"/>
  <c r="G66" i="1"/>
  <c r="F66" i="1"/>
  <c r="E66" i="1"/>
  <c r="D66" i="1"/>
  <c r="C66" i="1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G61" i="1"/>
  <c r="F61" i="1"/>
  <c r="E61" i="1"/>
  <c r="D61" i="1"/>
  <c r="G60" i="1"/>
  <c r="F60" i="1"/>
  <c r="E60" i="1"/>
  <c r="D60" i="1"/>
  <c r="C60" i="1"/>
  <c r="G59" i="1"/>
  <c r="F59" i="1"/>
  <c r="E59" i="1"/>
  <c r="D59" i="1"/>
  <c r="G58" i="1"/>
  <c r="F58" i="1"/>
  <c r="E58" i="1"/>
  <c r="D58" i="1"/>
  <c r="G57" i="1"/>
  <c r="F57" i="1"/>
  <c r="E57" i="1"/>
  <c r="D57" i="1"/>
  <c r="C57" i="1"/>
  <c r="G56" i="1"/>
  <c r="F56" i="1"/>
  <c r="E56" i="1"/>
  <c r="D56" i="1"/>
  <c r="G55" i="1"/>
  <c r="F55" i="1"/>
  <c r="E55" i="1"/>
  <c r="D55" i="1"/>
  <c r="C55" i="1"/>
  <c r="G54" i="1"/>
  <c r="F54" i="1"/>
  <c r="E54" i="1"/>
  <c r="D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G41" i="1"/>
  <c r="F41" i="1"/>
  <c r="E41" i="1"/>
  <c r="D41" i="1"/>
  <c r="C41" i="1"/>
  <c r="G40" i="1"/>
  <c r="F40" i="1"/>
  <c r="E40" i="1"/>
  <c r="D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G32" i="1"/>
  <c r="F32" i="1"/>
  <c r="E32" i="1"/>
  <c r="D32" i="1"/>
  <c r="C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G16" i="1"/>
  <c r="F16" i="1"/>
  <c r="E16" i="1"/>
  <c r="D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6" i="1"/>
  <c r="F6" i="1"/>
  <c r="C6" i="1"/>
</calcChain>
</file>

<file path=xl/sharedStrings.xml><?xml version="1.0" encoding="utf-8"?>
<sst xmlns="http://schemas.openxmlformats.org/spreadsheetml/2006/main" count="1145" uniqueCount="395">
  <si>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</si>
  <si>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</si>
  <si>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</si>
  <si>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</si>
  <si>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</si>
  <si>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</si>
  <si>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</si>
  <si>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</si>
  <si>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</si>
  <si>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</si>
  <si>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</si>
  <si>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</si>
  <si>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</si>
  <si>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</si>
  <si>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</si>
  <si>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</si>
  <si>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</si>
  <si>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</si>
  <si>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</si>
  <si>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</si>
  <si>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</si>
  <si>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</si>
  <si>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</si>
  <si>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</si>
  <si>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</si>
  <si>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</si>
  <si>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</si>
  <si>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</si>
  <si>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</si>
  <si>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</si>
  <si>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</si>
  <si>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</si>
  <si>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</si>
  <si>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</si>
  <si>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</si>
  <si>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</si>
  <si>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</si>
  <si>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</si>
  <si>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</si>
  <si>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</si>
  <si>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</si>
  <si>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</si>
  <si>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</si>
  <si>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</si>
  <si>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</si>
  <si>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</si>
  <si>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</si>
  <si>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</si>
  <si>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</si>
  <si>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</si>
  <si>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</si>
  <si>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</si>
  <si>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</si>
  <si>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</si>
  <si>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</si>
  <si>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</si>
  <si>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</si>
  <si>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</si>
  <si>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</si>
  <si>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</si>
  <si>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</si>
  <si>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</si>
  <si>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</si>
  <si>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</si>
  <si>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</si>
  <si>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</si>
  <si>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</si>
  <si>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</si>
  <si>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</si>
  <si>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</si>
  <si>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</si>
  <si>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</si>
  <si>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</si>
  <si>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</si>
  <si>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</si>
  <si>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</si>
  <si>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</si>
  <si>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</si>
  <si>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</si>
  <si>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</si>
  <si>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</si>
  <si>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</si>
  <si>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</si>
  <si>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</si>
  <si>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</si>
  <si>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</si>
  <si>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</si>
  <si>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</si>
  <si>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</si>
  <si>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</si>
  <si>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</si>
  <si>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</si>
  <si>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</si>
  <si>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</si>
  <si>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</si>
  <si>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</si>
  <si>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</si>
  <si>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</si>
  <si>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</si>
  <si>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</si>
  <si>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</si>
  <si>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</si>
  <si>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</si>
  <si>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</si>
  <si>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</si>
  <si>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</si>
  <si>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</si>
  <si>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</si>
  <si>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</si>
  <si>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Swaziland</t>
  </si>
  <si>
    <t>mii dolari         SUA</t>
  </si>
  <si>
    <t>Belize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</si>
  <si>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</si>
  <si>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</si>
  <si>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</si>
  <si>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</si>
  <si>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</si>
  <si>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</si>
  <si>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</si>
  <si>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</si>
  <si>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</si>
  <si>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mii dolari             SUA</t>
  </si>
  <si>
    <t>Regatul Unit al Marii Britanii şi Irlandei de Nord</t>
  </si>
  <si>
    <t>Franţa</t>
  </si>
  <si>
    <t>Croaţia</t>
  </si>
  <si>
    <t>Federaţia Rusă</t>
  </si>
  <si>
    <t>Kârgâzstan</t>
  </si>
  <si>
    <t>Elveţia</t>
  </si>
  <si>
    <t>Siria</t>
  </si>
  <si>
    <t>IMPORT - total</t>
  </si>
  <si>
    <t>Etiopia</t>
  </si>
  <si>
    <t>Bahrain</t>
  </si>
  <si>
    <t>Senegal</t>
  </si>
  <si>
    <t xml:space="preserve">   din care:</t>
  </si>
  <si>
    <t xml:space="preserve">IMPORT - total      </t>
  </si>
  <si>
    <t>Burkina Faso</t>
  </si>
  <si>
    <t>Macedonia de Nord</t>
  </si>
  <si>
    <t>Cote D'Ivoire</t>
  </si>
  <si>
    <t>Insulele Feroe</t>
  </si>
  <si>
    <t>Laos</t>
  </si>
  <si>
    <t xml:space="preserve">     din care:</t>
  </si>
  <si>
    <t>Republica Yemen</t>
  </si>
  <si>
    <t>Zimbabwe</t>
  </si>
  <si>
    <t>Camerun</t>
  </si>
  <si>
    <t xml:space="preserve">EXPORT - total      </t>
  </si>
  <si>
    <t>Liechtenstein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</si>
  <si>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</si>
  <si>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</si>
  <si>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</si>
  <si>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</si>
  <si>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</si>
  <si>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</si>
  <si>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Sri Lanka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</si>
  <si>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</si>
  <si>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</si>
  <si>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</si>
  <si>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</si>
  <si>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</si>
  <si>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</si>
  <si>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</si>
  <si>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</si>
  <si>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</si>
  <si>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</si>
  <si>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</si>
  <si>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</si>
  <si>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</si>
  <si>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</si>
  <si>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</si>
  <si>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</si>
  <si>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</si>
  <si>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</si>
  <si>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</si>
  <si>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</si>
  <si>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</si>
  <si>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</si>
  <si>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</si>
  <si>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</si>
  <si>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</si>
  <si>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</si>
  <si>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</si>
  <si>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</si>
  <si>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</si>
  <si>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</si>
  <si>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</si>
  <si>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</si>
  <si>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</si>
  <si>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</si>
  <si>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</si>
  <si>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</si>
  <si>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</si>
  <si>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</si>
  <si>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</si>
  <si>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</si>
  <si>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</si>
  <si>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</si>
  <si>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</si>
  <si>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</si>
  <si>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</si>
  <si>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</si>
  <si>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</si>
  <si>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</si>
  <si>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</si>
  <si>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</si>
  <si>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</si>
  <si>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</si>
  <si>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</si>
  <si>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</si>
  <si>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</si>
  <si>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</si>
  <si>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</si>
  <si>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</si>
  <si>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</si>
  <si>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</si>
  <si>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Uganda</t>
  </si>
  <si>
    <t>Mărfuri manufacturate, clasificate mai ales după materia primă</t>
  </si>
  <si>
    <t>de 2,2 ori</t>
  </si>
  <si>
    <t>de 1,8 ori</t>
  </si>
  <si>
    <t>Țările CSI - total</t>
  </si>
  <si>
    <t xml:space="preserve"> -</t>
  </si>
  <si>
    <t>Țările Uniunii Europene (UE-27)</t>
  </si>
  <si>
    <t xml:space="preserve">Țările CSI </t>
  </si>
  <si>
    <t xml:space="preserve">Celelalte țări ale lumii </t>
  </si>
  <si>
    <t>Cuba</t>
  </si>
  <si>
    <t>BALANŢA COMERCIALĂ – total, mii dolari SUA</t>
  </si>
  <si>
    <t>de 2,5 ori</t>
  </si>
  <si>
    <t>Bosnia şi Herţegovina</t>
  </si>
  <si>
    <t>Libia</t>
  </si>
  <si>
    <t>Statul Palestina</t>
  </si>
  <si>
    <t>de 2,3 ori</t>
  </si>
  <si>
    <t>de 1,5 ori</t>
  </si>
  <si>
    <t>de 3,2 ori</t>
  </si>
  <si>
    <t>Kosovo</t>
  </si>
  <si>
    <t>Afganistan</t>
  </si>
  <si>
    <t>Tanzania</t>
  </si>
  <si>
    <t>Nicaragua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</si>
  <si>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</si>
  <si>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</si>
  <si>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</si>
  <si>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</si>
  <si>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</si>
  <si>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</si>
  <si>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</si>
  <si>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</si>
  <si>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</si>
  <si>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</si>
  <si>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</si>
  <si>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</si>
  <si>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</si>
  <si>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</si>
  <si>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</si>
  <si>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</si>
  <si>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</si>
  <si>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</si>
  <si>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</si>
  <si>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</si>
  <si>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</si>
  <si>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</si>
  <si>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</si>
  <si>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</si>
  <si>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</si>
  <si>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</si>
  <si>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</si>
  <si>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</si>
  <si>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</si>
  <si>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</si>
  <si>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</si>
  <si>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</si>
  <si>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</si>
  <si>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</si>
  <si>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</si>
  <si>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</si>
  <si>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</si>
  <si>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</si>
  <si>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</si>
  <si>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</si>
  <si>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</si>
  <si>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</si>
  <si>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</si>
  <si>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</si>
  <si>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</si>
  <si>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</si>
  <si>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</si>
  <si>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</si>
  <si>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</si>
  <si>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</si>
  <si>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</si>
  <si>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</si>
  <si>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</si>
  <si>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</si>
  <si>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</si>
  <si>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</si>
  <si>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</si>
  <si>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</si>
  <si>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</si>
  <si>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</si>
  <si>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</si>
  <si>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</si>
  <si>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</si>
  <si>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</si>
  <si>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</si>
  <si>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</si>
  <si>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</si>
  <si>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</si>
  <si>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</si>
  <si>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</si>
  <si>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de 2,6 ori</t>
  </si>
  <si>
    <t>23</t>
  </si>
  <si>
    <t>34</t>
  </si>
  <si>
    <t>9</t>
  </si>
  <si>
    <t>Cod CSCI</t>
  </si>
  <si>
    <t>de 6,6 ori</t>
  </si>
  <si>
    <t>de 5,4 ori</t>
  </si>
  <si>
    <t>conform Clasificării Standard de Comerţ Internaţional (CSCI)</t>
  </si>
  <si>
    <t xml:space="preserve">  ¹ În preţuri curente</t>
  </si>
  <si>
    <t>Sierra Leone</t>
  </si>
  <si>
    <t>de 2,9 ori</t>
  </si>
  <si>
    <t>de 12,1 ori</t>
  </si>
  <si>
    <t>-</t>
  </si>
  <si>
    <t>de 75,5 ori</t>
  </si>
  <si>
    <t>de 2,7 ori</t>
  </si>
  <si>
    <t>de 2,4 ori</t>
  </si>
  <si>
    <t>de 4,0 ori</t>
  </si>
  <si>
    <t>35</t>
  </si>
  <si>
    <t>Energie electrica</t>
  </si>
  <si>
    <t>de 4,3 ori</t>
  </si>
  <si>
    <t>Energie electrică</t>
  </si>
  <si>
    <t>BALANŢA COMERCIALĂ - total, mii dolari SUA</t>
  </si>
  <si>
    <t>mii dolari                 SUA</t>
  </si>
  <si>
    <t>de 4,4 ori</t>
  </si>
  <si>
    <t>Ianuarie - mai 2021</t>
  </si>
  <si>
    <t>ianuarie - mai</t>
  </si>
  <si>
    <t>Ianuarie - mai</t>
  </si>
  <si>
    <t>Ianuarie - mai 2021 în % faţă de            ianuarie - mai 2020 ¹</t>
  </si>
  <si>
    <t>Ianuarie - mai 2021        în % faţă de            ianuarie - mai 2020 ¹</t>
  </si>
  <si>
    <t>în % faţă de ianuarie - mai 2020 ¹</t>
  </si>
  <si>
    <t>de 131,7 ori</t>
  </si>
  <si>
    <t>de 23,1 ori</t>
  </si>
  <si>
    <t>de 41,5 ori</t>
  </si>
  <si>
    <t>de 7,1 ori</t>
  </si>
  <si>
    <t>de 4,2 ori</t>
  </si>
  <si>
    <t>de 97,8 ori</t>
  </si>
  <si>
    <t>de 83,3 ori</t>
  </si>
  <si>
    <t xml:space="preserve">Ţări cu codul tarii de origine a marfii "EU" </t>
  </si>
  <si>
    <t>Andorra</t>
  </si>
  <si>
    <t>Mauritius</t>
  </si>
  <si>
    <t>Republica Dominicană</t>
  </si>
  <si>
    <t>de 6,3 ori</t>
  </si>
  <si>
    <t>de 3,0 ori</t>
  </si>
  <si>
    <t>de 3,5 ori</t>
  </si>
  <si>
    <t>de 16,7 ori</t>
  </si>
  <si>
    <t>de 10,9 ori</t>
  </si>
  <si>
    <t>de 11,4 ori</t>
  </si>
  <si>
    <t>de 19,5 ori</t>
  </si>
  <si>
    <t xml:space="preserve">      din care:</t>
  </si>
  <si>
    <t>de 13,3 ori</t>
  </si>
  <si>
    <t>de 8,6 ori</t>
  </si>
  <si>
    <t>de 6,2 ori</t>
  </si>
  <si>
    <t>de 7,9 ori</t>
  </si>
  <si>
    <t>de 492,0 ori</t>
  </si>
  <si>
    <t>de 3,1 ori</t>
  </si>
  <si>
    <t>de 14,4 ori</t>
  </si>
  <si>
    <t>de 10,0 ori</t>
  </si>
  <si>
    <t>de 5,8 ori</t>
  </si>
  <si>
    <t>de 4,8 ori</t>
  </si>
  <si>
    <t>Celelalte țări ale lumii</t>
  </si>
  <si>
    <t>de 8,2 ori</t>
  </si>
  <si>
    <t>de 3,4 ori</t>
  </si>
  <si>
    <t>Țările Uniunii Europene - total</t>
  </si>
  <si>
    <t>Franța</t>
  </si>
  <si>
    <t>Croația</t>
  </si>
  <si>
    <t xml:space="preserve">Țări cu codul țării de origine a mărfii "EU" </t>
  </si>
  <si>
    <t>Federațiaia Rusă</t>
  </si>
  <si>
    <t>Regatul Unit al Marii Britanii și Irlandei de Nord</t>
  </si>
  <si>
    <t>Trinidad Tobago</t>
  </si>
  <si>
    <t>Congo</t>
  </si>
  <si>
    <t>Gambia</t>
  </si>
  <si>
    <t>Angola</t>
  </si>
  <si>
    <t>Bosnia și Herțegovina</t>
  </si>
  <si>
    <t>Elveția</t>
  </si>
  <si>
    <t>de 2,8 ori</t>
  </si>
  <si>
    <t>de 34,7 ori</t>
  </si>
  <si>
    <t>de 3,8 ori</t>
  </si>
  <si>
    <r>
      <t xml:space="preserve">  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 Faţă de perioada corespunzătoare din anul precedent</t>
    </r>
  </si>
  <si>
    <r>
      <rPr>
        <b/>
        <sz val="9"/>
        <rFont val="Arial"/>
        <family val="2"/>
        <charset val="204"/>
      </rPr>
      <t xml:space="preserve">Anexa 1.  </t>
    </r>
    <r>
      <rPr>
        <b/>
        <i/>
        <sz val="9"/>
        <rFont val="Arial"/>
        <family val="2"/>
        <charset val="204"/>
      </rPr>
      <t>Exporturile structurate pe principalele ţări de destinaţie a mărfurilor şi grupe de ţări</t>
    </r>
  </si>
  <si>
    <r>
      <t xml:space="preserve">în % faţă de ianuarie - mai 2020 </t>
    </r>
    <r>
      <rPr>
        <b/>
        <vertAlign val="superscript"/>
        <sz val="9"/>
        <rFont val="Arial"/>
        <family val="2"/>
        <charset val="204"/>
      </rPr>
      <t>¹</t>
    </r>
  </si>
  <si>
    <r>
      <t xml:space="preserve">ianuarie - mai </t>
    </r>
    <r>
      <rPr>
        <b/>
        <vertAlign val="superscript"/>
        <sz val="9"/>
        <rFont val="Arial"/>
        <family val="2"/>
        <charset val="204"/>
      </rPr>
      <t>1,2</t>
    </r>
  </si>
  <si>
    <r>
      <rPr>
        <b/>
        <sz val="9"/>
        <color indexed="8"/>
        <rFont val="Arial"/>
        <family val="2"/>
        <charset val="204"/>
      </rPr>
      <t xml:space="preserve">Anexa 8.  </t>
    </r>
    <r>
      <rPr>
        <b/>
        <i/>
        <sz val="9"/>
        <color indexed="8"/>
        <rFont val="Arial"/>
        <family val="2"/>
        <charset val="204"/>
      </rPr>
      <t xml:space="preserve">Balanţa comercială structurată pe grupe de mărfuri, </t>
    </r>
  </si>
  <si>
    <r>
      <rPr>
        <b/>
        <sz val="9"/>
        <color indexed="8"/>
        <rFont val="Arial"/>
        <family val="2"/>
        <charset val="204"/>
      </rPr>
      <t>Anexa 7.</t>
    </r>
    <r>
      <rPr>
        <b/>
        <i/>
        <sz val="9"/>
        <color indexed="8"/>
        <rFont val="Arial"/>
        <family val="2"/>
        <charset val="204"/>
      </rPr>
      <t xml:space="preserve">  Importurile structurate pe grupe de mărfuri, </t>
    </r>
  </si>
  <si>
    <r>
      <t xml:space="preserve">ianuarie - mai </t>
    </r>
    <r>
      <rPr>
        <b/>
        <vertAlign val="superscript"/>
        <sz val="9"/>
        <color indexed="8"/>
        <rFont val="Arial"/>
        <family val="2"/>
        <charset val="204"/>
      </rPr>
      <t>1,2</t>
    </r>
  </si>
  <si>
    <r>
      <rPr>
        <b/>
        <sz val="9"/>
        <color indexed="8"/>
        <rFont val="Arial"/>
        <family val="2"/>
        <charset val="204"/>
      </rPr>
      <t>Anexa 6.</t>
    </r>
    <r>
      <rPr>
        <b/>
        <i/>
        <sz val="9"/>
        <color indexed="8"/>
        <rFont val="Arial"/>
        <family val="2"/>
        <charset val="204"/>
      </rPr>
      <t xml:space="preserve">  Exporturile structurate pe grupe de mărfuri, </t>
    </r>
  </si>
  <si>
    <r>
      <rPr>
        <b/>
        <sz val="9"/>
        <rFont val="Arial"/>
        <family val="2"/>
        <charset val="204"/>
      </rPr>
      <t>Anexa 5.</t>
    </r>
    <r>
      <rPr>
        <b/>
        <i/>
        <sz val="9"/>
        <rFont val="Arial"/>
        <family val="2"/>
        <charset val="204"/>
      </rPr>
      <t xml:space="preserve">  Importurile structurate după modul de transport al mărfurilor </t>
    </r>
  </si>
  <si>
    <r>
      <rPr>
        <b/>
        <sz val="9"/>
        <rFont val="Arial"/>
        <family val="2"/>
        <charset val="204"/>
      </rPr>
      <t xml:space="preserve">Anexa 4.  </t>
    </r>
    <r>
      <rPr>
        <b/>
        <i/>
        <sz val="9"/>
        <rFont val="Arial"/>
        <family val="2"/>
        <charset val="204"/>
      </rPr>
      <t xml:space="preserve">Exporturile structurate după modul de transport al mărfurilor </t>
    </r>
  </si>
  <si>
    <r>
      <rPr>
        <b/>
        <sz val="9"/>
        <color indexed="8"/>
        <rFont val="Arial"/>
        <family val="2"/>
        <charset val="204"/>
      </rPr>
      <t xml:space="preserve">Anexa 3.  </t>
    </r>
    <r>
      <rPr>
        <b/>
        <i/>
        <sz val="9"/>
        <color indexed="8"/>
        <rFont val="Arial"/>
        <family val="2"/>
        <charset val="204"/>
      </rPr>
      <t>Balanţa comercială structurată pe principalele ţări şi grupe de ţări</t>
    </r>
  </si>
  <si>
    <r>
      <rPr>
        <b/>
        <sz val="9"/>
        <color indexed="8"/>
        <rFont val="Arial"/>
        <family val="2"/>
        <charset val="204"/>
      </rPr>
      <t xml:space="preserve">Anexa 2.  </t>
    </r>
    <r>
      <rPr>
        <b/>
        <i/>
        <sz val="9"/>
        <color indexed="8"/>
        <rFont val="Arial"/>
        <family val="2"/>
        <charset val="204"/>
      </rPr>
      <t>Importurile structurate pe principalele ţări de origine a mărfurilor şi grupe de ţări</t>
    </r>
  </si>
  <si>
    <r>
      <t xml:space="preserve">în % faţă de ianuarie-mai 2020 </t>
    </r>
    <r>
      <rPr>
        <b/>
        <vertAlign val="superscript"/>
        <sz val="9"/>
        <rFont val="Arial"/>
        <family val="2"/>
        <charset val="204"/>
      </rPr>
      <t>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</si>
</sst>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2"/>
      <color indexed="8"/>
      <name val="Times New Roman"/>
      <family val="2"/>
      <charset val="238"/>
    </font>
    <font>
      <sz val="8"/>
      <name val="Times New Roman"/>
      <family val="2"/>
      <charset val="238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2"/>
      <charset val="238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C00000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vertAlign val="superscript"/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</cellStyleXfs>
  <cellXfs count="11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vertical="top" wrapText="1"/>
    </xf>
    <xf numFmtId="38" fontId="6" fillId="0" borderId="0" xfId="0" applyNumberFormat="1" applyFont="1" applyFill="1" applyBorder="1" applyAlignment="1" applyProtection="1">
      <alignment horizontal="left" wrapText="1"/>
    </xf>
    <xf numFmtId="0" fontId="9" fillId="0" borderId="0" xfId="0" applyFont="1" applyAlignment="1">
      <alignment horizontal="center"/>
    </xf>
    <xf numFmtId="0" fontId="5" fillId="0" borderId="0" xfId="0" applyFont="1"/>
    <xf numFmtId="0" fontId="6" fillId="0" borderId="6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left" vertical="top" wrapText="1" indent="1"/>
    </xf>
    <xf numFmtId="4" fontId="10" fillId="0" borderId="5" xfId="0" applyNumberFormat="1" applyFont="1" applyFill="1" applyBorder="1" applyAlignment="1" applyProtection="1">
      <alignment horizontal="right" vertical="top"/>
    </xf>
    <xf numFmtId="4" fontId="10" fillId="0" borderId="5" xfId="0" applyNumberFormat="1" applyFont="1" applyFill="1" applyBorder="1" applyAlignment="1" applyProtection="1">
      <alignment horizontal="right" vertical="top" inden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Fill="1" applyBorder="1" applyAlignment="1" applyProtection="1">
      <alignment horizontal="right" vertical="top"/>
    </xf>
    <xf numFmtId="4" fontId="12" fillId="0" borderId="0" xfId="0" applyNumberFormat="1" applyFont="1" applyFill="1" applyBorder="1" applyAlignment="1" applyProtection="1">
      <alignment horizontal="right" vertical="top" indent="1"/>
    </xf>
    <xf numFmtId="0" fontId="10" fillId="0" borderId="0" xfId="0" applyNumberFormat="1" applyFont="1" applyFill="1" applyAlignment="1" applyProtection="1">
      <alignment horizontal="left" vertical="top" wrapText="1" indent="1"/>
    </xf>
    <xf numFmtId="4" fontId="10" fillId="0" borderId="0" xfId="0" applyNumberFormat="1" applyFont="1" applyFill="1" applyAlignment="1" applyProtection="1">
      <alignment horizontal="right" vertical="top"/>
    </xf>
    <xf numFmtId="4" fontId="10" fillId="0" borderId="0" xfId="0" applyNumberFormat="1" applyFont="1" applyFill="1" applyAlignment="1" applyProtection="1">
      <alignment horizontal="right" vertical="top" indent="1"/>
    </xf>
    <xf numFmtId="38" fontId="6" fillId="0" borderId="0" xfId="0" applyNumberFormat="1" applyFont="1" applyFill="1" applyAlignment="1" applyProtection="1">
      <alignment horizontal="left" vertical="top" wrapText="1" indent="1"/>
    </xf>
    <xf numFmtId="4" fontId="6" fillId="0" borderId="0" xfId="0" applyNumberFormat="1" applyFont="1" applyFill="1" applyAlignment="1" applyProtection="1">
      <alignment horizontal="right" vertical="top"/>
    </xf>
    <xf numFmtId="4" fontId="6" fillId="0" borderId="0" xfId="0" applyNumberFormat="1" applyFont="1" applyFill="1" applyAlignment="1" applyProtection="1">
      <alignment horizontal="right" vertical="top" indent="1"/>
    </xf>
    <xf numFmtId="0" fontId="13" fillId="0" borderId="0" xfId="0" applyFont="1"/>
    <xf numFmtId="0" fontId="14" fillId="0" borderId="0" xfId="0" applyFont="1"/>
    <xf numFmtId="0" fontId="6" fillId="0" borderId="0" xfId="0" applyFont="1"/>
    <xf numFmtId="38" fontId="6" fillId="0" borderId="3" xfId="0" applyNumberFormat="1" applyFont="1" applyFill="1" applyBorder="1" applyAlignment="1" applyProtection="1">
      <alignment horizontal="left" vertical="top" wrapText="1" indent="1"/>
    </xf>
    <xf numFmtId="4" fontId="6" fillId="0" borderId="3" xfId="0" applyNumberFormat="1" applyFont="1" applyFill="1" applyBorder="1" applyAlignment="1" applyProtection="1">
      <alignment horizontal="right" vertical="top"/>
    </xf>
    <xf numFmtId="4" fontId="6" fillId="0" borderId="3" xfId="0" applyNumberFormat="1" applyFont="1" applyFill="1" applyBorder="1" applyAlignment="1" applyProtection="1">
      <alignment horizontal="right" vertical="top" inden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Border="1"/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0" fillId="0" borderId="5" xfId="0" applyNumberFormat="1" applyFont="1" applyFill="1" applyBorder="1" applyAlignment="1" applyProtection="1">
      <alignment horizontal="left" vertical="top" wrapText="1"/>
    </xf>
    <xf numFmtId="4" fontId="10" fillId="0" borderId="5" xfId="0" applyNumberFormat="1" applyFont="1" applyFill="1" applyBorder="1" applyAlignment="1" applyProtection="1">
      <alignment horizontal="right" vertical="top" indent="2"/>
    </xf>
    <xf numFmtId="4" fontId="5" fillId="0" borderId="0" xfId="0" applyNumberFormat="1" applyFont="1"/>
    <xf numFmtId="4" fontId="13" fillId="0" borderId="0" xfId="0" applyNumberFormat="1" applyFont="1" applyAlignment="1">
      <alignment horizontal="right" vertical="top"/>
    </xf>
    <xf numFmtId="4" fontId="13" fillId="0" borderId="0" xfId="0" applyNumberFormat="1" applyFont="1" applyAlignment="1">
      <alignment horizontal="right" vertical="top" indent="2"/>
    </xf>
    <xf numFmtId="38" fontId="10" fillId="0" borderId="0" xfId="0" applyNumberFormat="1" applyFont="1" applyFill="1" applyAlignment="1" applyProtection="1">
      <alignment horizontal="center" vertical="top"/>
    </xf>
    <xf numFmtId="38" fontId="10" fillId="0" borderId="0" xfId="0" applyNumberFormat="1" applyFont="1" applyFill="1" applyAlignment="1" applyProtection="1">
      <alignment horizontal="left" vertical="top" wrapText="1"/>
    </xf>
    <xf numFmtId="164" fontId="10" fillId="0" borderId="0" xfId="0" applyNumberFormat="1" applyFont="1" applyFill="1" applyAlignment="1" applyProtection="1">
      <alignment horizontal="right" vertical="top" indent="2"/>
    </xf>
    <xf numFmtId="38" fontId="6" fillId="0" borderId="0" xfId="0" applyNumberFormat="1" applyFont="1" applyFill="1" applyAlignment="1" applyProtection="1">
      <alignment horizontal="center" vertical="top"/>
    </xf>
    <xf numFmtId="38" fontId="6" fillId="0" borderId="0" xfId="0" applyNumberFormat="1" applyFont="1" applyFill="1" applyAlignment="1" applyProtection="1">
      <alignment horizontal="left" vertical="top" wrapText="1"/>
    </xf>
    <xf numFmtId="164" fontId="6" fillId="0" borderId="0" xfId="0" applyNumberFormat="1" applyFont="1" applyFill="1" applyAlignment="1" applyProtection="1">
      <alignment horizontal="right" vertical="top" indent="2"/>
    </xf>
    <xf numFmtId="38" fontId="10" fillId="0" borderId="3" xfId="0" applyNumberFormat="1" applyFont="1" applyFill="1" applyBorder="1" applyAlignment="1" applyProtection="1">
      <alignment horizontal="center" vertical="top"/>
    </xf>
    <xf numFmtId="38" fontId="10" fillId="0" borderId="3" xfId="0" applyNumberFormat="1" applyFont="1" applyFill="1" applyBorder="1" applyAlignment="1" applyProtection="1">
      <alignment horizontal="left" vertical="top" wrapText="1"/>
    </xf>
    <xf numFmtId="4" fontId="10" fillId="0" borderId="3" xfId="0" applyNumberFormat="1" applyFont="1" applyFill="1" applyBorder="1" applyAlignment="1" applyProtection="1">
      <alignment horizontal="right" vertical="top"/>
    </xf>
    <xf numFmtId="164" fontId="10" fillId="0" borderId="3" xfId="0" applyNumberFormat="1" applyFont="1" applyFill="1" applyBorder="1" applyAlignment="1" applyProtection="1">
      <alignment horizontal="right" vertical="top" indent="2"/>
    </xf>
    <xf numFmtId="0" fontId="1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/>
    <xf numFmtId="4" fontId="10" fillId="0" borderId="3" xfId="0" applyNumberFormat="1" applyFont="1" applyFill="1" applyBorder="1" applyAlignment="1" applyProtection="1">
      <alignment horizontal="right" vertical="top" indent="1"/>
    </xf>
    <xf numFmtId="0" fontId="5" fillId="0" borderId="0" xfId="0" applyFont="1" applyAlignment="1">
      <alignment horizontal="justify"/>
    </xf>
    <xf numFmtId="0" fontId="6" fillId="0" borderId="5" xfId="0" applyNumberFormat="1" applyFont="1" applyFill="1" applyBorder="1" applyAlignment="1" applyProtection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4" fontId="10" fillId="0" borderId="0" xfId="0" applyNumberFormat="1" applyFont="1" applyFill="1" applyBorder="1" applyAlignment="1" applyProtection="1">
      <alignment horizontal="right" vertical="top" indent="1"/>
    </xf>
    <xf numFmtId="4" fontId="10" fillId="0" borderId="0" xfId="0" applyNumberFormat="1" applyFont="1" applyFill="1" applyAlignment="1" applyProtection="1">
      <alignment horizontal="right" vertical="top" wrapText="1" indent="1"/>
    </xf>
    <xf numFmtId="0" fontId="6" fillId="0" borderId="0" xfId="0" applyFont="1" applyAlignment="1">
      <alignment horizontal="left" vertical="top" wrapText="1"/>
    </xf>
    <xf numFmtId="4" fontId="12" fillId="0" borderId="0" xfId="0" applyNumberFormat="1" applyFont="1" applyFill="1" applyAlignment="1" applyProtection="1">
      <alignment horizontal="right" vertical="top" wrapText="1" indent="1"/>
    </xf>
    <xf numFmtId="4" fontId="6" fillId="0" borderId="0" xfId="0" applyNumberFormat="1" applyFont="1" applyAlignment="1">
      <alignment horizontal="right" vertical="top" wrapText="1" indent="1"/>
    </xf>
    <xf numFmtId="0" fontId="6" fillId="0" borderId="0" xfId="0" applyNumberFormat="1" applyFont="1" applyFill="1" applyAlignment="1" applyProtection="1">
      <alignment horizontal="left" vertical="top" wrapText="1"/>
    </xf>
    <xf numFmtId="0" fontId="10" fillId="0" borderId="0" xfId="0" applyNumberFormat="1" applyFont="1" applyFill="1" applyAlignment="1" applyProtection="1">
      <alignment horizontal="left" vertical="top" wrapText="1"/>
    </xf>
    <xf numFmtId="4" fontId="10" fillId="0" borderId="0" xfId="0" applyNumberFormat="1" applyFont="1" applyAlignment="1">
      <alignment horizontal="right" vertical="top" indent="1"/>
    </xf>
    <xf numFmtId="4" fontId="6" fillId="0" borderId="0" xfId="0" applyNumberFormat="1" applyFont="1" applyAlignment="1">
      <alignment horizontal="right" vertical="top" indent="1"/>
    </xf>
    <xf numFmtId="4" fontId="10" fillId="0" borderId="0" xfId="0" applyNumberFormat="1" applyFont="1" applyAlignment="1">
      <alignment horizontal="right" vertical="top" wrapText="1" indent="1"/>
    </xf>
    <xf numFmtId="4" fontId="12" fillId="0" borderId="0" xfId="0" applyNumberFormat="1" applyFont="1" applyFill="1" applyBorder="1" applyAlignment="1" applyProtection="1">
      <alignment horizontal="right" vertical="top" wrapText="1" indent="1"/>
    </xf>
    <xf numFmtId="4" fontId="6" fillId="0" borderId="0" xfId="0" applyNumberFormat="1" applyFont="1" applyFill="1" applyBorder="1" applyAlignment="1" applyProtection="1">
      <alignment horizontal="right" vertical="top" indent="1"/>
    </xf>
    <xf numFmtId="4" fontId="6" fillId="0" borderId="0" xfId="0" applyNumberFormat="1" applyFont="1" applyBorder="1" applyAlignment="1">
      <alignment horizontal="right" vertical="top" inden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" fontId="6" fillId="0" borderId="3" xfId="0" applyNumberFormat="1" applyFont="1" applyBorder="1" applyAlignment="1">
      <alignment horizontal="right" vertical="top" indent="1"/>
    </xf>
    <xf numFmtId="4" fontId="12" fillId="0" borderId="0" xfId="0" applyNumberFormat="1" applyFont="1" applyFill="1" applyAlignment="1" applyProtection="1">
      <alignment horizontal="right" vertical="top" indent="1"/>
    </xf>
    <xf numFmtId="0" fontId="5" fillId="0" borderId="0" xfId="0" applyFont="1" applyFill="1"/>
    <xf numFmtId="4" fontId="6" fillId="0" borderId="3" xfId="0" applyNumberFormat="1" applyFont="1" applyBorder="1" applyAlignment="1">
      <alignment horizontal="right" vertical="top" wrapText="1" indent="1"/>
    </xf>
    <xf numFmtId="0" fontId="10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right" vertical="top" indent="2"/>
    </xf>
    <xf numFmtId="0" fontId="10" fillId="0" borderId="0" xfId="0" applyNumberFormat="1" applyFont="1" applyFill="1" applyBorder="1" applyAlignment="1" applyProtection="1">
      <alignment horizontal="left" vertical="top" wrapText="1" indent="1"/>
    </xf>
    <xf numFmtId="164" fontId="10" fillId="0" borderId="0" xfId="0" applyNumberFormat="1" applyFont="1" applyFill="1" applyBorder="1" applyAlignment="1" applyProtection="1">
      <alignment horizontal="right" vertical="top" indent="1"/>
    </xf>
    <xf numFmtId="164" fontId="6" fillId="0" borderId="0" xfId="0" applyNumberFormat="1" applyFont="1" applyFill="1" applyAlignment="1" applyProtection="1">
      <alignment horizontal="right" vertical="top" indent="1"/>
    </xf>
    <xf numFmtId="38" fontId="6" fillId="0" borderId="0" xfId="0" applyNumberFormat="1" applyFont="1" applyFill="1" applyBorder="1" applyAlignment="1" applyProtection="1">
      <alignment horizontal="left" vertical="top" wrapText="1" indent="1"/>
    </xf>
    <xf numFmtId="0" fontId="5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left" vertical="top" wrapText="1" indent="1"/>
    </xf>
    <xf numFmtId="4" fontId="6" fillId="0" borderId="0" xfId="0" applyNumberFormat="1" applyFont="1" applyFill="1" applyBorder="1" applyAlignment="1" applyProtection="1">
      <alignment horizontal="right" vertical="top"/>
    </xf>
  </cellXfs>
  <cellStyles count="6">
    <cellStyle name="Normal" xfId="0" builtinId="0"/>
    <cellStyle name="Normal 2" xfId="4" xr:uid="{00000000-0005-0000-0000-000000000000}"/>
    <cellStyle name="Normal 3" xfId="3" xr:uid="{00000000-0005-0000-0000-000001000000}"/>
    <cellStyle name="Обычный 2" xfId="1" xr:uid="{00000000-0005-0000-0000-000003000000}"/>
    <cellStyle name="Обычный 3" xfId="2" xr:uid="{00000000-0005-0000-0000-000004000000}"/>
    <cellStyle name="Обычный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101"/>
  <sheetViews>
    <sheetView tabSelected="1" zoomScale="99" zoomScaleNormal="99" workbookViewId="0">
      <selection sqref="A1:G1"/>
    </sheetView>
  </sheetViews>
  <sheetFormatPr defaultRowHeight="12" x14ac:dyDescent="0.2"/>
  <cols>
    <col min="1" max="1" width="30.5" style="36" customWidth="1"/>
    <col min="2" max="2" width="11.75" style="36" customWidth="1"/>
    <col min="3" max="3" width="10.5" style="36" customWidth="1"/>
    <col min="4" max="4" width="8.5" style="36" customWidth="1"/>
    <col min="5" max="5" width="8.25" style="36" customWidth="1"/>
    <col min="6" max="7" width="9.875" style="36" customWidth="1"/>
    <col min="8" max="16384" width="9" style="7"/>
  </cols>
  <sheetData>
    <row r="1" spans="1:7" x14ac:dyDescent="0.2">
      <c r="A1" s="6" t="s">
        <v>383</v>
      </c>
      <c r="B1" s="6"/>
      <c r="C1" s="6"/>
      <c r="D1" s="6"/>
      <c r="E1" s="6"/>
      <c r="F1" s="6"/>
      <c r="G1" s="6"/>
    </row>
    <row r="3" spans="1:7" ht="54" customHeight="1" x14ac:dyDescent="0.2">
      <c r="A3" s="8"/>
      <c r="B3" s="9" t="s">
        <v>329</v>
      </c>
      <c r="C3" s="10"/>
      <c r="D3" s="9" t="s">
        <v>108</v>
      </c>
      <c r="E3" s="10"/>
      <c r="F3" s="11" t="s">
        <v>1</v>
      </c>
      <c r="G3" s="12"/>
    </row>
    <row r="4" spans="1:7" ht="22.5" customHeight="1" x14ac:dyDescent="0.2">
      <c r="A4" s="13"/>
      <c r="B4" s="14" t="s">
        <v>99</v>
      </c>
      <c r="C4" s="15" t="s">
        <v>384</v>
      </c>
      <c r="D4" s="16" t="s">
        <v>330</v>
      </c>
      <c r="E4" s="16"/>
      <c r="F4" s="16" t="s">
        <v>385</v>
      </c>
      <c r="G4" s="9"/>
    </row>
    <row r="5" spans="1:7" ht="38.25" customHeight="1" x14ac:dyDescent="0.2">
      <c r="A5" s="17"/>
      <c r="B5" s="18"/>
      <c r="C5" s="19"/>
      <c r="D5" s="20">
        <v>2020</v>
      </c>
      <c r="E5" s="20">
        <v>2021</v>
      </c>
      <c r="F5" s="20">
        <v>2020</v>
      </c>
      <c r="G5" s="21">
        <v>2021</v>
      </c>
    </row>
    <row r="6" spans="1:7" ht="15.75" customHeight="1" x14ac:dyDescent="0.2">
      <c r="A6" s="22" t="s">
        <v>100</v>
      </c>
      <c r="B6" s="23">
        <v>1104707.7805600001</v>
      </c>
      <c r="C6" s="24">
        <f>IF(980597.75708="","-",1104707.78056/980597.75708*100)</f>
        <v>112.65656815793376</v>
      </c>
      <c r="D6" s="24">
        <v>100</v>
      </c>
      <c r="E6" s="24">
        <v>100</v>
      </c>
      <c r="F6" s="24">
        <f>IF(1159001.13914="","-",(980597.75708-1159001.13914)/1159001.13914*100)</f>
        <v>-15.392856489543973</v>
      </c>
      <c r="G6" s="24">
        <f>IF(980597.75708="","-",(1104707.78056-980597.75708)/980597.75708*100)</f>
        <v>12.656568157933776</v>
      </c>
    </row>
    <row r="7" spans="1:7" x14ac:dyDescent="0.2">
      <c r="A7" s="25" t="s">
        <v>353</v>
      </c>
      <c r="B7" s="26"/>
      <c r="C7" s="27"/>
      <c r="D7" s="27"/>
      <c r="E7" s="27"/>
      <c r="F7" s="27"/>
      <c r="G7" s="27"/>
    </row>
    <row r="8" spans="1:7" x14ac:dyDescent="0.2">
      <c r="A8" s="28" t="s">
        <v>147</v>
      </c>
      <c r="B8" s="29">
        <v>720430.76054000005</v>
      </c>
      <c r="C8" s="30">
        <f>IF(618322.30846="","-",720430.76054/618322.30846*100)</f>
        <v>116.5137907338832</v>
      </c>
      <c r="D8" s="30">
        <f>IF(618322.30846="","-",618322.30846/980597.75708*100)</f>
        <v>63.055651922070986</v>
      </c>
      <c r="E8" s="30">
        <f>IF(720430.76054="","-",720430.76054/1104707.78056*100)</f>
        <v>65.214600025248146</v>
      </c>
      <c r="F8" s="30">
        <f>IF(1159001.13914="","-",(618322.30846-720483.95216)/1159001.13914*100)</f>
        <v>-8.8146284114790259</v>
      </c>
      <c r="G8" s="30">
        <f>IF(980597.75708="","-",(720430.76054-618322.30846)/980597.75708*100)</f>
        <v>10.412878404296592</v>
      </c>
    </row>
    <row r="9" spans="1:7" ht="15.75" customHeight="1" x14ac:dyDescent="0.2">
      <c r="A9" s="31" t="s">
        <v>2</v>
      </c>
      <c r="B9" s="32">
        <v>307451.13902</v>
      </c>
      <c r="C9" s="33">
        <f>IF(OR(241314.61116="",307451.13902=""),"-",307451.13902/241314.61116*100)</f>
        <v>127.40676477983722</v>
      </c>
      <c r="D9" s="33">
        <f>IF(241314.61116="","-",241314.61116/980597.75708*100)</f>
        <v>24.608929545033913</v>
      </c>
      <c r="E9" s="33">
        <f>IF(307451.13902="","-",307451.13902/1104707.78056*100)</f>
        <v>27.83099245160982</v>
      </c>
      <c r="F9" s="33">
        <f>IF(OR(1159001.13914="",322407.41264="",241314.61116=""),"-",(241314.61116-322407.41264)/1159001.13914*100)</f>
        <v>-6.9967835873027973</v>
      </c>
      <c r="G9" s="33">
        <f>IF(OR(980597.75708="",307451.13902="",241314.61116=""),"-",(307451.13902-241314.61116)/980597.75708*100)</f>
        <v>6.7445114352433082</v>
      </c>
    </row>
    <row r="10" spans="1:7" ht="15.75" customHeight="1" x14ac:dyDescent="0.2">
      <c r="A10" s="31" t="s">
        <v>4</v>
      </c>
      <c r="B10" s="32">
        <v>114798.74451999999</v>
      </c>
      <c r="C10" s="33">
        <f>IF(OR(84725.55704="",114798.74452=""),"-",114798.74452/84725.55704*100)</f>
        <v>135.49482414828157</v>
      </c>
      <c r="D10" s="33">
        <f>IF(84725.55704="","-",84725.55704/980597.75708*100)</f>
        <v>8.6401948636200938</v>
      </c>
      <c r="E10" s="33">
        <f>IF(114798.74452="","-",114798.74452/1104707.78056*100)</f>
        <v>10.391774778829388</v>
      </c>
      <c r="F10" s="33">
        <f>IF(OR(1159001.13914="",103957.82324="",84725.55704=""),"-",(84725.55704-103957.82324)/1159001.13914*100)</f>
        <v>-1.6593828556778372</v>
      </c>
      <c r="G10" s="33">
        <f>IF(OR(980597.75708="",114798.74452="",84725.55704=""),"-",(114798.74452-84725.55704)/980597.75708*100)</f>
        <v>3.0668219729108084</v>
      </c>
    </row>
    <row r="11" spans="1:7" ht="13.5" customHeight="1" x14ac:dyDescent="0.2">
      <c r="A11" s="31" t="s">
        <v>3</v>
      </c>
      <c r="B11" s="32">
        <v>77311.315340000001</v>
      </c>
      <c r="C11" s="33">
        <f>IF(OR(83656.49598="",77311.31534=""),"-",77311.31534/83656.49598*100)</f>
        <v>92.415196733177822</v>
      </c>
      <c r="D11" s="33">
        <f>IF(83656.49598="","-",83656.49598/980597.75708*100)</f>
        <v>8.5311734986127519</v>
      </c>
      <c r="E11" s="33">
        <f>IF(77311.31534="","-",77311.31534/1104707.78056*100)</f>
        <v>6.9983498532805877</v>
      </c>
      <c r="F11" s="33">
        <f>IF(OR(1159001.13914="",115022.96048="",83656.49598=""),"-",(83656.49598-115022.96048)/1159001.13914*100)</f>
        <v>-2.7063359509098044</v>
      </c>
      <c r="G11" s="33">
        <f>IF(OR(980597.75708="",77311.31534="",83656.49598=""),"-",(77311.31534-83656.49598)/980597.75708*100)</f>
        <v>-0.64707272622104794</v>
      </c>
    </row>
    <row r="12" spans="1:7" ht="15.75" customHeight="1" x14ac:dyDescent="0.2">
      <c r="A12" s="31" t="s">
        <v>5</v>
      </c>
      <c r="B12" s="32">
        <v>43191.554880000003</v>
      </c>
      <c r="C12" s="33">
        <f>IF(OR(40551.89354="",43191.55488=""),"-",43191.55488/40551.89354*100)</f>
        <v>106.5093417583479</v>
      </c>
      <c r="D12" s="33">
        <f>IF(40551.89354="","-",40551.89354/980597.75708*100)</f>
        <v>4.1354258917289837</v>
      </c>
      <c r="E12" s="33">
        <f>IF(43191.55488="","-",43191.55488/1104707.78056*100)</f>
        <v>3.9097719451297133</v>
      </c>
      <c r="F12" s="33">
        <f>IF(OR(1159001.13914="",43730.83363="",40551.89354=""),"-",(40551.89354-43730.83363)/1159001.13914*100)</f>
        <v>-0.27428274077097414</v>
      </c>
      <c r="G12" s="33">
        <f>IF(OR(980597.75708="",43191.55488="",40551.89354=""),"-",(43191.55488-40551.89354)/980597.75708*100)</f>
        <v>0.26918900445584587</v>
      </c>
    </row>
    <row r="13" spans="1:7" s="34" customFormat="1" x14ac:dyDescent="0.2">
      <c r="A13" s="31" t="s">
        <v>7</v>
      </c>
      <c r="B13" s="32">
        <v>34027.642879999999</v>
      </c>
      <c r="C13" s="33">
        <f>IF(OR(32758.69758="",34027.64288=""),"-",34027.64288/32758.69758*100)</f>
        <v>103.873613402673</v>
      </c>
      <c r="D13" s="33">
        <f>IF(32758.69758="","-",32758.69758/980597.75708*100)</f>
        <v>3.3406865703576609</v>
      </c>
      <c r="E13" s="33">
        <f>IF(34027.64288="","-",34027.64288/1104707.78056*100)</f>
        <v>3.0802392704024095</v>
      </c>
      <c r="F13" s="33">
        <f>IF(OR(1159001.13914="",19936.87324="",32758.69758=""),"-",(32758.69758-19936.87324)/1159001.13914*100)</f>
        <v>1.1062822897235483</v>
      </c>
      <c r="G13" s="33">
        <f>IF(OR(980597.75708="",34027.64288="",32758.69758=""),"-",(34027.64288-32758.69758)/980597.75708*100)</f>
        <v>0.12940528273067173</v>
      </c>
    </row>
    <row r="14" spans="1:7" s="34" customFormat="1" x14ac:dyDescent="0.2">
      <c r="A14" s="31" t="s">
        <v>40</v>
      </c>
      <c r="B14" s="32">
        <v>17345.67582</v>
      </c>
      <c r="C14" s="33">
        <f>IF(OR(19662.28065="",17345.67582=""),"-",17345.67582/19662.28065*100)</f>
        <v>88.218025816857619</v>
      </c>
      <c r="D14" s="33">
        <f>IF(19662.28065="","-",19662.28065/980597.75708*100)</f>
        <v>2.0051321255873416</v>
      </c>
      <c r="E14" s="33">
        <f>IF(17345.67582="","-",17345.67582/1104707.78056*100)</f>
        <v>1.5701596499308716</v>
      </c>
      <c r="F14" s="33">
        <f>IF(OR(1159001.13914="",16104.08716="",19662.28065=""),"-",(19662.28065-16104.08716)/1159001.13914*100)</f>
        <v>0.30700517625377366</v>
      </c>
      <c r="G14" s="33">
        <f>IF(OR(980597.75708="",17345.67582="",19662.28065=""),"-",(17345.67582-19662.28065)/980597.75708*100)</f>
        <v>-0.23624414937459468</v>
      </c>
    </row>
    <row r="15" spans="1:7" s="34" customFormat="1" x14ac:dyDescent="0.2">
      <c r="A15" s="31" t="s">
        <v>10</v>
      </c>
      <c r="B15" s="32">
        <v>16660.758819999999</v>
      </c>
      <c r="C15" s="33">
        <f>IF(OR(14918.85803="",16660.75882=""),"-",16660.75882/14918.85803*100)</f>
        <v>111.67583193363227</v>
      </c>
      <c r="D15" s="33">
        <f>IF(14918.85803="","-",14918.85803/980597.75708*100)</f>
        <v>1.5214044619503322</v>
      </c>
      <c r="E15" s="33">
        <f>IF(16660.75882="","-",16660.75882/1104707.78056*100)</f>
        <v>1.5081598150376294</v>
      </c>
      <c r="F15" s="33">
        <f>IF(OR(1159001.13914="",16196.57923="",14918.85803=""),"-",(14918.85803-16196.57923)/1159001.13914*100)</f>
        <v>-0.1102433083843293</v>
      </c>
      <c r="G15" s="33">
        <f>IF(OR(980597.75708="",16660.75882="",14918.85803=""),"-",(16660.75882-14918.85803)/980597.75708*100)</f>
        <v>0.17763662800810287</v>
      </c>
    </row>
    <row r="16" spans="1:7" s="34" customFormat="1" x14ac:dyDescent="0.2">
      <c r="A16" s="31" t="s">
        <v>42</v>
      </c>
      <c r="B16" s="32">
        <v>16176.578380000001</v>
      </c>
      <c r="C16" s="33" t="s">
        <v>305</v>
      </c>
      <c r="D16" s="33">
        <f>IF(6138.09703="","-",6138.09703/980597.75708*100)</f>
        <v>0.62595462672460878</v>
      </c>
      <c r="E16" s="33">
        <f>IF(16176.57838="","-",16176.57838/1104707.78056*100)</f>
        <v>1.4643309900288515</v>
      </c>
      <c r="F16" s="33">
        <f>IF(OR(1159001.13914="",3201.3501="",6138.09703=""),"-",(6138.09703-3201.3501)/1159001.13914*100)</f>
        <v>0.25338602619313377</v>
      </c>
      <c r="G16" s="33">
        <f>IF(OR(980597.75708="",16176.57838="",6138.09703=""),"-",(16176.57838-6138.09703)/980597.75708*100)</f>
        <v>1.0237104131149908</v>
      </c>
    </row>
    <row r="17" spans="1:7" s="34" customFormat="1" x14ac:dyDescent="0.2">
      <c r="A17" s="31" t="s">
        <v>51</v>
      </c>
      <c r="B17" s="32">
        <v>16072.40532</v>
      </c>
      <c r="C17" s="33" t="s">
        <v>216</v>
      </c>
      <c r="D17" s="33">
        <f>IF(8935.94416="","-",8935.94416/980597.75708*100)</f>
        <v>0.91127519877357621</v>
      </c>
      <c r="E17" s="33">
        <f>IF(16072.40532="","-",16072.40532/1104707.78056*100)</f>
        <v>1.4549010700234728</v>
      </c>
      <c r="F17" s="33">
        <f>IF(OR(1159001.13914="",34.85182="",8935.94416=""),"-",(8935.94416-34.85182)/1159001.13914*100)</f>
        <v>0.76799685862300116</v>
      </c>
      <c r="G17" s="33">
        <f>IF(OR(980597.75708="",16072.40532="",8935.94416=""),"-",(16072.40532-8935.94416)/980597.75708*100)</f>
        <v>0.72776641680792542</v>
      </c>
    </row>
    <row r="18" spans="1:7" s="34" customFormat="1" x14ac:dyDescent="0.2">
      <c r="A18" s="31" t="s">
        <v>123</v>
      </c>
      <c r="B18" s="32">
        <v>14640.719709999999</v>
      </c>
      <c r="C18" s="33">
        <f>IF(OR(16232.30677="",14640.71971=""),"-",14640.71971/16232.30677*100)</f>
        <v>90.19494220660296</v>
      </c>
      <c r="D18" s="33">
        <f>IF(16232.30677="","-",16232.30677/980597.75708*100)</f>
        <v>1.6553481438032414</v>
      </c>
      <c r="E18" s="33">
        <f>IF(14640.71971="","-",14640.71971/1104707.78056*100)</f>
        <v>1.3253024888245382</v>
      </c>
      <c r="F18" s="33">
        <f>IF(OR(1159001.13914="",15946.77018="",16232.30677=""),"-",(16232.30677-15946.77018)/1159001.13914*100)</f>
        <v>2.4636437390551061E-2</v>
      </c>
      <c r="G18" s="33">
        <f>IF(OR(980597.75708="",14640.71971="",16232.30677=""),"-",(14640.71971-16232.30677)/980597.75708*100)</f>
        <v>-0.16230784218183292</v>
      </c>
    </row>
    <row r="19" spans="1:7" s="35" customFormat="1" x14ac:dyDescent="0.2">
      <c r="A19" s="31" t="s">
        <v>6</v>
      </c>
      <c r="B19" s="32">
        <v>14496.173339999999</v>
      </c>
      <c r="C19" s="33">
        <f>IF(OR(16632.85304="",14496.17334=""),"-",14496.17334/16632.85304*100)</f>
        <v>87.153859323703841</v>
      </c>
      <c r="D19" s="33">
        <f>IF(16632.85304="","-",16632.85304/980597.75708*100)</f>
        <v>1.6961952971959577</v>
      </c>
      <c r="E19" s="33">
        <f>IF(14496.17334="","-",14496.17334/1104707.78056*100)</f>
        <v>1.3122179091244908</v>
      </c>
      <c r="F19" s="33">
        <f>IF(OR(1159001.13914="",16729.73418="",16632.85304=""),"-",(16632.85304-16729.73418)/1159001.13914*100)</f>
        <v>-8.3590202570366107E-3</v>
      </c>
      <c r="G19" s="33">
        <f>IF(OR(980597.75708="",14496.17334="",16632.85304=""),"-",(14496.17334-16632.85304)/980597.75708*100)</f>
        <v>-0.21789563402251241</v>
      </c>
    </row>
    <row r="20" spans="1:7" s="34" customFormat="1" x14ac:dyDescent="0.2">
      <c r="A20" s="31" t="s">
        <v>9</v>
      </c>
      <c r="B20" s="32">
        <v>11780.587369999999</v>
      </c>
      <c r="C20" s="33">
        <f>IF(OR(18694.16829="",11780.58737=""),"-",11780.58737/18694.16829*100)</f>
        <v>63.017445800473205</v>
      </c>
      <c r="D20" s="33">
        <f>IF(18694.16829="","-",18694.16829/980597.75708*100)</f>
        <v>1.9064053690747813</v>
      </c>
      <c r="E20" s="33">
        <f>IF(11780.58737="","-",11780.58737/1104707.78056*100)</f>
        <v>1.0663985152732578</v>
      </c>
      <c r="F20" s="33">
        <f>IF(OR(1159001.13914="",9301.76965="",18694.16829=""),"-",(18694.16829-9301.76965)/1159001.13914*100)</f>
        <v>0.81038735190280597</v>
      </c>
      <c r="G20" s="33">
        <f>IF(OR(980597.75708="",11780.58737="",18694.16829=""),"-",(11780.58737-18694.16829)/980597.75708*100)</f>
        <v>-0.70503739888076988</v>
      </c>
    </row>
    <row r="21" spans="1:7" s="34" customFormat="1" x14ac:dyDescent="0.2">
      <c r="A21" s="31" t="s">
        <v>41</v>
      </c>
      <c r="B21" s="32">
        <v>9391.0766100000001</v>
      </c>
      <c r="C21" s="33" t="s">
        <v>95</v>
      </c>
      <c r="D21" s="33">
        <f>IF(4441.92439="","-",4441.92439/980597.75708*100)</f>
        <v>0.45298129206689747</v>
      </c>
      <c r="E21" s="33">
        <f>IF(9391.07661="","-",9391.07661/1104707.78056*100)</f>
        <v>0.85009599599628616</v>
      </c>
      <c r="F21" s="33">
        <f>IF(OR(1159001.13914="",6400.16314="",4441.92439=""),"-",(4441.92439-6400.16314)/1159001.13914*100)</f>
        <v>-0.16895917388425075</v>
      </c>
      <c r="G21" s="33">
        <f>IF(OR(980597.75708="",9391.07661="",4441.92439=""),"-",(9391.07661-4441.92439)/980597.75708*100)</f>
        <v>0.50470768307052472</v>
      </c>
    </row>
    <row r="22" spans="1:7" s="34" customFormat="1" x14ac:dyDescent="0.2">
      <c r="A22" s="31" t="s">
        <v>8</v>
      </c>
      <c r="B22" s="32">
        <v>9085.9204499999996</v>
      </c>
      <c r="C22" s="33">
        <f>IF(OR(8736.88487="",9085.92045=""),"-",9085.92045/8736.88487*100)</f>
        <v>103.99496599982095</v>
      </c>
      <c r="D22" s="33">
        <f>IF(8736.88487="","-",8736.88487/980597.75708*100)</f>
        <v>0.89097540830773281</v>
      </c>
      <c r="E22" s="33">
        <f>IF(9085.92045="","-",9085.92045/1104707.78056*100)</f>
        <v>0.82247274889239497</v>
      </c>
      <c r="F22" s="33">
        <f>IF(OR(1159001.13914="",12387.04049="",8736.88487=""),"-",(8736.88487-12387.04049)/1159001.13914*100)</f>
        <v>-0.31493977846376242</v>
      </c>
      <c r="G22" s="33">
        <f>IF(OR(980597.75708="",9085.92045="",8736.88487=""),"-",(9085.92045-8736.88487)/980597.75708*100)</f>
        <v>3.5594164628659705E-2</v>
      </c>
    </row>
    <row r="23" spans="1:7" s="34" customFormat="1" x14ac:dyDescent="0.2">
      <c r="A23" s="31" t="s">
        <v>44</v>
      </c>
      <c r="B23" s="32">
        <v>5524.0590199999997</v>
      </c>
      <c r="C23" s="33">
        <f>IF(OR(4281.28784="",5524.05902=""),"-",5524.05902/4281.28784*100)</f>
        <v>129.0279753766801</v>
      </c>
      <c r="D23" s="33">
        <f>IF(4281.28784="","-",4281.28784/980597.75708*100)</f>
        <v>0.43659979936612481</v>
      </c>
      <c r="E23" s="33">
        <f>IF(5524.05902="","-",5524.05902/1104707.78056*100)</f>
        <v>0.50004708188076086</v>
      </c>
      <c r="F23" s="33">
        <f>IF(OR(1159001.13914="",4640.72004="",4281.28784=""),"-",(4281.28784-4640.72004)/1159001.13914*100)</f>
        <v>-3.1012238716754445E-2</v>
      </c>
      <c r="G23" s="33">
        <f>IF(OR(980597.75708="",5524.05902="",4281.28784=""),"-",(5524.05902-4281.28784)/980597.75708*100)</f>
        <v>0.12673608225463348</v>
      </c>
    </row>
    <row r="24" spans="1:7" s="34" customFormat="1" x14ac:dyDescent="0.2">
      <c r="A24" s="31" t="s">
        <v>47</v>
      </c>
      <c r="B24" s="32">
        <v>3530.4722700000002</v>
      </c>
      <c r="C24" s="33">
        <f>IF(OR(7348.40355="",3530.47227=""),"-",3530.47227/7348.40355*100)</f>
        <v>48.044071695001023</v>
      </c>
      <c r="D24" s="33">
        <f>IF(7348.40355="","-",7348.40355/980597.75708*100)</f>
        <v>0.7493800079537094</v>
      </c>
      <c r="E24" s="33">
        <f>IF(3530.47227="","-",3530.47227/1104707.78056*100)</f>
        <v>0.3195842676341365</v>
      </c>
      <c r="F24" s="33">
        <f>IF(OR(1159001.13914="",4394.11792="",7348.40355=""),"-",(7348.40355-4394.11792)/1159001.13914*100)</f>
        <v>0.2548992861380735</v>
      </c>
      <c r="G24" s="33">
        <f>IF(OR(980597.75708="",3530.47227="",7348.40355=""),"-",(3530.47227-7348.40355)/980597.75708*100)</f>
        <v>-0.38934733966442486</v>
      </c>
    </row>
    <row r="25" spans="1:7" s="34" customFormat="1" x14ac:dyDescent="0.2">
      <c r="A25" s="31" t="s">
        <v>43</v>
      </c>
      <c r="B25" s="32">
        <v>3223.0175800000002</v>
      </c>
      <c r="C25" s="33">
        <f>IF(OR(2915.60215="",3223.01758=""),"-",3223.01758/2915.60215*100)</f>
        <v>110.5438058481333</v>
      </c>
      <c r="D25" s="33">
        <f>IF(2915.60215="","-",2915.60215/980597.75708*100)</f>
        <v>0.29732906576107304</v>
      </c>
      <c r="E25" s="33">
        <f>IF(3223.01758="","-",3223.01758/1104707.78056*100)</f>
        <v>0.291752953741865</v>
      </c>
      <c r="F25" s="33">
        <f>IF(OR(1159001.13914="",3564.13484="",2915.60215=""),"-",(2915.60215-3564.13484)/1159001.13914*100)</f>
        <v>-5.5956173648045171E-2</v>
      </c>
      <c r="G25" s="33">
        <f>IF(OR(980597.75708="",3223.01758="",2915.60215=""),"-",(3223.01758-2915.60215)/980597.75708*100)</f>
        <v>3.1349799423916101E-2</v>
      </c>
    </row>
    <row r="26" spans="1:7" s="36" customFormat="1" x14ac:dyDescent="0.2">
      <c r="A26" s="31" t="s">
        <v>45</v>
      </c>
      <c r="B26" s="32">
        <v>2050.8803499999999</v>
      </c>
      <c r="C26" s="33">
        <f>IF(OR(1771.86384="",2050.88035=""),"-",2050.88035/1771.86384*100)</f>
        <v>115.74706270883659</v>
      </c>
      <c r="D26" s="33">
        <f>IF(1771.86384="","-",1771.86384/980597.75708*100)</f>
        <v>0.18069221831347165</v>
      </c>
      <c r="E26" s="33">
        <f>IF(2050.88035="","-",2050.88035/1104707.78056*100)</f>
        <v>0.18564912695376912</v>
      </c>
      <c r="F26" s="33">
        <f>IF(OR(1159001.13914="",3205.63908="",1771.86384=""),"-",(1771.86384-3205.63908)/1159001.13914*100)</f>
        <v>-0.12370783699694095</v>
      </c>
      <c r="G26" s="33">
        <f>IF(OR(980597.75708="",2050.88035="",1771.86384=""),"-",(2050.88035-1771.86384)/980597.75708*100)</f>
        <v>2.8453716927810284E-2</v>
      </c>
    </row>
    <row r="27" spans="1:7" s="36" customFormat="1" x14ac:dyDescent="0.2">
      <c r="A27" s="31" t="s">
        <v>46</v>
      </c>
      <c r="B27" s="32">
        <v>1104.3552999999999</v>
      </c>
      <c r="C27" s="33">
        <f>IF(OR(2732.0687="",1104.3553=""),"-",1104.3553/2732.0687*100)</f>
        <v>40.42194473367379</v>
      </c>
      <c r="D27" s="33">
        <f>IF(2732.0687="","-",2732.0687/980597.75708*100)</f>
        <v>0.27861257893710539</v>
      </c>
      <c r="E27" s="33">
        <f>IF(1104.3553="","-",1104.3553/1104707.78056*100)</f>
        <v>9.9968092868883265E-2</v>
      </c>
      <c r="F27" s="33">
        <f>IF(OR(1159001.13914="",1439.1205="",2732.0687=""),"-",(2732.0687-1439.1205)/1159001.13914*100)</f>
        <v>0.11155711209735228</v>
      </c>
      <c r="G27" s="33">
        <f>IF(OR(980597.75708="",1104.3553="",2732.0687=""),"-",(1104.3553-2732.0687)/980597.75708*100)</f>
        <v>-0.16599195625808538</v>
      </c>
    </row>
    <row r="28" spans="1:7" s="34" customFormat="1" x14ac:dyDescent="0.2">
      <c r="A28" s="31" t="s">
        <v>49</v>
      </c>
      <c r="B28" s="32">
        <v>773.00837999999999</v>
      </c>
      <c r="C28" s="33">
        <f>IF(OR(580.20036="",773.00838=""),"-",773.00838/580.20036*100)</f>
        <v>133.23128237976275</v>
      </c>
      <c r="D28" s="33">
        <f>IF(580.20036="","-",580.20036/980597.75708*100)</f>
        <v>5.9168028461303694E-2</v>
      </c>
      <c r="E28" s="33">
        <f>IF(773.00838="","-",773.00838/1104707.78056*100)</f>
        <v>6.9974014269017407E-2</v>
      </c>
      <c r="F28" s="33">
        <f>IF(OR(1159001.13914="",464.98534="",580.20036=""),"-",(580.20036-464.98534)/1159001.13914*100)</f>
        <v>9.9408892803584028E-3</v>
      </c>
      <c r="G28" s="33">
        <f>IF(OR(980597.75708="",773.00838="",580.20036=""),"-",(773.00838-580.20036)/980597.75708*100)</f>
        <v>1.9662294616514212E-2</v>
      </c>
    </row>
    <row r="29" spans="1:7" s="34" customFormat="1" x14ac:dyDescent="0.2">
      <c r="A29" s="31" t="s">
        <v>48</v>
      </c>
      <c r="B29" s="32">
        <v>721.81511</v>
      </c>
      <c r="C29" s="33" t="s">
        <v>103</v>
      </c>
      <c r="D29" s="33">
        <f>IF(413.06221="","-",413.06221/980597.75708*100)</f>
        <v>4.2123511604799768E-2</v>
      </c>
      <c r="E29" s="33">
        <f>IF(721.81511="","-",721.81511/1104707.78056*100)</f>
        <v>6.5339913658804538E-2</v>
      </c>
      <c r="F29" s="33">
        <f>IF(OR(1159001.13914="",222.971="",413.06221=""),"-",(413.06221-222.971)/1159001.13914*100)</f>
        <v>1.6401296217970165E-2</v>
      </c>
      <c r="G29" s="33">
        <f>IF(OR(980597.75708="",721.81511="",413.06221=""),"-",(721.81511-413.06221)/980597.75708*100)</f>
        <v>3.148619276056646E-2</v>
      </c>
    </row>
    <row r="30" spans="1:7" s="36" customFormat="1" x14ac:dyDescent="0.2">
      <c r="A30" s="31" t="s">
        <v>50</v>
      </c>
      <c r="B30" s="32">
        <v>387.21906000000001</v>
      </c>
      <c r="C30" s="33" t="s">
        <v>95</v>
      </c>
      <c r="D30" s="33">
        <f>IF(187.89882="","-",187.89882/980597.75708*100)</f>
        <v>1.9161661205459056E-2</v>
      </c>
      <c r="E30" s="33">
        <f>IF(387.21906="","-",387.21906/1104707.78056*100)</f>
        <v>3.505171836516896E-2</v>
      </c>
      <c r="F30" s="33">
        <f>IF(OR(1159001.13914="",402.14994="",187.89882=""),"-",(187.89882-402.14994)/1159001.13914*100)</f>
        <v>-1.8485842055252701E-2</v>
      </c>
      <c r="G30" s="33">
        <f>IF(OR(980597.75708="",387.21906="",187.89882=""),"-",(387.21906-187.89882)/980597.75708*100)</f>
        <v>2.0326401785124508E-2</v>
      </c>
    </row>
    <row r="31" spans="1:7" s="36" customFormat="1" x14ac:dyDescent="0.2">
      <c r="A31" s="31" t="s">
        <v>53</v>
      </c>
      <c r="B31" s="32">
        <v>292.78167000000002</v>
      </c>
      <c r="C31" s="33" t="s">
        <v>105</v>
      </c>
      <c r="D31" s="33">
        <f>IF(152.30003="","-",152.30003/980597.75708*100)</f>
        <v>1.5531345946937029E-2</v>
      </c>
      <c r="E31" s="33">
        <f>IF(292.78167="","-",292.78167/1104707.78056*100)</f>
        <v>2.6503087527054683E-2</v>
      </c>
      <c r="F31" s="33">
        <f>IF(OR(1159001.13914="",13.91265="",152.30003=""),"-",(152.30003-13.91265)/1159001.13914*100)</f>
        <v>1.1940228126323151E-2</v>
      </c>
      <c r="G31" s="33">
        <f>IF(OR(980597.75708="",292.78167="",152.30003=""),"-",(292.78167-152.30003)/980597.75708*100)</f>
        <v>1.4326122916936176E-2</v>
      </c>
    </row>
    <row r="32" spans="1:7" s="36" customFormat="1" x14ac:dyDescent="0.2">
      <c r="A32" s="31" t="s">
        <v>124</v>
      </c>
      <c r="B32" s="32">
        <v>270.09008</v>
      </c>
      <c r="C32" s="33">
        <f>IF(OR(433.31345="",270.09008=""),"-",270.09008/433.31345*100)</f>
        <v>62.331340049564588</v>
      </c>
      <c r="D32" s="33">
        <f>IF(433.31345="","-",433.31345/980597.75708*100)</f>
        <v>4.418870498850723E-2</v>
      </c>
      <c r="E32" s="33">
        <f>IF(270.09008="","-",270.09008/1104707.78056*100)</f>
        <v>2.4449006764765028E-2</v>
      </c>
      <c r="F32" s="33">
        <f>IF(OR(1159001.13914="",245.30323="",433.31345=""),"-",(433.31345-245.30323)/1159001.13914*100)</f>
        <v>1.6221745919896762E-2</v>
      </c>
      <c r="G32" s="33">
        <f>IF(OR(980597.75708="",270.09008="",433.31345=""),"-",(270.09008-433.31345)/980597.75708*100)</f>
        <v>-1.664529301862188E-2</v>
      </c>
    </row>
    <row r="33" spans="1:7" s="36" customFormat="1" x14ac:dyDescent="0.2">
      <c r="A33" s="31" t="s">
        <v>52</v>
      </c>
      <c r="B33" s="32">
        <v>119.12312</v>
      </c>
      <c r="C33" s="33" t="s">
        <v>229</v>
      </c>
      <c r="D33" s="33">
        <f>IF(77.7074="","-",77.7074/980597.75708*100)</f>
        <v>7.9244929369811316E-3</v>
      </c>
      <c r="E33" s="33">
        <f>IF(119.12312="","-",119.12312/1104707.78056*100)</f>
        <v>1.0783224495767916E-2</v>
      </c>
      <c r="F33" s="33">
        <f>IF(OR(1159001.13914="",31.8079="",77.7074=""),"-",(77.7074-31.8079)/1159001.13914*100)</f>
        <v>3.9602635795559504E-3</v>
      </c>
      <c r="G33" s="33">
        <f>IF(OR(980597.75708="",119.12312="",77.7074=""),"-",(119.12312-77.7074)/980597.75708*100)</f>
        <v>4.2235177167166595E-3</v>
      </c>
    </row>
    <row r="34" spans="1:7" s="36" customFormat="1" x14ac:dyDescent="0.2">
      <c r="A34" s="31" t="s">
        <v>54</v>
      </c>
      <c r="B34" s="32">
        <v>3.6461399999999999</v>
      </c>
      <c r="C34" s="33">
        <f>IF(OR(25.65794="",3.64614=""),"-",3.64614/25.65794*100)</f>
        <v>14.210571854170679</v>
      </c>
      <c r="D34" s="33">
        <f>IF(25.65794="","-",25.65794/980597.75708*100)</f>
        <v>2.6165611551472018E-3</v>
      </c>
      <c r="E34" s="33">
        <f>IF(3.64614="","-",3.64614/1104707.78056*100)</f>
        <v>3.3005470443520308E-4</v>
      </c>
      <c r="F34" s="33">
        <f>IF(OR(1159001.13914="",39.75135="",25.65794=""),"-",(25.65794-39.75135)/1159001.13914*100)</f>
        <v>-1.2159962164021312E-3</v>
      </c>
      <c r="G34" s="33">
        <f>IF(OR(980597.75708="",3.64614="",25.65794=""),"-",(3.64614-25.65794)/980597.75708*100)</f>
        <v>-2.2447328520866904E-3</v>
      </c>
    </row>
    <row r="35" spans="1:7" s="36" customFormat="1" x14ac:dyDescent="0.2">
      <c r="A35" s="28" t="s">
        <v>149</v>
      </c>
      <c r="B35" s="29">
        <v>173373.62458</v>
      </c>
      <c r="C35" s="30">
        <f>IF(161574.70443="","-",173373.62458/161574.70443*100)</f>
        <v>107.30245504184828</v>
      </c>
      <c r="D35" s="30">
        <f>IF(161574.70443="","-",161574.70443/980597.75708*100)</f>
        <v>16.477164389110293</v>
      </c>
      <c r="E35" s="30">
        <f>IF(173373.62458="","-",173373.62458/1104707.78056*100)</f>
        <v>15.694071104678306</v>
      </c>
      <c r="F35" s="30">
        <f>IF(1159001.13914="","-",(161574.70443-170234.04832)/1159001.13914*100)</f>
        <v>-0.7471385141541258</v>
      </c>
      <c r="G35" s="30">
        <f>IF(980597.75708="","-",(173373.62458-161574.70443)/980597.75708*100)</f>
        <v>1.2032375216862137</v>
      </c>
    </row>
    <row r="36" spans="1:7" s="36" customFormat="1" x14ac:dyDescent="0.2">
      <c r="A36" s="31" t="s">
        <v>125</v>
      </c>
      <c r="B36" s="32">
        <v>104571.01105</v>
      </c>
      <c r="C36" s="33">
        <f>IF(OR(101863.18162="",104571.01105=""),"-",104571.01105/101863.18162*100)</f>
        <v>102.65830046434397</v>
      </c>
      <c r="D36" s="33">
        <f>IF(101863.18162="","-",101863.18162/980597.75708*100)</f>
        <v>10.387866062770293</v>
      </c>
      <c r="E36" s="33">
        <f>IF(104571.01105="","-",104571.01105/1104707.78056*100)</f>
        <v>9.4659432014673328</v>
      </c>
      <c r="F36" s="33">
        <f>IF(OR(1159001.13914="",95851.64695="",101863.18162=""),"-",(101863.18162-95851.64695)/1159001.13914*100)</f>
        <v>0.51868237803982453</v>
      </c>
      <c r="G36" s="33">
        <f>IF(OR(980597.75708="",104571.01105="",101863.18162=""),"-",(104571.01105-101863.18162)/980597.75708*100)</f>
        <v>0.27614069178205203</v>
      </c>
    </row>
    <row r="37" spans="1:7" s="36" customFormat="1" x14ac:dyDescent="0.2">
      <c r="A37" s="31" t="s">
        <v>12</v>
      </c>
      <c r="B37" s="32">
        <v>31234.98473</v>
      </c>
      <c r="C37" s="33">
        <f>IF(OR(23438.13647="",31234.98473=""),"-",31234.98473/23438.13647*100)</f>
        <v>133.26564921225582</v>
      </c>
      <c r="D37" s="33">
        <f>IF(23438.13647="","-",23438.13647/980597.75708*100)</f>
        <v>2.390188668164356</v>
      </c>
      <c r="E37" s="33">
        <f>IF(31234.98473="","-",31234.98473/1104707.78056*100)</f>
        <v>2.8274431736297103</v>
      </c>
      <c r="F37" s="33">
        <f>IF(OR(1159001.13914="",31103.43507="",23438.13647=""),"-",(23438.13647-31103.43507)/1159001.13914*100)</f>
        <v>-0.66137110147171974</v>
      </c>
      <c r="G37" s="33">
        <f>IF(OR(980597.75708="",31234.98473="",23438.13647=""),"-",(31234.98473-23438.13647)/980597.75708*100)</f>
        <v>0.79511177786264398</v>
      </c>
    </row>
    <row r="38" spans="1:7" s="36" customFormat="1" x14ac:dyDescent="0.2">
      <c r="A38" s="31" t="s">
        <v>11</v>
      </c>
      <c r="B38" s="32">
        <v>26894.690340000001</v>
      </c>
      <c r="C38" s="33">
        <f>IF(OR(28123.06695="",26894.69034=""),"-",26894.69034/28123.06695*100)</f>
        <v>95.632138513968158</v>
      </c>
      <c r="D38" s="33">
        <f>IF(28123.06695="","-",28123.06695/980597.75708*100)</f>
        <v>2.8679513844437272</v>
      </c>
      <c r="E38" s="33">
        <f>IF(26894.69034="","-",26894.69034/1104707.78056*100)</f>
        <v>2.4345524502748144</v>
      </c>
      <c r="F38" s="33">
        <f>IF(OR(1159001.13914="",36042.27729="",28123.06695=""),"-",(28123.06695-36042.27729)/1159001.13914*100)</f>
        <v>-0.68327890910238409</v>
      </c>
      <c r="G38" s="33">
        <f>IF(OR(980597.75708="",26894.69034="",28123.06695=""),"-",(26894.69034-28123.06695)/980597.75708*100)</f>
        <v>-0.12526814395923452</v>
      </c>
    </row>
    <row r="39" spans="1:7" s="36" customFormat="1" ht="14.25" customHeight="1" x14ac:dyDescent="0.2">
      <c r="A39" s="31" t="s">
        <v>13</v>
      </c>
      <c r="B39" s="32">
        <v>5132.7160899999999</v>
      </c>
      <c r="C39" s="33">
        <f>IF(OR(4956.5834="",5132.71609=""),"-",5132.71609/4956.5834*100)</f>
        <v>103.55351006501776</v>
      </c>
      <c r="D39" s="33">
        <f>IF(4956.5834="","-",4956.5834/980597.75708*100)</f>
        <v>0.50546550450610794</v>
      </c>
      <c r="E39" s="33">
        <f>IF(5132.71609="","-",5132.71609/1104707.78056*100)</f>
        <v>0.46462206389078886</v>
      </c>
      <c r="F39" s="33">
        <f>IF(OR(1159001.13914="",3248.6604="",4956.5834=""),"-",(4956.5834-3248.6604)/1159001.13914*100)</f>
        <v>0.14736163255778248</v>
      </c>
      <c r="G39" s="33">
        <f>IF(OR(980597.75708="",5132.71609="",4956.5834=""),"-",(5132.71609-4956.5834)/980597.75708*100)</f>
        <v>1.7961767577817339E-2</v>
      </c>
    </row>
    <row r="40" spans="1:7" s="34" customFormat="1" ht="14.25" customHeight="1" x14ac:dyDescent="0.2">
      <c r="A40" s="31" t="s">
        <v>15</v>
      </c>
      <c r="B40" s="32">
        <v>2873.2395900000001</v>
      </c>
      <c r="C40" s="33" t="s">
        <v>215</v>
      </c>
      <c r="D40" s="33">
        <f>IF(1289.87151="","-",1289.87151/980597.75708*100)</f>
        <v>0.13153930861936169</v>
      </c>
      <c r="E40" s="33">
        <f>IF(2873.23959="","-",2873.23959/1104707.78056*100)</f>
        <v>0.26009046379156425</v>
      </c>
      <c r="F40" s="33">
        <f>IF(OR(1159001.13914="",1216.46746="",1289.87151=""),"-",(1289.87151-1216.46746)/1159001.13914*100)</f>
        <v>6.3333889433850772E-3</v>
      </c>
      <c r="G40" s="33">
        <f>IF(OR(980597.75708="",2873.23959="",1289.87151=""),"-",(2873.23959-1289.87151)/980597.75708*100)</f>
        <v>0.16146968199426795</v>
      </c>
    </row>
    <row r="41" spans="1:7" s="34" customFormat="1" ht="14.25" customHeight="1" x14ac:dyDescent="0.2">
      <c r="A41" s="31" t="s">
        <v>14</v>
      </c>
      <c r="B41" s="32">
        <v>1081.6695199999999</v>
      </c>
      <c r="C41" s="33">
        <f>IF(OR(1099.43921="",1081.66952=""),"-",1081.66952/1099.43921*100)</f>
        <v>98.383749657245716</v>
      </c>
      <c r="D41" s="33">
        <f>IF(1099.43921="","-",1099.43921/980597.75708*100)</f>
        <v>0.11211928663531551</v>
      </c>
      <c r="E41" s="33">
        <f>IF(1081.66952="","-",1081.66952/1104707.78056*100)</f>
        <v>9.7914538037532292E-2</v>
      </c>
      <c r="F41" s="33">
        <f>IF(OR(1159001.13914="",1722.85805="",1099.43921=""),"-",(1099.43921-1722.85805)/1159001.13914*100)</f>
        <v>-5.3789320730313353E-2</v>
      </c>
      <c r="G41" s="33">
        <f>IF(OR(980597.75708="",1081.66952="",1099.43921=""),"-",(1081.66952-1099.43921)/980597.75708*100)</f>
        <v>-1.8121283545369541E-3</v>
      </c>
    </row>
    <row r="42" spans="1:7" s="34" customFormat="1" ht="14.25" customHeight="1" x14ac:dyDescent="0.2">
      <c r="A42" s="31" t="s">
        <v>126</v>
      </c>
      <c r="B42" s="32">
        <v>600.26146000000006</v>
      </c>
      <c r="C42" s="33" t="s">
        <v>95</v>
      </c>
      <c r="D42" s="33">
        <f>IF(290.25257="","-",290.25257/980597.75708*100)</f>
        <v>2.959955475161467E-2</v>
      </c>
      <c r="E42" s="33">
        <f>IF(600.26146="","-",600.26146/1104707.78056*100)</f>
        <v>5.4336673513398687E-2</v>
      </c>
      <c r="F42" s="33">
        <f>IF(OR(1159001.13914="",299.1262="",290.25257=""),"-",(290.25257-299.1262)/1159001.13914*100)</f>
        <v>-7.6562737518829239E-4</v>
      </c>
      <c r="G42" s="33">
        <f>IF(OR(980597.75708="",600.26146="",290.25257=""),"-",(600.26146-290.25257)/980597.75708*100)</f>
        <v>3.1614276879761274E-2</v>
      </c>
    </row>
    <row r="43" spans="1:7" s="36" customFormat="1" ht="14.25" customHeight="1" x14ac:dyDescent="0.2">
      <c r="A43" s="31" t="s">
        <v>16</v>
      </c>
      <c r="B43" s="32">
        <v>432.11059</v>
      </c>
      <c r="C43" s="33" t="str">
        <f>IF(OR(""="",432.11059=""),"-",432.11059/""*100)</f>
        <v>-</v>
      </c>
      <c r="D43" s="33" t="str">
        <f>IF(""="","-",""/980597.75708*100)</f>
        <v>-</v>
      </c>
      <c r="E43" s="33">
        <f>IF(432.11059="","-",432.11059/1104707.78056*100)</f>
        <v>3.9115374907647875E-2</v>
      </c>
      <c r="F43" s="33" t="str">
        <f>IF(OR(1159001.13914="",186.88977="",""=""),"-",(""-186.88977)/1159001.13914*100)</f>
        <v>-</v>
      </c>
      <c r="G43" s="33" t="str">
        <f>IF(OR(980597.75708="",432.11059="",""=""),"-",(432.11059-"")/980597.75708*100)</f>
        <v>-</v>
      </c>
    </row>
    <row r="44" spans="1:7" s="34" customFormat="1" ht="14.25" customHeight="1" x14ac:dyDescent="0.2">
      <c r="A44" s="31" t="s">
        <v>17</v>
      </c>
      <c r="B44" s="32">
        <v>416.59546999999998</v>
      </c>
      <c r="C44" s="33">
        <f>IF(OR(368.99196="",416.59547=""),"-",416.59547/368.99196*100)</f>
        <v>112.90096131091853</v>
      </c>
      <c r="D44" s="33">
        <f>IF(368.99196="","-",368.99196/980597.75708*100)</f>
        <v>3.7629288598290823E-2</v>
      </c>
      <c r="E44" s="33">
        <f>IF(416.59547="","-",416.59547/1104707.78056*100)</f>
        <v>3.771092023890868E-2</v>
      </c>
      <c r="F44" s="33">
        <f>IF(OR(1159001.13914="",462.33247="",368.99196=""),"-",(368.99196-462.33247)/1159001.13914*100)</f>
        <v>-8.0535304796387295E-3</v>
      </c>
      <c r="G44" s="33">
        <f>IF(OR(980597.75708="",416.59547="",368.99196=""),"-",(416.59547-368.99196)/980597.75708*100)</f>
        <v>4.8545399636393764E-3</v>
      </c>
    </row>
    <row r="45" spans="1:7" s="36" customFormat="1" ht="14.25" customHeight="1" x14ac:dyDescent="0.2">
      <c r="A45" s="31" t="s">
        <v>18</v>
      </c>
      <c r="B45" s="32">
        <v>136.34574000000001</v>
      </c>
      <c r="C45" s="33">
        <f>IF(OR(145.18074="",136.34574=""),"-",136.34574/145.18074*100)</f>
        <v>93.914482044932427</v>
      </c>
      <c r="D45" s="33">
        <f>IF(145.18074="","-",145.18074/980597.75708*100)</f>
        <v>1.4805330621223899E-2</v>
      </c>
      <c r="E45" s="33">
        <f>IF(136.34574="","-",136.34574/1104707.78056*100)</f>
        <v>1.2342244926607054E-2</v>
      </c>
      <c r="F45" s="33">
        <f>IF(OR(1159001.13914="",100.35466="",145.18074=""),"-",(145.18074-100.35466)/1159001.13914*100)</f>
        <v>3.8676476222673736E-3</v>
      </c>
      <c r="G45" s="33">
        <f>IF(OR(980597.75708="",136.34574="",145.18074=""),"-",(136.34574-145.18074)/980597.75708*100)</f>
        <v>-9.009810532616989E-4</v>
      </c>
    </row>
    <row r="46" spans="1:7" s="36" customFormat="1" ht="14.25" customHeight="1" x14ac:dyDescent="0.2">
      <c r="A46" s="28" t="s">
        <v>150</v>
      </c>
      <c r="B46" s="29">
        <v>210903.39543999999</v>
      </c>
      <c r="C46" s="30">
        <f>IF(200700.74419="","-",210903.39544/200700.74419*100)</f>
        <v>105.08351440906534</v>
      </c>
      <c r="D46" s="30">
        <f>IF(200700.74419="","-",200700.74419/980597.75708*100)</f>
        <v>20.467183688818722</v>
      </c>
      <c r="E46" s="30">
        <f>IF(210903.39544="","-",210903.39544/1104707.78056*100)</f>
        <v>19.091328870073543</v>
      </c>
      <c r="F46" s="30">
        <f>IF(1159001.13914="","-",(200700.74419-268283.13866)/1159001.13914*100)</f>
        <v>-5.8310895639108145</v>
      </c>
      <c r="G46" s="30">
        <f>IF(980597.75708="","-",(210903.39544-200700.74419)/980597.75708*100)</f>
        <v>1.0404522319509684</v>
      </c>
    </row>
    <row r="47" spans="1:7" s="36" customFormat="1" ht="14.25" customHeight="1" x14ac:dyDescent="0.2">
      <c r="A47" s="31" t="s">
        <v>56</v>
      </c>
      <c r="B47" s="32">
        <v>100339.70325999999</v>
      </c>
      <c r="C47" s="33">
        <f>IF(OR(70549.61954="",100339.70326=""),"-",100339.70326/70549.61954*100)</f>
        <v>142.2257184577866</v>
      </c>
      <c r="D47" s="33">
        <f>IF(70549.61954="","-",70549.61954/980597.75708*100)</f>
        <v>7.1945524075112024</v>
      </c>
      <c r="E47" s="33">
        <f>IF(100339.70326="","-",100339.70326/1104707.78056*100)</f>
        <v>9.082918127827039</v>
      </c>
      <c r="F47" s="33">
        <f>IF(OR(1159001.13914="",111668.89219="",70549.61954=""),"-",(70549.61954-111668.89219)/1159001.13914*100)</f>
        <v>-3.5478198650012756</v>
      </c>
      <c r="G47" s="33">
        <f>IF(OR(980597.75708="",100339.70326="",70549.61954=""),"-",(100339.70326-70549.61954)/980597.75708*100)</f>
        <v>3.0379514438935877</v>
      </c>
    </row>
    <row r="48" spans="1:7" s="36" customFormat="1" ht="24" x14ac:dyDescent="0.2">
      <c r="A48" s="31" t="s">
        <v>122</v>
      </c>
      <c r="B48" s="32">
        <v>19970.15567</v>
      </c>
      <c r="C48" s="33">
        <f>IF(OR(15356.87255="",19970.15567=""),"-",19970.15567/15356.87255*100)</f>
        <v>130.0405118619025</v>
      </c>
      <c r="D48" s="33">
        <f>IF(15356.87255="","-",15356.87255/980597.75708*100)</f>
        <v>1.5660725755409963</v>
      </c>
      <c r="E48" s="33">
        <f>IF(19970.15567="","-",19970.15567/1104707.78056*100)</f>
        <v>1.8077319650882426</v>
      </c>
      <c r="F48" s="33">
        <f>IF(OR(1159001.13914="",21459.80052="",15356.87255=""),"-",(15356.87255-21459.80052)/1159001.13914*100)</f>
        <v>-0.52656790091927641</v>
      </c>
      <c r="G48" s="33">
        <f>IF(OR(980597.75708="",19970.15567="",15356.87255=""),"-",(19970.15567-15356.87255)/980597.75708*100)</f>
        <v>0.47045621782139513</v>
      </c>
    </row>
    <row r="49" spans="1:7" s="36" customFormat="1" x14ac:dyDescent="0.2">
      <c r="A49" s="31" t="s">
        <v>127</v>
      </c>
      <c r="B49" s="32">
        <v>14698.158520000001</v>
      </c>
      <c r="C49" s="33">
        <f>IF(OR(37243.51349="",14698.15852=""),"-",14698.15852/37243.51349*100)</f>
        <v>39.465015898530901</v>
      </c>
      <c r="D49" s="33">
        <f>IF(37243.51349="","-",37243.51349/980597.75708*100)</f>
        <v>3.7980418801795777</v>
      </c>
      <c r="E49" s="33">
        <f>IF(14698.15852="","-",14698.15852/1104707.78056*100)</f>
        <v>1.3305019461842831</v>
      </c>
      <c r="F49" s="33">
        <f>IF(OR(1159001.13914="",31858.75916="",37243.51349=""),"-",(37243.51349-31858.75916)/1159001.13914*100)</f>
        <v>0.46460302308206375</v>
      </c>
      <c r="G49" s="33">
        <f>IF(OR(980597.75708="",14698.15852="",37243.51349=""),"-",(14698.15852-37243.51349)/980597.75708*100)</f>
        <v>-2.299144048333845</v>
      </c>
    </row>
    <row r="50" spans="1:7" s="36" customFormat="1" x14ac:dyDescent="0.2">
      <c r="A50" s="31" t="s">
        <v>60</v>
      </c>
      <c r="B50" s="32">
        <v>9783.9495399999996</v>
      </c>
      <c r="C50" s="33">
        <f>IF(OR(6694.77909="",9783.94954=""),"-",9783.94954/6694.77909*100)</f>
        <v>146.14297810982737</v>
      </c>
      <c r="D50" s="33">
        <f>IF(6694.77909="","-",6694.77909/980597.75708*100)</f>
        <v>0.68272429155207837</v>
      </c>
      <c r="E50" s="33">
        <f>IF(9783.94954="","-",9783.94954/1104707.78056*100)</f>
        <v>0.88565951215083361</v>
      </c>
      <c r="F50" s="33">
        <f>IF(OR(1159001.13914="",6018.36402="",6694.77909=""),"-",(6694.77909-6018.36402)/1159001.13914*100)</f>
        <v>5.8361898634708184E-2</v>
      </c>
      <c r="G50" s="33">
        <f>IF(OR(980597.75708="",9783.94954="",6694.77909=""),"-",(9783.94954-6694.77909)/980597.75708*100)</f>
        <v>0.31502932040134946</v>
      </c>
    </row>
    <row r="51" spans="1:7" s="34" customFormat="1" x14ac:dyDescent="0.2">
      <c r="A51" s="31" t="s">
        <v>19</v>
      </c>
      <c r="B51" s="32">
        <v>9533.1503200000006</v>
      </c>
      <c r="C51" s="33">
        <f>IF(OR(8722.5312="",9533.15032=""),"-",9533.15032/8722.5312*100)</f>
        <v>109.29339318385014</v>
      </c>
      <c r="D51" s="33">
        <f>IF(8722.5312="","-",8722.5312/980597.75708*100)</f>
        <v>0.8895116409376399</v>
      </c>
      <c r="E51" s="33">
        <f>IF(9533.15032="","-",9533.15032/1104707.78056*100)</f>
        <v>0.86295674636847775</v>
      </c>
      <c r="F51" s="33">
        <f>IF(OR(1159001.13914="",9136.1493="",8722.5312=""),"-",(8722.5312-9136.1493)/1159001.13914*100)</f>
        <v>-3.5687462767026425E-2</v>
      </c>
      <c r="G51" s="33">
        <f>IF(OR(980597.75708="",9533.15032="",8722.5312=""),"-",(9533.15032-8722.5312)/980597.75708*100)</f>
        <v>8.2665814208452093E-2</v>
      </c>
    </row>
    <row r="52" spans="1:7" s="36" customFormat="1" x14ac:dyDescent="0.2">
      <c r="A52" s="31" t="s">
        <v>58</v>
      </c>
      <c r="B52" s="32">
        <v>8176.3539799999999</v>
      </c>
      <c r="C52" s="33">
        <f>IF(OR(7714.09585="",8176.35398=""),"-",8176.35398/7714.09585*100)</f>
        <v>105.99238250325864</v>
      </c>
      <c r="D52" s="33">
        <f>IF(7714.09585="","-",7714.09585/980597.75708*100)</f>
        <v>0.7866728017990624</v>
      </c>
      <c r="E52" s="33">
        <f>IF(8176.35398="","-",8176.35398/1104707.78056*100)</f>
        <v>0.7401372674188309</v>
      </c>
      <c r="F52" s="33">
        <f>IF(OR(1159001.13914="",7414.5747="",7714.09585=""),"-",(7714.09585-7414.5747)/1159001.13914*100)</f>
        <v>2.5843041899186542E-2</v>
      </c>
      <c r="G52" s="33">
        <f>IF(OR(980597.75708="",8176.35398="",7714.09585=""),"-",(8176.35398-7714.09585)/980597.75708*100)</f>
        <v>4.714044333290146E-2</v>
      </c>
    </row>
    <row r="53" spans="1:7" s="35" customFormat="1" x14ac:dyDescent="0.2">
      <c r="A53" s="31" t="s">
        <v>59</v>
      </c>
      <c r="B53" s="32">
        <v>5363.9044800000001</v>
      </c>
      <c r="C53" s="33">
        <f>IF(OR(4234.50966="",5363.90448=""),"-",5363.90448/4234.50966*100)</f>
        <v>126.67120660199416</v>
      </c>
      <c r="D53" s="33">
        <f>IF(4234.50966="","-",4234.50966/980597.75708*100)</f>
        <v>0.4318294254118446</v>
      </c>
      <c r="E53" s="33">
        <f>IF(5363.90448="","-",5363.90448/1104707.78056*100)</f>
        <v>0.48554962447000433</v>
      </c>
      <c r="F53" s="33">
        <f>IF(OR(1159001.13914="",6440.41352="",4234.50966=""),"-",(4234.50966-6440.41352)/1159001.13914*100)</f>
        <v>-0.19032801483153167</v>
      </c>
      <c r="G53" s="33">
        <f>IF(OR(980597.75708="",5363.90448="",4234.50966=""),"-",(5363.90448-4234.50966)/980597.75708*100)</f>
        <v>0.11517411821979735</v>
      </c>
    </row>
    <row r="54" spans="1:7" s="34" customFormat="1" x14ac:dyDescent="0.2">
      <c r="A54" s="31" t="s">
        <v>68</v>
      </c>
      <c r="B54" s="32">
        <v>3936.1894600000001</v>
      </c>
      <c r="C54" s="33" t="s">
        <v>104</v>
      </c>
      <c r="D54" s="33">
        <f>IF(2402.42024="","-",2402.42024/980597.75708*100)</f>
        <v>0.24499548593236317</v>
      </c>
      <c r="E54" s="33">
        <f>IF(3936.18946="","-",3936.18946/1104707.78056*100)</f>
        <v>0.35631046773334585</v>
      </c>
      <c r="F54" s="33">
        <f>IF(OR(1159001.13914="",4560.07916="",2402.42024=""),"-",(2402.42024-4560.07916)/1159001.13914*100)</f>
        <v>-0.18616538389263554</v>
      </c>
      <c r="G54" s="33">
        <f>IF(OR(980597.75708="",3936.18946="",2402.42024=""),"-",(3936.18946-2402.42024)/980597.75708*100)</f>
        <v>0.15641165900350623</v>
      </c>
    </row>
    <row r="55" spans="1:7" s="36" customFormat="1" x14ac:dyDescent="0.2">
      <c r="A55" s="31" t="s">
        <v>66</v>
      </c>
      <c r="B55" s="32">
        <v>3801.1476499999999</v>
      </c>
      <c r="C55" s="33">
        <f>IF(OR(3421.9589="",3801.14765=""),"-",3801.14765/3421.9589*100)</f>
        <v>111.08104337547712</v>
      </c>
      <c r="D55" s="33">
        <f>IF(3421.9589="","-",3421.9589/980597.75708*100)</f>
        <v>0.34896662523375799</v>
      </c>
      <c r="E55" s="33">
        <f>IF(3801.14765="","-",3801.14765/1104707.78056*100)</f>
        <v>0.34408625673597742</v>
      </c>
      <c r="F55" s="33">
        <f>IF(OR(1159001.13914="",4365.38608="",3421.9589=""),"-",(3421.9589-4365.38608)/1159001.13914*100)</f>
        <v>-8.1400021806711964E-2</v>
      </c>
      <c r="G55" s="33">
        <f>IF(OR(980597.75708="",3801.14765="",3421.9589=""),"-",(3801.14765-3421.9589)/980597.75708*100)</f>
        <v>3.8669143108091414E-2</v>
      </c>
    </row>
    <row r="56" spans="1:7" s="36" customFormat="1" x14ac:dyDescent="0.2">
      <c r="A56" s="31" t="s">
        <v>62</v>
      </c>
      <c r="B56" s="32">
        <v>3783.79943</v>
      </c>
      <c r="C56" s="33" t="s">
        <v>103</v>
      </c>
      <c r="D56" s="33">
        <f>IF(2225.61844="","-",2225.61844/980597.75708*100)</f>
        <v>0.22696548344424039</v>
      </c>
      <c r="E56" s="33">
        <f>IF(3783.79943="","-",3783.79943/1104707.78056*100)</f>
        <v>0.34251586678260842</v>
      </c>
      <c r="F56" s="33">
        <f>IF(OR(1159001.13914="",3214.1717="",2225.61844=""),"-",(2225.61844-3214.1717)/1159001.13914*100)</f>
        <v>-8.5293553786627355E-2</v>
      </c>
      <c r="G56" s="33">
        <f>IF(OR(980597.75708="",3783.79943="",2225.61844=""),"-",(3783.79943-2225.61844)/980597.75708*100)</f>
        <v>0.15890113746944648</v>
      </c>
    </row>
    <row r="57" spans="1:7" s="35" customFormat="1" x14ac:dyDescent="0.2">
      <c r="A57" s="31" t="s">
        <v>57</v>
      </c>
      <c r="B57" s="32">
        <v>2689.44956</v>
      </c>
      <c r="C57" s="33">
        <f>IF(OR(3239.6293="",2689.44956=""),"-",2689.44956/3239.6293*100)</f>
        <v>83.017200764297314</v>
      </c>
      <c r="D57" s="33">
        <f>IF(3239.6293="","-",3239.6293/980597.75708*100)</f>
        <v>0.33037290536405967</v>
      </c>
      <c r="E57" s="33">
        <f>IF(2689.44956="","-",2689.44956/1104707.78056*100)</f>
        <v>0.24345348220835925</v>
      </c>
      <c r="F57" s="33">
        <f>IF(OR(1159001.13914="",5609.2559="",3239.6293=""),"-",(3239.6293-5609.2559)/1159001.13914*100)</f>
        <v>-0.20445420802246198</v>
      </c>
      <c r="G57" s="33">
        <f>IF(OR(980597.75708="",2689.44956="",3239.6293=""),"-",(2689.44956-3239.6293)/980597.75708*100)</f>
        <v>-5.6106567247136259E-2</v>
      </c>
    </row>
    <row r="58" spans="1:7" s="36" customFormat="1" x14ac:dyDescent="0.2">
      <c r="A58" s="31" t="s">
        <v>226</v>
      </c>
      <c r="B58" s="32">
        <v>2085.5038500000001</v>
      </c>
      <c r="C58" s="33" t="s">
        <v>335</v>
      </c>
      <c r="D58" s="33">
        <f>IF(15.83932="","-",15.83932/980597.75708*100)</f>
        <v>1.6152718977418368E-3</v>
      </c>
      <c r="E58" s="33">
        <f>IF(2085.50385="","-",2085.50385/1104707.78056*100)</f>
        <v>0.18878330420944564</v>
      </c>
      <c r="F58" s="33">
        <f>IF(OR(1159001.13914="",80.75211="",15.83932=""),"-",(15.83932-80.75211)/1159001.13914*100)</f>
        <v>-5.6007529076430819E-3</v>
      </c>
      <c r="G58" s="33">
        <f>IF(OR(980597.75708="",2085.50385="",15.83932=""),"-",(2085.50385-15.83932)/980597.75708*100)</f>
        <v>0.21106151987977176</v>
      </c>
    </row>
    <row r="59" spans="1:7" s="34" customFormat="1" x14ac:dyDescent="0.2">
      <c r="A59" s="31" t="s">
        <v>63</v>
      </c>
      <c r="B59" s="32">
        <v>1962.11825</v>
      </c>
      <c r="C59" s="33" t="s">
        <v>336</v>
      </c>
      <c r="D59" s="33">
        <f>IF(85.11492="","-",85.11492/980597.75708*100)</f>
        <v>8.6799015585608853E-3</v>
      </c>
      <c r="E59" s="33">
        <f>IF(1962.11825="","-",1962.11825/1104707.78056*100)</f>
        <v>0.17761423287933756</v>
      </c>
      <c r="F59" s="33">
        <f>IF(OR(1159001.13914="",1516.47654="",85.11492=""),"-",(85.11492-1516.47654)/1159001.13914*100)</f>
        <v>-0.12349958698591931</v>
      </c>
      <c r="G59" s="33">
        <f>IF(OR(980597.75708="",1962.11825="",85.11492=""),"-",(1962.11825-85.11492)/980597.75708*100)</f>
        <v>0.19141419776334126</v>
      </c>
    </row>
    <row r="60" spans="1:7" s="36" customFormat="1" x14ac:dyDescent="0.2">
      <c r="A60" s="31" t="s">
        <v>37</v>
      </c>
      <c r="B60" s="32">
        <v>1393.9828500000001</v>
      </c>
      <c r="C60" s="33">
        <f>IF(OR(2439.85964="",1393.98285=""),"-",1393.98285/2439.85964*100)</f>
        <v>57.133731266606802</v>
      </c>
      <c r="D60" s="33">
        <f>IF(2439.85964="","-",2439.85964/980597.75708*100)</f>
        <v>0.24881350404730218</v>
      </c>
      <c r="E60" s="33">
        <f>IF(1393.98285="","-",1393.98285/1104707.78056*100)</f>
        <v>0.12618566416662333</v>
      </c>
      <c r="F60" s="33">
        <f>IF(OR(1159001.13914="",1480.66495="",2439.85964=""),"-",(2439.85964-1480.66495)/1159001.13914*100)</f>
        <v>8.2760461366909427E-2</v>
      </c>
      <c r="G60" s="33">
        <f>IF(OR(980597.75708="",1393.98285="",2439.85964=""),"-",(1393.98285-2439.85964)/980597.75708*100)</f>
        <v>-0.10665706528988873</v>
      </c>
    </row>
    <row r="61" spans="1:7" s="34" customFormat="1" x14ac:dyDescent="0.2">
      <c r="A61" s="31" t="s">
        <v>77</v>
      </c>
      <c r="B61" s="32">
        <v>1175.38769</v>
      </c>
      <c r="C61" s="33" t="s">
        <v>320</v>
      </c>
      <c r="D61" s="33">
        <f>IF(488.49235="","-",488.49235/980597.75708*100)</f>
        <v>4.9815772723631406E-2</v>
      </c>
      <c r="E61" s="33">
        <f>IF(1175.38769="","-",1175.38769/1104707.78056*100)</f>
        <v>0.10639806387569488</v>
      </c>
      <c r="F61" s="33">
        <f>IF(OR(1159001.13914="",498.81201="",488.49235=""),"-",(488.49235-498.81201)/1159001.13914*100)</f>
        <v>-8.9039256748767084E-4</v>
      </c>
      <c r="G61" s="33">
        <f>IF(OR(980597.75708="",1175.38769="",488.49235=""),"-",(1175.38769-488.49235)/980597.75708*100)</f>
        <v>7.0048634625212713E-2</v>
      </c>
    </row>
    <row r="62" spans="1:7" s="36" customFormat="1" x14ac:dyDescent="0.2">
      <c r="A62" s="31" t="s">
        <v>136</v>
      </c>
      <c r="B62" s="32">
        <v>1103.3645100000001</v>
      </c>
      <c r="C62" s="33" t="s">
        <v>105</v>
      </c>
      <c r="D62" s="33">
        <f>IF(593.77983="","-",593.77983/980597.75708*100)</f>
        <v>6.0552843988562956E-2</v>
      </c>
      <c r="E62" s="33">
        <f>IF(1103.36451="","-",1103.36451/1104707.78056*100)</f>
        <v>9.9878404897327772E-2</v>
      </c>
      <c r="F62" s="33">
        <f>IF(OR(1159001.13914="",502.45639="",593.77983=""),"-",(593.77983-502.45639)/1159001.13914*100)</f>
        <v>7.8794952753682024E-3</v>
      </c>
      <c r="G62" s="33">
        <f>IF(OR(980597.75708="",1103.36451="",593.77983=""),"-",(1103.36451-593.77983)/980597.75708*100)</f>
        <v>5.1966739299652176E-2</v>
      </c>
    </row>
    <row r="63" spans="1:7" s="34" customFormat="1" x14ac:dyDescent="0.2">
      <c r="A63" s="31" t="s">
        <v>76</v>
      </c>
      <c r="B63" s="32">
        <v>979.29630999999995</v>
      </c>
      <c r="C63" s="33">
        <f>IF(OR(871.84909="",979.29631=""),"-",979.29631/871.84909*100)</f>
        <v>112.32406172494829</v>
      </c>
      <c r="D63" s="33">
        <f>IF(871.84909="","-",871.84909/980597.75708*100)</f>
        <v>8.8909961674414895E-2</v>
      </c>
      <c r="E63" s="33">
        <f>IF(979.29631="","-",979.29631/1104707.78056*100)</f>
        <v>8.8647543471050208E-2</v>
      </c>
      <c r="F63" s="33">
        <f>IF(OR(1159001.13914="",523.56115="",871.84909=""),"-",(871.84909-523.56115)/1159001.13914*100)</f>
        <v>3.0050698678211481E-2</v>
      </c>
      <c r="G63" s="33">
        <f>IF(OR(980597.75708="",979.29631="",871.84909=""),"-",(979.29631-871.84909)/980597.75708*100)</f>
        <v>1.0957318556382751E-2</v>
      </c>
    </row>
    <row r="64" spans="1:7" s="36" customFormat="1" x14ac:dyDescent="0.2">
      <c r="A64" s="31" t="s">
        <v>225</v>
      </c>
      <c r="B64" s="32">
        <v>708.76851999999997</v>
      </c>
      <c r="C64" s="33">
        <f>IF(OR(707.95175="",708.76852=""),"-",708.76852/707.95175*100)</f>
        <v>100.11537085684159</v>
      </c>
      <c r="D64" s="33">
        <f>IF(707.95175="","-",707.95175/980597.75708*100)</f>
        <v>7.2195938129424375E-2</v>
      </c>
      <c r="E64" s="33">
        <f>IF(708.76852="","-",708.76852/1104707.78056*100)</f>
        <v>6.4158914463398636E-2</v>
      </c>
      <c r="F64" s="33">
        <f>IF(OR(1159001.13914="",486.98434="",707.95175=""),"-",(707.95175-486.98434)/1159001.13914*100)</f>
        <v>1.9065331563346159E-2</v>
      </c>
      <c r="G64" s="33">
        <f>IF(OR(980597.75708="",708.76852="",707.95175=""),"-",(708.76852-707.95175)/980597.75708*100)</f>
        <v>8.3293072424739915E-5</v>
      </c>
    </row>
    <row r="65" spans="1:7" s="36" customFormat="1" x14ac:dyDescent="0.2">
      <c r="A65" s="31" t="s">
        <v>65</v>
      </c>
      <c r="B65" s="32">
        <v>567.93065000000001</v>
      </c>
      <c r="C65" s="33">
        <f>IF(OR(4398.10823="",567.93065=""),"-",567.93065/4398.10823*100)</f>
        <v>12.913066716414118</v>
      </c>
      <c r="D65" s="33">
        <f>IF(4398.10823="","-",4398.10823/980597.75708*100)</f>
        <v>0.44851298080637858</v>
      </c>
      <c r="E65" s="33">
        <f>IF(567.93065="","-",567.93065/1104707.78056*100)</f>
        <v>5.1410034399513672E-2</v>
      </c>
      <c r="F65" s="33">
        <f>IF(OR(1159001.13914="",5351.71707="",4398.10823=""),"-",(4398.10823-5351.71707)/1159001.13914*100)</f>
        <v>-8.2278507569681511E-2</v>
      </c>
      <c r="G65" s="33">
        <f>IF(OR(980597.75708="",567.93065="",4398.10823=""),"-",(567.93065-4398.10823)/980597.75708*100)</f>
        <v>-0.3905962003630733</v>
      </c>
    </row>
    <row r="66" spans="1:7" s="34" customFormat="1" x14ac:dyDescent="0.2">
      <c r="A66" s="31" t="s">
        <v>109</v>
      </c>
      <c r="B66" s="32">
        <v>488.06799999999998</v>
      </c>
      <c r="C66" s="33">
        <f>IF(OR(411.20236="",488.068=""),"-",488.068/411.20236*100)</f>
        <v>118.69289855243048</v>
      </c>
      <c r="D66" s="33">
        <f>IF(411.20236="","-",411.20236/980597.75708*100)</f>
        <v>4.1933846679852532E-2</v>
      </c>
      <c r="E66" s="33">
        <f>IF(488.068="","-",488.068/1104707.78056*100)</f>
        <v>4.4180733456279979E-2</v>
      </c>
      <c r="F66" s="33">
        <f>IF(OR(1159001.13914="",735.18047="",411.20236=""),"-",(411.20236-735.18047)/1159001.13914*100)</f>
        <v>-2.7953217564600293E-2</v>
      </c>
      <c r="G66" s="33">
        <f>IF(OR(980597.75708="",488.068="",411.20236=""),"-",(488.068-411.20236)/980597.75708*100)</f>
        <v>7.8386514189965721E-3</v>
      </c>
    </row>
    <row r="67" spans="1:7" s="35" customFormat="1" x14ac:dyDescent="0.2">
      <c r="A67" s="31" t="s">
        <v>75</v>
      </c>
      <c r="B67" s="32">
        <v>475.31009999999998</v>
      </c>
      <c r="C67" s="33" t="s">
        <v>229</v>
      </c>
      <c r="D67" s="33">
        <f>IF(307.97852="","-",307.97852/980597.75708*100)</f>
        <v>3.1407222561582328E-2</v>
      </c>
      <c r="E67" s="33">
        <f>IF(475.3101="","-",475.3101/1104707.78056*100)</f>
        <v>4.30258669635743E-2</v>
      </c>
      <c r="F67" s="33">
        <f>IF(OR(1159001.13914="",1190.04082="",307.97852=""),"-",(307.97852-1190.04082)/1159001.13914*100)</f>
        <v>-7.6105386803545866E-2</v>
      </c>
      <c r="G67" s="33">
        <f>IF(OR(980597.75708="",475.3101="",307.97852=""),"-",(475.3101-307.97852)/980597.75708*100)</f>
        <v>1.706424257977867E-2</v>
      </c>
    </row>
    <row r="68" spans="1:7" s="36" customFormat="1" x14ac:dyDescent="0.2">
      <c r="A68" s="31" t="s">
        <v>39</v>
      </c>
      <c r="B68" s="32">
        <v>468.24047000000002</v>
      </c>
      <c r="C68" s="33">
        <f>IF(OR(1309.92535="",468.24047=""),"-",468.24047/1309.92535*100)</f>
        <v>35.745584280814171</v>
      </c>
      <c r="D68" s="33">
        <f>IF(1309.92535="","-",1309.92535/980597.75708*100)</f>
        <v>0.13358437142469748</v>
      </c>
      <c r="E68" s="33">
        <f>IF(468.24047="","-",468.24047/1104707.78056*100)</f>
        <v>4.2385912205908323E-2</v>
      </c>
      <c r="F68" s="33">
        <f>IF(OR(1159001.13914="",1065.23125="",1309.92535=""),"-",(1309.92535-1065.23125)/1159001.13914*100)</f>
        <v>2.1112498662561055E-2</v>
      </c>
      <c r="G68" s="33">
        <f>IF(OR(980597.75708="",468.24047="",1309.92535=""),"-",(468.24047-1309.92535)/980597.75708*100)</f>
        <v>-8.5833857351086409E-2</v>
      </c>
    </row>
    <row r="69" spans="1:7" s="36" customFormat="1" x14ac:dyDescent="0.2">
      <c r="A69" s="31" t="s">
        <v>36</v>
      </c>
      <c r="B69" s="32">
        <v>439.63517000000002</v>
      </c>
      <c r="C69" s="33" t="s">
        <v>95</v>
      </c>
      <c r="D69" s="33">
        <f>IF(208.64579="","-",208.64579/980597.75708*100)</f>
        <v>2.1277408447404604E-2</v>
      </c>
      <c r="E69" s="33">
        <f>IF(439.63517="","-",439.63517/1104707.78056*100)</f>
        <v>3.9796512501897967E-2</v>
      </c>
      <c r="F69" s="33">
        <f>IF(OR(1159001.13914="",103.70869="",208.64579=""),"-",(208.64579-103.70869)/1159001.13914*100)</f>
        <v>9.0540980898314929E-3</v>
      </c>
      <c r="G69" s="33">
        <f>IF(OR(980597.75708="",439.63517="",208.64579=""),"-",(439.63517-208.64579)/980597.75708*100)</f>
        <v>2.3555976783776716E-2</v>
      </c>
    </row>
    <row r="70" spans="1:7" s="36" customFormat="1" x14ac:dyDescent="0.2">
      <c r="A70" s="31" t="s">
        <v>88</v>
      </c>
      <c r="B70" s="32">
        <v>425.51718</v>
      </c>
      <c r="C70" s="33" t="s">
        <v>337</v>
      </c>
      <c r="D70" s="33">
        <f>IF(10.25096="","-",10.25096/980597.75708*100)</f>
        <v>1.0453786913122314E-3</v>
      </c>
      <c r="E70" s="33">
        <f>IF(425.51718="","-",425.51718/1104707.78056*100)</f>
        <v>3.8518528382618634E-2</v>
      </c>
      <c r="F70" s="33" t="str">
        <f>IF(OR(1159001.13914="",""="",10.25096=""),"-",(10.25096-"")/1159001.13914*100)</f>
        <v>-</v>
      </c>
      <c r="G70" s="33">
        <f>IF(OR(980597.75708="",425.51718="",10.25096=""),"-",(425.51718-10.25096)/980597.75708*100)</f>
        <v>4.2348273489485597E-2</v>
      </c>
    </row>
    <row r="71" spans="1:7" s="36" customFormat="1" x14ac:dyDescent="0.2">
      <c r="A71" s="31" t="s">
        <v>72</v>
      </c>
      <c r="B71" s="32">
        <v>414.86788999999999</v>
      </c>
      <c r="C71" s="33">
        <f>IF(OR(550.70076="",414.86789=""),"-",414.86789/550.70076*100)</f>
        <v>75.334541030958462</v>
      </c>
      <c r="D71" s="33">
        <f>IF(550.70076="","-",550.70076/980597.75708*100)</f>
        <v>5.61597001445183E-2</v>
      </c>
      <c r="E71" s="33">
        <f>IF(414.86789="","-",414.86789/1104707.78056*100)</f>
        <v>3.7554536801550777E-2</v>
      </c>
      <c r="F71" s="33">
        <f>IF(OR(1159001.13914="",502.49959="",550.70076=""),"-",(550.70076-502.49959)/1159001.13914*100)</f>
        <v>4.1588544111152538E-3</v>
      </c>
      <c r="G71" s="33">
        <f>IF(OR(980597.75708="",414.86789="",550.70076=""),"-",(414.86789-550.70076)/980597.75708*100)</f>
        <v>-1.3852047796282928E-2</v>
      </c>
    </row>
    <row r="72" spans="1:7" s="36" customFormat="1" x14ac:dyDescent="0.2">
      <c r="A72" s="31" t="s">
        <v>154</v>
      </c>
      <c r="B72" s="32">
        <v>412.26925999999997</v>
      </c>
      <c r="C72" s="33" t="s">
        <v>324</v>
      </c>
      <c r="D72" s="33">
        <f>IF(95.1381="","-",95.1381/980597.75708*100)</f>
        <v>9.7020515612130202E-3</v>
      </c>
      <c r="E72" s="33">
        <f>IF(412.26926="","-",412.26926/1104707.78056*100)</f>
        <v>3.7319304458144742E-2</v>
      </c>
      <c r="F72" s="33">
        <f>IF(OR(1159001.13914="",207.23343="",95.1381=""),"-",(95.1381-207.23343)/1159001.13914*100)</f>
        <v>-9.6717187079882229E-3</v>
      </c>
      <c r="G72" s="33">
        <f>IF(OR(980597.75708="",412.26926="",95.1381=""),"-",(412.26926-95.1381)/980597.75708*100)</f>
        <v>3.2340596101743634E-2</v>
      </c>
    </row>
    <row r="73" spans="1:7" s="36" customFormat="1" x14ac:dyDescent="0.2">
      <c r="A73" s="31" t="s">
        <v>38</v>
      </c>
      <c r="B73" s="32">
        <v>388.11068999999998</v>
      </c>
      <c r="C73" s="33">
        <f>IF(OR(320.12303="",388.11069=""),"-",388.11069/320.12303*100)</f>
        <v>121.23797841098778</v>
      </c>
      <c r="D73" s="33">
        <f>IF(320.12303="","-",320.12303/980597.75708*100)</f>
        <v>3.2645702857128138E-2</v>
      </c>
      <c r="E73" s="33">
        <f>IF(388.11069="","-",388.11069/1104707.78056*100)</f>
        <v>3.5132430207313131E-2</v>
      </c>
      <c r="F73" s="33">
        <f>IF(OR(1159001.13914="",561.02682="",320.12303=""),"-",(320.12303-561.02682)/1159001.13914*100)</f>
        <v>-2.0785466197104429E-2</v>
      </c>
      <c r="G73" s="33">
        <f>IF(OR(980597.75708="",388.11069="",320.12303=""),"-",(388.11069-320.12303)/980597.75708*100)</f>
        <v>6.9332873249120953E-3</v>
      </c>
    </row>
    <row r="74" spans="1:7" s="36" customFormat="1" x14ac:dyDescent="0.2">
      <c r="A74" s="31" t="s">
        <v>67</v>
      </c>
      <c r="B74" s="32">
        <v>320.5908</v>
      </c>
      <c r="C74" s="33">
        <f>IF(OR(1515.65933="",320.5908=""),"-",320.5908/1515.65933*100)</f>
        <v>21.151903574532149</v>
      </c>
      <c r="D74" s="33">
        <f>IF(1515.65933="","-",1515.65933/980597.75708*100)</f>
        <v>0.15456483752454148</v>
      </c>
      <c r="E74" s="33">
        <f>IF(320.5908="","-",320.5908/1104707.78056*100)</f>
        <v>2.9020416588130267E-2</v>
      </c>
      <c r="F74" s="33">
        <f>IF(OR(1159001.13914="",22.26872="",1515.65933=""),"-",(1515.65933-22.26872)/1159001.13914*100)</f>
        <v>0.12885152219161086</v>
      </c>
      <c r="G74" s="33">
        <f>IF(OR(980597.75708="",320.5908="",1515.65933=""),"-",(320.5908-1515.65933)/980597.75708*100)</f>
        <v>-0.12187143213121818</v>
      </c>
    </row>
    <row r="75" spans="1:7" s="36" customFormat="1" x14ac:dyDescent="0.2">
      <c r="A75" s="31" t="s">
        <v>137</v>
      </c>
      <c r="B75" s="32">
        <v>305.84127000000001</v>
      </c>
      <c r="C75" s="33" t="s">
        <v>316</v>
      </c>
      <c r="D75" s="33">
        <f>IF(25.28671="","-",25.28671/980597.75708*100)</f>
        <v>2.5787036343319961E-3</v>
      </c>
      <c r="E75" s="33">
        <f>IF(305.84127="","-",305.84127/1104707.78056*100)</f>
        <v>2.768526440946786E-2</v>
      </c>
      <c r="F75" s="33">
        <f>IF(OR(1159001.13914="",98.70973="",25.28671=""),"-",(25.28671-98.70973)/1159001.13914*100)</f>
        <v>-6.3350256976003674E-3</v>
      </c>
      <c r="G75" s="33">
        <f>IF(OR(980597.75708="",305.84127="",25.28671=""),"-",(305.84127-25.28671)/980597.75708*100)</f>
        <v>2.8610565134824351E-2</v>
      </c>
    </row>
    <row r="76" spans="1:7" s="36" customFormat="1" x14ac:dyDescent="0.2">
      <c r="A76" s="31" t="s">
        <v>83</v>
      </c>
      <c r="B76" s="32">
        <v>303.34928000000002</v>
      </c>
      <c r="C76" s="33" t="s">
        <v>228</v>
      </c>
      <c r="D76" s="33">
        <f>IF(132.75021="","-",132.75021/980597.75708*100)</f>
        <v>1.3537682402548049E-2</v>
      </c>
      <c r="E76" s="33">
        <f>IF(303.34928="","-",303.34928/1104707.78056*100)</f>
        <v>2.7459685297611079E-2</v>
      </c>
      <c r="F76" s="33">
        <f>IF(OR(1159001.13914="",586.61611="",132.75021=""),"-",(132.75021-586.61611)/1159001.13914*100)</f>
        <v>-3.9160090932850743E-2</v>
      </c>
      <c r="G76" s="33">
        <f>IF(OR(980597.75708="",303.34928="",132.75021=""),"-",(303.34928-132.75021)/980597.75708*100)</f>
        <v>1.73974566807093E-2</v>
      </c>
    </row>
    <row r="77" spans="1:7" x14ac:dyDescent="0.2">
      <c r="A77" s="31" t="s">
        <v>151</v>
      </c>
      <c r="B77" s="32">
        <v>299.39999999999998</v>
      </c>
      <c r="C77" s="33" t="s">
        <v>103</v>
      </c>
      <c r="D77" s="33">
        <f>IF(179.7168="","-",179.7168/980597.75708*100)</f>
        <v>1.8327270147461515E-2</v>
      </c>
      <c r="E77" s="33">
        <f>IF(299.4="","-",299.4/1104707.78056*100)</f>
        <v>2.7102189852254654E-2</v>
      </c>
      <c r="F77" s="33">
        <f>IF(OR(1159001.13914="",51.317="",179.7168=""),"-",(179.7168-51.317)/1159001.13914*100)</f>
        <v>1.107848781712803E-2</v>
      </c>
      <c r="G77" s="33">
        <f>IF(OR(980597.75708="",299.4="",179.7168=""),"-",(299.4-179.7168)/980597.75708*100)</f>
        <v>1.2205126835736366E-2</v>
      </c>
    </row>
    <row r="78" spans="1:7" x14ac:dyDescent="0.2">
      <c r="A78" s="31" t="s">
        <v>101</v>
      </c>
      <c r="B78" s="32">
        <v>275.38569000000001</v>
      </c>
      <c r="C78" s="33" t="s">
        <v>321</v>
      </c>
      <c r="D78" s="33">
        <f>IF(68.83726="","-",68.83726/980597.75708*100)</f>
        <v>7.0199283552291516E-3</v>
      </c>
      <c r="E78" s="33">
        <f>IF(275.38569="","-",275.38569/1104707.78056*100)</f>
        <v>2.4928374258430686E-2</v>
      </c>
      <c r="F78" s="33">
        <f>IF(OR(1159001.13914="",227.79067="",68.83726=""),"-",(68.83726-227.79067)/1159001.13914*100)</f>
        <v>-1.3714689712725074E-2</v>
      </c>
      <c r="G78" s="33">
        <f>IF(OR(980597.75708="",275.38569="",68.83726=""),"-",(275.38569-68.83726)/980597.75708*100)</f>
        <v>2.1063522581884628E-2</v>
      </c>
    </row>
    <row r="79" spans="1:7" x14ac:dyDescent="0.2">
      <c r="A79" s="31" t="s">
        <v>135</v>
      </c>
      <c r="B79" s="32">
        <v>260.59820000000002</v>
      </c>
      <c r="C79" s="33">
        <f>IF(OR(245.97432="",260.5982=""),"-",260.5982/245.97432*100)</f>
        <v>105.94528729665764</v>
      </c>
      <c r="D79" s="33">
        <f>IF(245.97432="","-",245.97432/980597.75708*100)</f>
        <v>2.5084120193427359E-2</v>
      </c>
      <c r="E79" s="33">
        <f>IF(260.5982="","-",260.5982/1104707.78056*100)</f>
        <v>2.3589785876939981E-2</v>
      </c>
      <c r="F79" s="33">
        <f>IF(OR(1159001.13914="",23.55098="",245.97432=""),"-",(245.97432-23.55098)/1159001.13914*100)</f>
        <v>1.9190950939447924E-2</v>
      </c>
      <c r="G79" s="33">
        <f>IF(OR(980597.75708="",260.5982="",245.97432=""),"-",(260.5982-245.97432)/980597.75708*100)</f>
        <v>1.4913230113381705E-3</v>
      </c>
    </row>
    <row r="80" spans="1:7" x14ac:dyDescent="0.2">
      <c r="A80" s="31" t="s">
        <v>102</v>
      </c>
      <c r="B80" s="32">
        <v>231.94086999999999</v>
      </c>
      <c r="C80" s="33">
        <f>IF(OR(215.33963="",231.94087=""),"-",231.94087/215.33963*100)</f>
        <v>107.70932874733741</v>
      </c>
      <c r="D80" s="33">
        <f>IF(215.33963="","-",215.33963/980597.75708*100)</f>
        <v>2.1960036971860213E-2</v>
      </c>
      <c r="E80" s="33">
        <f>IF(231.94087="","-",231.94087/1104707.78056*100)</f>
        <v>2.0995676330117289E-2</v>
      </c>
      <c r="F80" s="33">
        <f>IF(OR(1159001.13914="",100.98459="",215.33963=""),"-",(215.33963-100.98459)/1159001.13914*100)</f>
        <v>9.8666891807244923E-3</v>
      </c>
      <c r="G80" s="33">
        <f>IF(OR(980597.75708="",231.94087="",215.33963=""),"-",(231.94087-215.33963)/980597.75708*100)</f>
        <v>1.6929714431975404E-3</v>
      </c>
    </row>
    <row r="81" spans="1:7" x14ac:dyDescent="0.2">
      <c r="A81" s="31" t="s">
        <v>91</v>
      </c>
      <c r="B81" s="32">
        <v>231.57830999999999</v>
      </c>
      <c r="C81" s="33" t="s">
        <v>338</v>
      </c>
      <c r="D81" s="33">
        <f>IF(32.50811="","-",32.50811/980597.75708*100)</f>
        <v>3.3151319963041579E-3</v>
      </c>
      <c r="E81" s="33">
        <f>IF(231.57831="","-",231.57831/1104707.78056*100)</f>
        <v>2.0962856791196669E-2</v>
      </c>
      <c r="F81" s="33">
        <f>IF(OR(1159001.13914="",1175.53676="",32.50811=""),"-",(32.50811-1175.53676)/1159001.13914*100)</f>
        <v>-9.8621874595235332E-2</v>
      </c>
      <c r="G81" s="33">
        <f>IF(OR(980597.75708="",231.57831="",32.50811=""),"-",(231.57831-32.50811)/980597.75708*100)</f>
        <v>2.0300903052520369E-2</v>
      </c>
    </row>
    <row r="82" spans="1:7" x14ac:dyDescent="0.2">
      <c r="A82" s="31" t="s">
        <v>96</v>
      </c>
      <c r="B82" s="32">
        <v>231.46487999999999</v>
      </c>
      <c r="C82" s="33">
        <f>IF(OR(159.60595="",231.46488=""),"-",231.46488/159.60595*100)</f>
        <v>145.02271375221284</v>
      </c>
      <c r="D82" s="33">
        <f>IF(159.60595="","-",159.60595/980597.75708*100)</f>
        <v>1.6276393541350808E-2</v>
      </c>
      <c r="E82" s="33">
        <f>IF(231.46488="","-",231.46488/1104707.78056*100)</f>
        <v>2.0952588917466073E-2</v>
      </c>
      <c r="F82" s="33">
        <f>IF(OR(1159001.13914="",323.47451="",159.60595=""),"-",(159.60595-323.47451)/1159001.13914*100)</f>
        <v>-1.4138774714371158E-2</v>
      </c>
      <c r="G82" s="33">
        <f>IF(OR(980597.75708="",231.46488="",159.60595=""),"-",(231.46488-159.60595)/980597.75708*100)</f>
        <v>7.3280740733060352E-3</v>
      </c>
    </row>
    <row r="83" spans="1:7" x14ac:dyDescent="0.2">
      <c r="A83" s="31" t="s">
        <v>146</v>
      </c>
      <c r="B83" s="32">
        <v>216.35355999999999</v>
      </c>
      <c r="C83" s="33" t="s">
        <v>104</v>
      </c>
      <c r="D83" s="33">
        <f>IF(135.07132="","-",135.07132/980597.75708*100)</f>
        <v>1.3774385982914344E-2</v>
      </c>
      <c r="E83" s="33">
        <f>IF(216.35356="","-",216.35356/1104707.78056*100)</f>
        <v>1.9584686901573709E-2</v>
      </c>
      <c r="F83" s="33">
        <f>IF(OR(1159001.13914="",124.02514="",135.07132=""),"-",(135.07132-124.02514)/1159001.13914*100)</f>
        <v>9.5307757921588054E-4</v>
      </c>
      <c r="G83" s="33">
        <f>IF(OR(980597.75708="",216.35356="",135.07132=""),"-",(216.35356-135.07132)/980597.75708*100)</f>
        <v>8.2890501648749705E-3</v>
      </c>
    </row>
    <row r="84" spans="1:7" x14ac:dyDescent="0.2">
      <c r="A84" s="31" t="s">
        <v>141</v>
      </c>
      <c r="B84" s="32">
        <v>211.45376999999999</v>
      </c>
      <c r="C84" s="33" t="s">
        <v>339</v>
      </c>
      <c r="D84" s="33">
        <f>IF(50.18097="","-",50.18097/980597.75708*100)</f>
        <v>5.1173857616631374E-3</v>
      </c>
      <c r="E84" s="33">
        <f>IF(211.45377="","-",211.45377/1104707.78056*100)</f>
        <v>1.9141149697778859E-2</v>
      </c>
      <c r="F84" s="33">
        <f>IF(OR(1159001.13914="",43.23246="",50.18097=""),"-",(50.18097-43.23246)/1159001.13914*100)</f>
        <v>5.99525726536897E-4</v>
      </c>
      <c r="G84" s="33">
        <f>IF(OR(980597.75708="",211.45377="",50.18097=""),"-",(211.45377-50.18097)/980597.75708*100)</f>
        <v>1.6446376593827236E-2</v>
      </c>
    </row>
    <row r="85" spans="1:7" x14ac:dyDescent="0.2">
      <c r="A85" s="31" t="s">
        <v>131</v>
      </c>
      <c r="B85" s="32">
        <v>207.61054999999999</v>
      </c>
      <c r="C85" s="33">
        <f>IF(OR(440.48963="",207.61055=""),"-",207.61055/440.48963*100)</f>
        <v>47.131767892015979</v>
      </c>
      <c r="D85" s="33">
        <f>IF(440.48963="","-",440.48963/980597.75708*100)</f>
        <v>4.4920521877561619E-2</v>
      </c>
      <c r="E85" s="33">
        <f>IF(207.61055="","-",207.61055/1104707.78056*100)</f>
        <v>1.8793254981399492E-2</v>
      </c>
      <c r="F85" s="33">
        <f>IF(OR(1159001.13914="",92.13415="",440.48963=""),"-",(440.48963-92.13415)/1159001.13914*100)</f>
        <v>3.0056526109929971E-2</v>
      </c>
      <c r="G85" s="33">
        <f>IF(OR(980597.75708="",207.61055="",440.48963=""),"-",(207.61055-440.48963)/980597.75708*100)</f>
        <v>-2.3748685770347017E-2</v>
      </c>
    </row>
    <row r="86" spans="1:7" x14ac:dyDescent="0.2">
      <c r="A86" s="31" t="s">
        <v>232</v>
      </c>
      <c r="B86" s="32">
        <v>195.88926000000001</v>
      </c>
      <c r="C86" s="33" t="s">
        <v>320</v>
      </c>
      <c r="D86" s="33">
        <f>IF(81.7743="","-",81.7743/980597.75708*100)</f>
        <v>8.3392297616002621E-3</v>
      </c>
      <c r="E86" s="33">
        <f>IF(195.88926="","-",195.88926/1104707.78056*100)</f>
        <v>1.7732224163452485E-2</v>
      </c>
      <c r="F86" s="33">
        <f>IF(OR(1159001.13914="",2588.27613="",81.7743=""),"-",(81.7743-2588.27613)/1159001.13914*100)</f>
        <v>-0.21626396604406015</v>
      </c>
      <c r="G86" s="33">
        <f>IF(OR(980597.75708="",195.88926="",81.7743=""),"-",(195.88926-81.7743)/980597.75708*100)</f>
        <v>1.1637285439017191E-2</v>
      </c>
    </row>
    <row r="87" spans="1:7" x14ac:dyDescent="0.2">
      <c r="A87" s="31" t="s">
        <v>69</v>
      </c>
      <c r="B87" s="32">
        <v>181.19476</v>
      </c>
      <c r="C87" s="33" t="s">
        <v>340</v>
      </c>
      <c r="D87" s="33">
        <f>IF(1.8532="","-",1.8532/980597.75708*100)</f>
        <v>1.8898676716520477E-4</v>
      </c>
      <c r="E87" s="33">
        <f>IF(181.19476="","-",181.19476/1104707.78056*100)</f>
        <v>1.640205339263099E-2</v>
      </c>
      <c r="F87" s="33">
        <f>IF(OR(1159001.13914="",185.29717="",1.8532=""),"-",(1.8532-185.29717)/1159001.13914*100)</f>
        <v>-1.5827764426195368E-2</v>
      </c>
      <c r="G87" s="33">
        <f>IF(OR(980597.75708="",181.19476="",1.8532=""),"-",(181.19476-1.8532)/980597.75708*100)</f>
        <v>1.8289003692404816E-2</v>
      </c>
    </row>
    <row r="88" spans="1:7" x14ac:dyDescent="0.2">
      <c r="A88" s="31" t="s">
        <v>93</v>
      </c>
      <c r="B88" s="32">
        <v>175.39788999999999</v>
      </c>
      <c r="C88" s="33">
        <f>IF(OR(508.29292="",175.39789=""),"-",175.39789/508.29292*100)</f>
        <v>34.507246333472438</v>
      </c>
      <c r="D88" s="33">
        <f>IF(508.29292="","-",508.29292/980597.75708*100)</f>
        <v>5.1835007405440357E-2</v>
      </c>
      <c r="E88" s="33">
        <f>IF(175.39789="","-",175.39789/1104707.78056*100)</f>
        <v>1.5877311003556709E-2</v>
      </c>
      <c r="F88" s="33">
        <f>IF(OR(1159001.13914="",35.71746="",508.29292=""),"-",(508.29292-35.71746)/1159001.13914*100)</f>
        <v>4.0774374074443058E-2</v>
      </c>
      <c r="G88" s="33">
        <f>IF(OR(980597.75708="",175.39789="",508.29292=""),"-",(175.39789-508.29292)/980597.75708*100)</f>
        <v>-3.3948173713071371E-2</v>
      </c>
    </row>
    <row r="89" spans="1:7" x14ac:dyDescent="0.2">
      <c r="A89" s="31" t="s">
        <v>227</v>
      </c>
      <c r="B89" s="32">
        <v>162.96404999999999</v>
      </c>
      <c r="C89" s="33" t="str">
        <f>IF(OR(""="",162.96405=""),"-",162.96405/""*100)</f>
        <v>-</v>
      </c>
      <c r="D89" s="33" t="str">
        <f>IF(""="","-",""/980597.75708*100)</f>
        <v>-</v>
      </c>
      <c r="E89" s="33">
        <f>IF(162.96405="","-",162.96405/1104707.78056*100)</f>
        <v>1.4751778965238212E-2</v>
      </c>
      <c r="F89" s="33" t="str">
        <f>IF(OR(1159001.13914="",223.62437="",""=""),"-",(""-223.62437)/1159001.13914*100)</f>
        <v>-</v>
      </c>
      <c r="G89" s="33" t="str">
        <f>IF(OR(980597.75708="",162.96405="",""=""),"-",(162.96405-"")/980597.75708*100)</f>
        <v>-</v>
      </c>
    </row>
    <row r="90" spans="1:7" x14ac:dyDescent="0.2">
      <c r="A90" s="31" t="s">
        <v>70</v>
      </c>
      <c r="B90" s="32">
        <v>128.04953</v>
      </c>
      <c r="C90" s="33">
        <f>IF(OR(698.27466="",128.04953=""),"-",128.04953/698.27466*100)</f>
        <v>18.337988951224435</v>
      </c>
      <c r="D90" s="33">
        <f>IF(698.27466="","-",698.27466/980597.75708*100)</f>
        <v>7.1209081905235561E-2</v>
      </c>
      <c r="E90" s="33">
        <f>IF(128.04953="","-",128.04953/1104707.78056*100)</f>
        <v>1.1591258091355973E-2</v>
      </c>
      <c r="F90" s="33">
        <f>IF(OR(1159001.13914="",60.78997="",698.27466=""),"-",(698.27466-60.78997)/1159001.13914*100)</f>
        <v>5.5002939037059551E-2</v>
      </c>
      <c r="G90" s="33">
        <f>IF(OR(980597.75708="",128.04953="",698.27466=""),"-",(128.04953-698.27466)/980597.75708*100)</f>
        <v>-5.8150768333185103E-2</v>
      </c>
    </row>
    <row r="91" spans="1:7" x14ac:dyDescent="0.2">
      <c r="A91" s="31" t="s">
        <v>132</v>
      </c>
      <c r="B91" s="32">
        <v>123.32561</v>
      </c>
      <c r="C91" s="33">
        <f>IF(OR(129.00573="",123.32561=""),"-",123.32561/129.00573*100)</f>
        <v>95.59700177658776</v>
      </c>
      <c r="D91" s="33">
        <f>IF(129.00573="","-",129.00573/980597.75708*100)</f>
        <v>1.3155825522602672E-2</v>
      </c>
      <c r="E91" s="33">
        <f>IF(123.32561="","-",123.32561/1104707.78056*100)</f>
        <v>1.1163640934753225E-2</v>
      </c>
      <c r="F91" s="33">
        <f>IF(OR(1159001.13914="",221.07422="",129.00573=""),"-",(129.00573-221.07422)/1159001.13914*100)</f>
        <v>-7.9437790775871431E-3</v>
      </c>
      <c r="G91" s="33">
        <f>IF(OR(980597.75708="",123.32561="",129.00573=""),"-",(123.32561-129.00573)/980597.75708*100)</f>
        <v>-5.7925076403541091E-4</v>
      </c>
    </row>
    <row r="92" spans="1:7" x14ac:dyDescent="0.2">
      <c r="A92" s="31" t="s">
        <v>85</v>
      </c>
      <c r="B92" s="32">
        <v>85.820089999999993</v>
      </c>
      <c r="C92" s="33">
        <f>IF(OR(535.97461="",85.82009=""),"-",85.82009/535.97461*100)</f>
        <v>16.011969298321798</v>
      </c>
      <c r="D92" s="33">
        <f>IF(535.97461="","-",535.97461/980597.75708*100)</f>
        <v>5.4657947780342879E-2</v>
      </c>
      <c r="E92" s="33">
        <f>IF(85.82009="","-",85.82009/1104707.78056*100)</f>
        <v>7.7685783978543137E-3</v>
      </c>
      <c r="F92" s="33">
        <f>IF(OR(1159001.13914="",1346.62953="",535.97461=""),"-",(535.97461-1346.62953)/1159001.13914*100)</f>
        <v>-6.9944272928111242E-2</v>
      </c>
      <c r="G92" s="33">
        <f>IF(OR(980597.75708="",85.82009="",535.97461=""),"-",(85.82009-535.97461)/980597.75708*100)</f>
        <v>-4.5906133962661619E-2</v>
      </c>
    </row>
    <row r="93" spans="1:7" x14ac:dyDescent="0.2">
      <c r="A93" s="31" t="s">
        <v>107</v>
      </c>
      <c r="B93" s="32">
        <v>82.164019999999994</v>
      </c>
      <c r="C93" s="33">
        <f>IF(OR(98.55559="",82.16402=""),"-",82.16402/98.55559*100)</f>
        <v>83.368198597360134</v>
      </c>
      <c r="D93" s="33">
        <f>IF(98.55559="","-",98.55559/980597.75708*100)</f>
        <v>1.0050562454219395E-2</v>
      </c>
      <c r="E93" s="33">
        <f>IF(82.16402="","-",82.16402/1104707.78056*100)</f>
        <v>7.4376248131745116E-3</v>
      </c>
      <c r="F93" s="33">
        <f>IF(OR(1159001.13914="",157.65527="",98.55559=""),"-",(98.55559-157.65527)/1159001.13914*100)</f>
        <v>-5.0991908466848481E-3</v>
      </c>
      <c r="G93" s="33">
        <f>IF(OR(980597.75708="",82.16402="",98.55559=""),"-",(82.16402-98.55559)/980597.75708*100)</f>
        <v>-1.6715895872340576E-3</v>
      </c>
    </row>
    <row r="94" spans="1:7" x14ac:dyDescent="0.2">
      <c r="A94" s="31" t="s">
        <v>231</v>
      </c>
      <c r="B94" s="32">
        <v>79.647480000000002</v>
      </c>
      <c r="C94" s="33">
        <f>IF(OR(199.1423="",79.64748=""),"-",79.64748/199.1423*100)</f>
        <v>39.995259671099511</v>
      </c>
      <c r="D94" s="33">
        <f>IF(199.1423="","-",199.1423/980597.75708*100)</f>
        <v>2.0308255710578114E-2</v>
      </c>
      <c r="E94" s="33">
        <f>IF(79.64748="","-",79.64748/1104707.78056*100)</f>
        <v>7.2098233941671874E-3</v>
      </c>
      <c r="F94" s="33">
        <f>IF(OR(1159001.13914="",8.71721="",199.1423=""),"-",(199.1423-8.71721)/1159001.13914*100)</f>
        <v>1.6430103782408608E-2</v>
      </c>
      <c r="G94" s="33">
        <f>IF(OR(980597.75708="",79.64748="",199.1423=""),"-",(79.64748-199.1423)/980597.75708*100)</f>
        <v>-1.2185916104461502E-2</v>
      </c>
    </row>
    <row r="95" spans="1:7" x14ac:dyDescent="0.2">
      <c r="A95" s="31" t="s">
        <v>86</v>
      </c>
      <c r="B95" s="32">
        <v>72.637879999999996</v>
      </c>
      <c r="C95" s="33">
        <f>IF(OR(248.91138="",72.63788=""),"-",72.63788/248.91138*100)</f>
        <v>29.182225416933527</v>
      </c>
      <c r="D95" s="33">
        <f>IF(248.91138="","-",248.91138/980597.75708*100)</f>
        <v>2.5383637500987381E-2</v>
      </c>
      <c r="E95" s="33">
        <f>IF(72.63788="","-",72.63788/1104707.78056*100)</f>
        <v>6.5753026527230847E-3</v>
      </c>
      <c r="F95" s="33">
        <f>IF(OR(1159001.13914="",3.2405="",248.91138=""),"-",(248.91138-3.2405)/1159001.13914*100)</f>
        <v>2.1196776405439276E-2</v>
      </c>
      <c r="G95" s="33">
        <f>IF(OR(980597.75708="",72.63788="",248.91138=""),"-",(72.63788-248.91138)/980597.75708*100)</f>
        <v>-1.7976127186431969E-2</v>
      </c>
    </row>
    <row r="96" spans="1:7" x14ac:dyDescent="0.2">
      <c r="A96" s="31" t="s">
        <v>78</v>
      </c>
      <c r="B96" s="32">
        <v>66.022720000000007</v>
      </c>
      <c r="C96" s="33">
        <f>IF(OR(138.20119="",66.02272=""),"-",66.02272/138.20119*100)</f>
        <v>47.772902679057978</v>
      </c>
      <c r="D96" s="33">
        <f>IF(138.20119="","-",138.20119/980597.75708*100)</f>
        <v>1.4093565787008541E-2</v>
      </c>
      <c r="E96" s="33">
        <f>IF(66.02272="","-",66.02272/1104707.78056*100)</f>
        <v>5.9764872812366424E-3</v>
      </c>
      <c r="F96" s="33">
        <f>IF(OR(1159001.13914="",37.5515="",138.20119=""),"-",(138.20119-37.5515)/1159001.13914*100)</f>
        <v>8.6841752437520382E-3</v>
      </c>
      <c r="G96" s="33">
        <f>IF(OR(980597.75708="",66.02272="",138.20119=""),"-",(66.02272-138.20119)/980597.75708*100)</f>
        <v>-7.3606603195719381E-3</v>
      </c>
    </row>
    <row r="97" spans="1:7" x14ac:dyDescent="0.2">
      <c r="A97" s="31" t="s">
        <v>90</v>
      </c>
      <c r="B97" s="32">
        <v>64.126710000000003</v>
      </c>
      <c r="C97" s="33">
        <f>IF(OR(59.35236="",64.12671=""),"-",64.12671/59.35236*100)</f>
        <v>108.04407777550887</v>
      </c>
      <c r="D97" s="33">
        <f>IF(59.35236="","-",59.35236/980597.75708*100)</f>
        <v>6.0526714008339155E-3</v>
      </c>
      <c r="E97" s="33">
        <f>IF(64.12671="","-",64.12671/1104707.78056*100)</f>
        <v>5.804857277957506E-3</v>
      </c>
      <c r="F97" s="33">
        <f>IF(OR(1159001.13914="",60.1192="",59.35236=""),"-",(59.35236-60.1192)/1159001.13914*100)</f>
        <v>-6.6163869396108717E-5</v>
      </c>
      <c r="G97" s="33">
        <f>IF(OR(980597.75708="",64.12671="",59.35236=""),"-",(64.12671-59.35236)/980597.75708*100)</f>
        <v>4.868815949790614E-4</v>
      </c>
    </row>
    <row r="98" spans="1:7" x14ac:dyDescent="0.2">
      <c r="A98" s="31" t="s">
        <v>314</v>
      </c>
      <c r="B98" s="32">
        <v>60.503999999999998</v>
      </c>
      <c r="C98" s="33">
        <f>IF(OR(87.612="",60.504=""),"-",60.504/87.612*100)</f>
        <v>69.059033009176829</v>
      </c>
      <c r="D98" s="33">
        <f>IF(87.612="","-",87.612/980597.75708*100)</f>
        <v>8.9345503156043182E-3</v>
      </c>
      <c r="E98" s="33">
        <f>IF(60.504="","-",60.504/1104707.78056*100)</f>
        <v>5.4769234963955105E-3</v>
      </c>
      <c r="F98" s="33">
        <f>IF(OR(1159001.13914="",23.32711="",87.612=""),"-",(87.612-23.32711)/1159001.13914*100)</f>
        <v>5.5465769470857068E-3</v>
      </c>
      <c r="G98" s="33">
        <f>IF(OR(980597.75708="",60.504="",87.612=""),"-",(60.504-87.612)/980597.75708*100)</f>
        <v>-2.7644362639296194E-3</v>
      </c>
    </row>
    <row r="99" spans="1:7" x14ac:dyDescent="0.2">
      <c r="A99" s="37" t="s">
        <v>94</v>
      </c>
      <c r="B99" s="38">
        <v>49.793750000000003</v>
      </c>
      <c r="C99" s="39" t="s">
        <v>341</v>
      </c>
      <c r="D99" s="39">
        <f>IF(0.59769="","-",0.59769/980597.75708*100)</f>
        <v>6.0951597705035219E-5</v>
      </c>
      <c r="E99" s="39">
        <f>IF(49.79375="","-",49.79375/1104707.78056*100)</f>
        <v>4.5074137139469121E-3</v>
      </c>
      <c r="F99" s="39">
        <f>IF(OR(1159001.13914="",0.12="",0.59769=""),"-",(0.59769-0.12)/1159001.13914*100)</f>
        <v>4.1215662682993974E-5</v>
      </c>
      <c r="G99" s="39">
        <f>IF(OR(980597.75708="",49.79375="",0.59769=""),"-",(49.79375-0.59769)/980597.75708*100)</f>
        <v>5.0169460051076222E-3</v>
      </c>
    </row>
    <row r="100" spans="1:7" ht="16.5" customHeight="1" x14ac:dyDescent="0.2">
      <c r="A100" s="1" t="s">
        <v>313</v>
      </c>
      <c r="B100" s="3"/>
      <c r="C100" s="3"/>
      <c r="D100" s="3"/>
      <c r="E100" s="3"/>
    </row>
    <row r="101" spans="1:7" ht="15.75" customHeight="1" x14ac:dyDescent="0.2">
      <c r="A101" s="2" t="s">
        <v>382</v>
      </c>
      <c r="B101" s="2"/>
      <c r="C101" s="2"/>
      <c r="D101" s="2"/>
      <c r="E101" s="2"/>
    </row>
  </sheetData>
  <mergeCells count="10">
    <mergeCell ref="A101:E101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1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G118"/>
  <sheetViews>
    <sheetView zoomScaleNormal="100" workbookViewId="0">
      <selection sqref="A1:XFD1048576"/>
    </sheetView>
  </sheetViews>
  <sheetFormatPr defaultRowHeight="12" x14ac:dyDescent="0.2"/>
  <cols>
    <col min="1" max="1" width="30.375" style="7" customWidth="1"/>
    <col min="2" max="2" width="12.625" style="7" customWidth="1"/>
    <col min="3" max="3" width="10.25" style="7" customWidth="1"/>
    <col min="4" max="5" width="8.5" style="7" customWidth="1"/>
    <col min="6" max="6" width="9.625" style="7" customWidth="1"/>
    <col min="7" max="7" width="10.125" style="7" customWidth="1"/>
    <col min="8" max="16384" width="9" style="7"/>
  </cols>
  <sheetData>
    <row r="1" spans="1:7" x14ac:dyDescent="0.2">
      <c r="A1" s="40" t="s">
        <v>393</v>
      </c>
      <c r="B1" s="40"/>
      <c r="C1" s="40"/>
      <c r="D1" s="40"/>
      <c r="E1" s="40"/>
      <c r="F1" s="40"/>
      <c r="G1" s="40"/>
    </row>
    <row r="2" spans="1:7" x14ac:dyDescent="0.2">
      <c r="A2" s="110"/>
    </row>
    <row r="3" spans="1:7" ht="55.5" customHeight="1" x14ac:dyDescent="0.2">
      <c r="A3" s="8"/>
      <c r="B3" s="9" t="s">
        <v>329</v>
      </c>
      <c r="C3" s="10"/>
      <c r="D3" s="9" t="s">
        <v>108</v>
      </c>
      <c r="E3" s="10"/>
      <c r="F3" s="11" t="s">
        <v>120</v>
      </c>
      <c r="G3" s="12"/>
    </row>
    <row r="4" spans="1:7" ht="21" customHeight="1" x14ac:dyDescent="0.2">
      <c r="A4" s="13"/>
      <c r="B4" s="14" t="s">
        <v>327</v>
      </c>
      <c r="C4" s="15" t="s">
        <v>394</v>
      </c>
      <c r="D4" s="16" t="s">
        <v>330</v>
      </c>
      <c r="E4" s="16"/>
      <c r="F4" s="16" t="s">
        <v>385</v>
      </c>
      <c r="G4" s="9"/>
    </row>
    <row r="5" spans="1:7" ht="33.75" customHeight="1" x14ac:dyDescent="0.2">
      <c r="A5" s="17"/>
      <c r="B5" s="18"/>
      <c r="C5" s="19"/>
      <c r="D5" s="20">
        <v>2020</v>
      </c>
      <c r="E5" s="20">
        <v>2021</v>
      </c>
      <c r="F5" s="20">
        <v>2020</v>
      </c>
      <c r="G5" s="21">
        <v>2021</v>
      </c>
    </row>
    <row r="6" spans="1:7" x14ac:dyDescent="0.2">
      <c r="A6" s="22" t="s">
        <v>129</v>
      </c>
      <c r="B6" s="23">
        <v>2676670.8323499998</v>
      </c>
      <c r="C6" s="24">
        <f>IF(1980077.64559="","-",2676670.83235/1980077.64559*100)</f>
        <v>135.18009449333675</v>
      </c>
      <c r="D6" s="24">
        <v>100</v>
      </c>
      <c r="E6" s="24">
        <v>100</v>
      </c>
      <c r="F6" s="24">
        <f>IF(2362843.47408="","-",(1980077.64559-2362843.47408)/2362843.47408*100)</f>
        <v>-16.199373030371138</v>
      </c>
      <c r="G6" s="24">
        <f>IF(1980077.64559="","-",(2676670.83235-1980077.64559)/1980077.64559*100)</f>
        <v>35.180094493336753</v>
      </c>
    </row>
    <row r="7" spans="1:7" x14ac:dyDescent="0.2">
      <c r="A7" s="111" t="s">
        <v>133</v>
      </c>
      <c r="B7" s="26"/>
      <c r="C7" s="27"/>
      <c r="D7" s="27"/>
      <c r="E7" s="27"/>
      <c r="F7" s="27"/>
      <c r="G7" s="27"/>
    </row>
    <row r="8" spans="1:7" ht="16.5" customHeight="1" x14ac:dyDescent="0.2">
      <c r="A8" s="28" t="s">
        <v>147</v>
      </c>
      <c r="B8" s="29">
        <v>1267135.0485700001</v>
      </c>
      <c r="C8" s="30">
        <f>IF(926587.86047="","-",1267135.04857/926587.86047*100)</f>
        <v>136.75282211524572</v>
      </c>
      <c r="D8" s="30">
        <f>IF(926587.86047="","-",926587.86047/1980077.64559*100)</f>
        <v>46.795531606231847</v>
      </c>
      <c r="E8" s="30">
        <f>IF(1267135.04857="","-",1267135.04857/2676670.83235*100)</f>
        <v>47.339965499512353</v>
      </c>
      <c r="F8" s="30">
        <f>IF(2362843.47408="","-",(926587.86047-1141270.32451)/2362843.47408*100)</f>
        <v>-9.0857674829090858</v>
      </c>
      <c r="G8" s="30">
        <f>IF(1980077.64559="","-",(1267135.04857-926587.86047)/1980077.64559*100)</f>
        <v>17.198678489121971</v>
      </c>
    </row>
    <row r="9" spans="1:7" x14ac:dyDescent="0.2">
      <c r="A9" s="31" t="s">
        <v>2</v>
      </c>
      <c r="B9" s="32">
        <v>334298.71833</v>
      </c>
      <c r="C9" s="33">
        <f>IF(OR(247500.3249="",334298.71833=""),"-",334298.71833/247500.3249*100)</f>
        <v>135.07001191415407</v>
      </c>
      <c r="D9" s="33">
        <f>IF(247500.3249="","-",247500.3249/1980077.64559*100)</f>
        <v>12.499526240863791</v>
      </c>
      <c r="E9" s="33">
        <f>IF(334298.71833="","-",334298.71833/2676670.83235*100)</f>
        <v>12.489347374719975</v>
      </c>
      <c r="F9" s="33">
        <f>IF(OR(2362843.47408="",329935.3633="",247500.3249=""),"-",(247500.3249-329935.3633)/2362843.47408*100)</f>
        <v>-3.4888065715862551</v>
      </c>
      <c r="G9" s="33">
        <f>IF(OR(1980077.64559="",334298.71833="",247500.3249=""),"-",(334298.71833-247500.3249)/1980077.64559*100)</f>
        <v>4.3835853418837436</v>
      </c>
    </row>
    <row r="10" spans="1:7" s="36" customFormat="1" x14ac:dyDescent="0.2">
      <c r="A10" s="31" t="s">
        <v>4</v>
      </c>
      <c r="B10" s="32">
        <v>226989.41383</v>
      </c>
      <c r="C10" s="33">
        <f>IF(OR(162332.04308="",226989.41383=""),"-",226989.41383/162332.04308*100)</f>
        <v>139.83031909364669</v>
      </c>
      <c r="D10" s="33">
        <f>IF(162332.04308="","-",162332.04308/1980077.64559*100)</f>
        <v>8.1982665397765366</v>
      </c>
      <c r="E10" s="33">
        <f>IF(226989.41383="","-",226989.41383/2676670.83235*100)</f>
        <v>8.4802886887183373</v>
      </c>
      <c r="F10" s="33">
        <f>IF(OR(2362843.47408="",199354.62937="",162332.04308=""),"-",(162332.04308-199354.62937)/2362843.47408*100)</f>
        <v>-1.5668657994544124</v>
      </c>
      <c r="G10" s="33">
        <f>IF(OR(1980077.64559="",226989.41383="",162332.04308=""),"-",(226989.41383-162332.04308)/1980077.64559*100)</f>
        <v>3.2653957229406609</v>
      </c>
    </row>
    <row r="11" spans="1:7" s="36" customFormat="1" x14ac:dyDescent="0.2">
      <c r="A11" s="31" t="s">
        <v>3</v>
      </c>
      <c r="B11" s="32">
        <v>178257.73248999999</v>
      </c>
      <c r="C11" s="33">
        <f>IF(OR(125493.89063="",178257.73249=""),"-",178257.73249/125493.89063*100)</f>
        <v>142.0449486386284</v>
      </c>
      <c r="D11" s="33">
        <f>IF(125493.89063="","-",125493.89063/1980077.64559*100)</f>
        <v>6.3378267468196583</v>
      </c>
      <c r="E11" s="33">
        <f>IF(178257.73249="","-",178257.73249/2676670.83235*100)</f>
        <v>6.6596807622212371</v>
      </c>
      <c r="F11" s="33">
        <f>IF(OR(2362843.47408="",164977.28889="",125493.89063=""),"-",(125493.89063-164977.28889)/2362843.47408*100)</f>
        <v>-1.6710120112959792</v>
      </c>
      <c r="G11" s="33">
        <f>IF(OR(1980077.64559="",178257.73249="",125493.89063=""),"-",(178257.73249-125493.89063)/1980077.64559*100)</f>
        <v>2.6647360005055791</v>
      </c>
    </row>
    <row r="12" spans="1:7" s="36" customFormat="1" x14ac:dyDescent="0.2">
      <c r="A12" s="31" t="s">
        <v>5</v>
      </c>
      <c r="B12" s="32">
        <v>103740.44189</v>
      </c>
      <c r="C12" s="33">
        <f>IF(OR(76501.5434="",103740.44189=""),"-",103740.44189/76501.5434*100)</f>
        <v>135.6056849043911</v>
      </c>
      <c r="D12" s="33">
        <f>IF(76501.5434="","-",76501.5434/1980077.64559*100)</f>
        <v>3.8635628037306065</v>
      </c>
      <c r="E12" s="33">
        <f>IF(103740.44189="","-",103740.44189/2676670.83235*100)</f>
        <v>3.8757265419491436</v>
      </c>
      <c r="F12" s="33">
        <f>IF(OR(2362843.47408="",76876.47591="",76501.5434=""),"-",(76501.5434-76876.47591)/2362843.47408*100)</f>
        <v>-1.5867852192197496E-2</v>
      </c>
      <c r="G12" s="33">
        <f>IF(OR(1980077.64559="",103740.44189="",76501.5434=""),"-",(103740.44189-76501.5434)/1980077.64559*100)</f>
        <v>1.3756479979795784</v>
      </c>
    </row>
    <row r="13" spans="1:7" s="36" customFormat="1" x14ac:dyDescent="0.2">
      <c r="A13" s="31" t="s">
        <v>123</v>
      </c>
      <c r="B13" s="32">
        <v>74487.868669999996</v>
      </c>
      <c r="C13" s="33">
        <f>IF(OR(57994.27069="",74487.86867=""),"-",74487.86867/57994.27069*100)</f>
        <v>128.44004723874215</v>
      </c>
      <c r="D13" s="33">
        <f>IF(57994.27069="","-",57994.27069/1980077.64559*100)</f>
        <v>2.9288887139938167</v>
      </c>
      <c r="E13" s="33">
        <f>IF(74487.86867="","-",74487.86867/2676670.83235*100)</f>
        <v>2.7828550216091723</v>
      </c>
      <c r="F13" s="33">
        <f>IF(OR(2362843.47408="",65411.75334="",57994.27069=""),"-",(57994.27069-65411.75334)/2362843.47408*100)</f>
        <v>-0.31392187977614922</v>
      </c>
      <c r="G13" s="33">
        <f>IF(OR(1980077.64559="",74487.86867="",57994.27069=""),"-",(74487.86867-57994.27069)/1980077.64559*100)</f>
        <v>0.83297733383002925</v>
      </c>
    </row>
    <row r="14" spans="1:7" s="36" customFormat="1" x14ac:dyDescent="0.2">
      <c r="A14" s="31" t="s">
        <v>42</v>
      </c>
      <c r="B14" s="32">
        <v>53571.083989999999</v>
      </c>
      <c r="C14" s="33">
        <f>IF(OR(42298.46556="",53571.08399=""),"-",53571.08399/42298.46556*100)</f>
        <v>126.65018288668153</v>
      </c>
      <c r="D14" s="33">
        <f>IF(42298.46556="","-",42298.46556/1980077.64559*100)</f>
        <v>2.1362023683367424</v>
      </c>
      <c r="E14" s="33">
        <f>IF(53571.08399="","-",53571.08399/2676670.83235*100)</f>
        <v>2.0014072459917283</v>
      </c>
      <c r="F14" s="33">
        <f>IF(OR(2362843.47408="",47277.86911="",42298.46556=""),"-",(42298.46556-47277.86911)/2362843.47408*100)</f>
        <v>-0.21073776594273938</v>
      </c>
      <c r="G14" s="33">
        <f>IF(OR(1980077.64559="",53571.08399="",42298.46556=""),"-",(53571.08399-42298.46556)/1980077.64559*100)</f>
        <v>0.56930183799136425</v>
      </c>
    </row>
    <row r="15" spans="1:7" s="36" customFormat="1" x14ac:dyDescent="0.2">
      <c r="A15" s="31" t="s">
        <v>7</v>
      </c>
      <c r="B15" s="32">
        <v>46503.143620000003</v>
      </c>
      <c r="C15" s="33">
        <f>IF(OR(31546.1199="",46503.14362=""),"-",46503.14362/31546.1199*100)</f>
        <v>147.41319619469272</v>
      </c>
      <c r="D15" s="33">
        <f>IF(31546.1199="","-",31546.1199/1980077.64559*100)</f>
        <v>1.5931759024833725</v>
      </c>
      <c r="E15" s="33">
        <f>IF(46503.14362="","-",46503.14362/2676670.83235*100)</f>
        <v>1.7373501088728298</v>
      </c>
      <c r="F15" s="33">
        <f>IF(OR(2362843.47408="",44984.27509="",31546.1199=""),"-",(31546.1199-44984.27509)/2362843.47408*100)</f>
        <v>-0.56872811667020395</v>
      </c>
      <c r="G15" s="33">
        <f>IF(OR(1980077.64559="",46503.14362="",31546.1199=""),"-",(46503.14362-31546.1199)/1980077.64559*100)</f>
        <v>0.75537561637100781</v>
      </c>
    </row>
    <row r="16" spans="1:7" s="36" customFormat="1" x14ac:dyDescent="0.2">
      <c r="A16" s="31" t="s">
        <v>8</v>
      </c>
      <c r="B16" s="32">
        <v>39008.303769999999</v>
      </c>
      <c r="C16" s="33" t="s">
        <v>103</v>
      </c>
      <c r="D16" s="33">
        <f>IF(23105.27501="","-",23105.27501/1980077.64559*100)</f>
        <v>1.1668873218916305</v>
      </c>
      <c r="E16" s="33">
        <f>IF(39008.30377="","-",39008.30377/2676670.83235*100)</f>
        <v>1.4573440745327813</v>
      </c>
      <c r="F16" s="33">
        <f>IF(OR(2362843.47408="",38420.85678="",23105.27501=""),"-",(23105.27501-38420.85678)/2362843.47408*100)</f>
        <v>-0.64818435660293994</v>
      </c>
      <c r="G16" s="33">
        <f>IF(OR(1980077.64559="",39008.30377="",23105.27501=""),"-",(39008.30377-23105.27501)/1980077.64559*100)</f>
        <v>0.80315177515482739</v>
      </c>
    </row>
    <row r="17" spans="1:7" s="36" customFormat="1" x14ac:dyDescent="0.2">
      <c r="A17" s="31" t="s">
        <v>40</v>
      </c>
      <c r="B17" s="32">
        <v>38616.042309999997</v>
      </c>
      <c r="C17" s="33">
        <f>IF(OR(31225.79153="",38616.04231=""),"-",38616.04231/31225.79153*100)</f>
        <v>123.6671367414333</v>
      </c>
      <c r="D17" s="33">
        <f>IF(31225.79153="","-",31225.79153/1980077.64559*100)</f>
        <v>1.5769983363806781</v>
      </c>
      <c r="E17" s="33">
        <f>IF(38616.04231="","-",38616.04231/2676670.83235*100)</f>
        <v>1.4426892482740137</v>
      </c>
      <c r="F17" s="33">
        <f>IF(OR(2362843.47408="",35188.76246="",31225.79153=""),"-",(31225.79153-35188.76246)/2362843.47408*100)</f>
        <v>-0.16772041709377414</v>
      </c>
      <c r="G17" s="33">
        <f>IF(OR(1980077.64559="",38616.04231="",31225.79153=""),"-",(38616.04231-31225.79153)/1980077.64559*100)</f>
        <v>0.37323035268134341</v>
      </c>
    </row>
    <row r="18" spans="1:7" s="36" customFormat="1" x14ac:dyDescent="0.2">
      <c r="A18" s="31" t="s">
        <v>6</v>
      </c>
      <c r="B18" s="32">
        <v>30084.550090000001</v>
      </c>
      <c r="C18" s="33">
        <f>IF(OR(21458.62221="",30084.55009=""),"-",30084.55009/21458.62221*100)</f>
        <v>140.19795770475983</v>
      </c>
      <c r="D18" s="33">
        <f>IF(21458.62221="","-",21458.62221/1980077.64559*100)</f>
        <v>1.0837263002181925</v>
      </c>
      <c r="E18" s="33">
        <f>IF(30084.55009="","-",30084.55009/2676670.83235*100)</f>
        <v>1.1239540449427277</v>
      </c>
      <c r="F18" s="33">
        <f>IF(OR(2362843.47408="",18846.74539="",21458.62221=""),"-",(21458.62221-18846.74539)/2362843.47408*100)</f>
        <v>0.11053956170401703</v>
      </c>
      <c r="G18" s="33">
        <f>IF(OR(1980077.64559="",30084.55009="",21458.62221=""),"-",(30084.55009-21458.62221)/1980077.64559*100)</f>
        <v>0.43563583979706749</v>
      </c>
    </row>
    <row r="19" spans="1:7" s="36" customFormat="1" x14ac:dyDescent="0.2">
      <c r="A19" s="31" t="s">
        <v>10</v>
      </c>
      <c r="B19" s="32">
        <v>28665.47867</v>
      </c>
      <c r="C19" s="33">
        <f>IF(OR(21569.78722="",28665.47867=""),"-",28665.47867/21569.78722*100)</f>
        <v>132.8964369357372</v>
      </c>
      <c r="D19" s="33">
        <f>IF(21569.78722="","-",21569.78722/1980077.64559*100)</f>
        <v>1.0893404745031041</v>
      </c>
      <c r="E19" s="33">
        <f>IF(28665.47867="","-",28665.47867/2676670.83235*100)</f>
        <v>1.0709377605774919</v>
      </c>
      <c r="F19" s="33">
        <f>IF(OR(2362843.47408="",24435.09942="",21569.78722=""),"-",(21569.78722-24435.09942)/2362843.47408*100)</f>
        <v>-0.1212654258071683</v>
      </c>
      <c r="G19" s="33">
        <f>IF(OR(1980077.64559="",28665.47867="",21569.78722=""),"-",(28665.47867-21569.78722)/1980077.64559*100)</f>
        <v>0.35835420221037401</v>
      </c>
    </row>
    <row r="20" spans="1:7" s="36" customFormat="1" ht="15.75" customHeight="1" x14ac:dyDescent="0.2">
      <c r="A20" s="31" t="s">
        <v>41</v>
      </c>
      <c r="B20" s="32">
        <v>19204.12948</v>
      </c>
      <c r="C20" s="33">
        <f>IF(OR(15271.67034="",19204.12948=""),"-",19204.12948/15271.67034*100)</f>
        <v>125.75002637203336</v>
      </c>
      <c r="D20" s="33">
        <f>IF(15271.67034="","-",15271.67034/1980077.64559*100)</f>
        <v>0.77126623665555949</v>
      </c>
      <c r="E20" s="33">
        <f>IF(19204.12948="","-",19204.12948/2676670.83235*100)</f>
        <v>0.71746324754992807</v>
      </c>
      <c r="F20" s="33">
        <f>IF(OR(2362843.47408="",17264.31821="",15271.67034=""),"-",(15271.67034-17264.31821)/2362843.47408*100)</f>
        <v>-8.4332622615887018E-2</v>
      </c>
      <c r="G20" s="33">
        <f>IF(OR(1980077.64559="",19204.12948="",15271.67034=""),"-",(19204.12948-15271.67034)/1980077.64559*100)</f>
        <v>0.19860125933739589</v>
      </c>
    </row>
    <row r="21" spans="1:7" s="36" customFormat="1" x14ac:dyDescent="0.2">
      <c r="A21" s="31" t="s">
        <v>44</v>
      </c>
      <c r="B21" s="32">
        <v>14328.412120000001</v>
      </c>
      <c r="C21" s="33" t="s">
        <v>104</v>
      </c>
      <c r="D21" s="33">
        <f>IF(9225.2112="","-",9225.2112/1980077.64559*100)</f>
        <v>0.46590148727481745</v>
      </c>
      <c r="E21" s="33">
        <f>IF(14328.41212="","-",14328.41212/2676670.83235*100)</f>
        <v>0.53530721621904787</v>
      </c>
      <c r="F21" s="33">
        <f>IF(OR(2362843.47408="",14103.86159="",9225.2112=""),"-",(9225.2112-14103.86159)/2362843.47408*100)</f>
        <v>-0.20647370185617389</v>
      </c>
      <c r="G21" s="33">
        <f>IF(OR(1980077.64559="",14328.41212="",9225.2112=""),"-",(14328.41212-9225.2112)/1980077.64559*100)</f>
        <v>0.25772731343974192</v>
      </c>
    </row>
    <row r="22" spans="1:7" s="36" customFormat="1" x14ac:dyDescent="0.2">
      <c r="A22" s="31" t="s">
        <v>52</v>
      </c>
      <c r="B22" s="32">
        <v>12582.788710000001</v>
      </c>
      <c r="C22" s="33">
        <f>IF(OR(9838.54073="",12582.78871=""),"-",12582.78871/9838.54073*100)</f>
        <v>127.89283548557306</v>
      </c>
      <c r="D22" s="33">
        <f>IF(9838.54073="","-",9838.54073/1980077.64559*100)</f>
        <v>0.49687651147985301</v>
      </c>
      <c r="E22" s="33">
        <f>IF(12582.78871="","-",12582.78871/2676670.83235*100)</f>
        <v>0.47009100102730461</v>
      </c>
      <c r="F22" s="33">
        <f>IF(OR(2362843.47408="",9332.43319="",9838.54073=""),"-",(9838.54073-9332.43319)/2362843.47408*100)</f>
        <v>2.1419427293932772E-2</v>
      </c>
      <c r="G22" s="33">
        <f>IF(OR(1980077.64559="",12582.78871="",9838.54073=""),"-",(12582.78871-9838.54073)/1980077.64559*100)</f>
        <v>0.13859294791353002</v>
      </c>
    </row>
    <row r="23" spans="1:7" s="36" customFormat="1" x14ac:dyDescent="0.2">
      <c r="A23" s="31" t="s">
        <v>51</v>
      </c>
      <c r="B23" s="32">
        <v>11691.26519</v>
      </c>
      <c r="C23" s="33" t="s">
        <v>104</v>
      </c>
      <c r="D23" s="33">
        <f>IF(7127.8818="","-",7127.8818/1980077.64559*100)</f>
        <v>0.35997991371071303</v>
      </c>
      <c r="E23" s="33">
        <f>IF(11691.26519="","-",11691.26519/2676670.83235*100)</f>
        <v>0.4367838229751837</v>
      </c>
      <c r="F23" s="33">
        <f>IF(OR(2362843.47408="",7214.12192="",7127.8818=""),"-",(7127.8818-7214.12192)/2362843.47408*100)</f>
        <v>-3.6498448139303027E-3</v>
      </c>
      <c r="G23" s="33">
        <f>IF(OR(1980077.64559="",11691.26519="",7127.8818=""),"-",(11691.26519-7127.8818)/1980077.64559*100)</f>
        <v>0.23046487091874912</v>
      </c>
    </row>
    <row r="24" spans="1:7" s="36" customFormat="1" x14ac:dyDescent="0.2">
      <c r="A24" s="31" t="s">
        <v>9</v>
      </c>
      <c r="B24" s="32">
        <v>11546.221</v>
      </c>
      <c r="C24" s="33">
        <f>IF(OR(9878.45228="",11546.221=""),"-",11546.221/9878.45228*100)</f>
        <v>116.8828949386796</v>
      </c>
      <c r="D24" s="33">
        <f>IF(9878.45228="","-",9878.45228/1980077.64559*100)</f>
        <v>0.49889216728450742</v>
      </c>
      <c r="E24" s="33">
        <f>IF(11546.221="","-",11546.221/2676670.83235*100)</f>
        <v>0.43136499492031016</v>
      </c>
      <c r="F24" s="33">
        <f>IF(OR(2362843.47408="",8356.53673="",9878.45228=""),"-",(9878.45228-8356.53673)/2362843.47408*100)</f>
        <v>6.4410341467607157E-2</v>
      </c>
      <c r="G24" s="33">
        <f>IF(OR(1980077.64559="",11546.221="",9878.45228=""),"-",(11546.221-9878.45228)/1980077.64559*100)</f>
        <v>8.4227440459945097E-2</v>
      </c>
    </row>
    <row r="25" spans="1:7" s="36" customFormat="1" x14ac:dyDescent="0.2">
      <c r="A25" s="31" t="s">
        <v>50</v>
      </c>
      <c r="B25" s="32">
        <v>10780.866770000001</v>
      </c>
      <c r="C25" s="33">
        <f>IF(OR(7474.79991="",10780.86677=""),"-",10780.86677/7474.79991*100)</f>
        <v>144.22950312793057</v>
      </c>
      <c r="D25" s="33">
        <f>IF(7474.79991="","-",7474.79991/1980077.64559*100)</f>
        <v>0.37750034331470611</v>
      </c>
      <c r="E25" s="33">
        <f>IF(10780.86677="","-",10780.86677/2676670.83235*100)</f>
        <v>0.40277148163694348</v>
      </c>
      <c r="F25" s="33">
        <f>IF(OR(2362843.47408="",10215.84397="",7474.79991=""),"-",(7474.79991-10215.84397)/2362843.47408*100)</f>
        <v>-0.11600616333958629</v>
      </c>
      <c r="G25" s="33">
        <f>IF(OR(1980077.64559="",10780.86677="",7474.79991=""),"-",(10780.86677-7474.79991)/1980077.64559*100)</f>
        <v>0.16696652615432656</v>
      </c>
    </row>
    <row r="26" spans="1:7" s="36" customFormat="1" x14ac:dyDescent="0.2">
      <c r="A26" s="31" t="s">
        <v>48</v>
      </c>
      <c r="B26" s="32">
        <v>6817.6734200000001</v>
      </c>
      <c r="C26" s="33">
        <f>IF(OR(5254.32328="",6817.67342=""),"-",6817.67342/5254.32328*100)</f>
        <v>129.75359635656071</v>
      </c>
      <c r="D26" s="33">
        <f>IF(5254.32328="","-",5254.32328/1980077.64559*100)</f>
        <v>0.26535945656991544</v>
      </c>
      <c r="E26" s="33">
        <f>IF(6817.67342="","-",6817.67342/2676670.83235*100)</f>
        <v>0.2547072033513505</v>
      </c>
      <c r="F26" s="33">
        <f>IF(OR(2362843.47408="",5133.56742="",5254.32328=""),"-",(5254.32328-5133.56742)/2362843.47408*100)</f>
        <v>5.1106161421469939E-3</v>
      </c>
      <c r="G26" s="33">
        <f>IF(OR(1980077.64559="",6817.67342="",5254.32328=""),"-",(6817.67342-5254.32328)/1980077.64559*100)</f>
        <v>7.8953981601775622E-2</v>
      </c>
    </row>
    <row r="27" spans="1:7" s="36" customFormat="1" x14ac:dyDescent="0.2">
      <c r="A27" s="31" t="s">
        <v>45</v>
      </c>
      <c r="B27" s="32">
        <v>6446.2651400000004</v>
      </c>
      <c r="C27" s="33" t="s">
        <v>229</v>
      </c>
      <c r="D27" s="33">
        <f>IF(4264.69189="","-",4264.69189/1980077.64559*100)</f>
        <v>0.21538003317689383</v>
      </c>
      <c r="E27" s="33">
        <f>IF(6446.26514="","-",6446.26514/2676670.83235*100)</f>
        <v>0.24083144860739045</v>
      </c>
      <c r="F27" s="33">
        <f>IF(OR(2362843.47408="",4444.85408="",4264.69189=""),"-",(4264.69189-4444.85408)/2362843.47408*100)</f>
        <v>-7.6248042655533161E-3</v>
      </c>
      <c r="G27" s="33">
        <f>IF(OR(1980077.64559="",6446.26514="",4264.69189=""),"-",(6446.26514-4264.69189)/1980077.64559*100)</f>
        <v>0.11017614662024837</v>
      </c>
    </row>
    <row r="28" spans="1:7" s="36" customFormat="1" x14ac:dyDescent="0.2">
      <c r="A28" s="31" t="s">
        <v>49</v>
      </c>
      <c r="B28" s="32">
        <v>5120.02657</v>
      </c>
      <c r="C28" s="33">
        <f>IF(OR(4059.90268="",5120.02657=""),"-",5120.02657/4059.90268*100)</f>
        <v>126.11205177952689</v>
      </c>
      <c r="D28" s="33">
        <f>IF(4059.90268="","-",4059.90268/1980077.64559*100)</f>
        <v>0.2050375493628826</v>
      </c>
      <c r="E28" s="33">
        <f>IF(5120.02657="","-",5120.02657/2676670.83235*100)</f>
        <v>0.19128338487197699</v>
      </c>
      <c r="F28" s="33">
        <f>IF(OR(2362843.47408="",5403.57141="",4059.90268=""),"-",(4059.90268-5403.57141)/2362843.47408*100)</f>
        <v>-5.6866599279208375E-2</v>
      </c>
      <c r="G28" s="33">
        <f>IF(OR(1980077.64559="",5120.02657="",4059.90268=""),"-",(5120.02657-4059.90268)/1980077.64559*100)</f>
        <v>5.3539511057108913E-2</v>
      </c>
    </row>
    <row r="29" spans="1:7" s="36" customFormat="1" x14ac:dyDescent="0.2">
      <c r="A29" s="31" t="s">
        <v>43</v>
      </c>
      <c r="B29" s="32">
        <v>4221.3917499999998</v>
      </c>
      <c r="C29" s="33">
        <f>IF(OR(5823.09794="",4221.39175=""),"-",4221.39175/5823.09794*100)</f>
        <v>72.493916356831875</v>
      </c>
      <c r="D29" s="33">
        <f>IF(5823.09794="","-",5823.09794/1980077.64559*100)</f>
        <v>0.29408432305516491</v>
      </c>
      <c r="E29" s="33">
        <f>IF(4221.39175="","-",4221.39175/2676670.83235*100)</f>
        <v>0.15771052977380123</v>
      </c>
      <c r="F29" s="33">
        <f>IF(OR(2362843.47408="",6721.96451="",5823.09794=""),"-",(5823.09794-6721.96451)/2362843.47408*100)</f>
        <v>-3.8041731492602746E-2</v>
      </c>
      <c r="G29" s="33">
        <f>IF(OR(1980077.64559="",4221.39175="",5823.09794=""),"-",(4221.39175-5823.09794)/1980077.64559*100)</f>
        <v>-8.0891079880998418E-2</v>
      </c>
    </row>
    <row r="30" spans="1:7" s="36" customFormat="1" x14ac:dyDescent="0.2">
      <c r="A30" s="31" t="s">
        <v>124</v>
      </c>
      <c r="B30" s="32">
        <v>3177.7665699999998</v>
      </c>
      <c r="C30" s="33" t="s">
        <v>216</v>
      </c>
      <c r="D30" s="33">
        <f>IF(1794.10832="","-",1794.10832/1980077.64559*100)</f>
        <v>9.0607978126302863E-2</v>
      </c>
      <c r="E30" s="33">
        <f>IF(3177.76657="","-",3177.76657/2676670.83235*100)</f>
        <v>0.11872085770105918</v>
      </c>
      <c r="F30" s="33">
        <f>IF(OR(2362843.47408="",2074.86438="",1794.10832=""),"-",(1794.10832-2074.86438)/2362843.47408*100)</f>
        <v>-1.188212689836831E-2</v>
      </c>
      <c r="G30" s="33">
        <f>IF(OR(1980077.64559="",3177.76657="",1794.10832=""),"-",(3177.76657-1794.10832)/1980077.64559*100)</f>
        <v>6.987898949728881E-2</v>
      </c>
    </row>
    <row r="31" spans="1:7" s="36" customFormat="1" x14ac:dyDescent="0.2">
      <c r="A31" s="31" t="s">
        <v>53</v>
      </c>
      <c r="B31" s="32">
        <v>2893.5479</v>
      </c>
      <c r="C31" s="33">
        <f>IF(OR(3463.71223="",2893.5479=""),"-",2893.5479/3463.71223*100)</f>
        <v>83.538923208987242</v>
      </c>
      <c r="D31" s="33">
        <f>IF(3463.71223="","-",3463.71223/1980077.64559*100)</f>
        <v>0.17492810131533626</v>
      </c>
      <c r="E31" s="33">
        <f>IF(2893.5479="","-",2893.5479/2676670.83235*100)</f>
        <v>0.10810249303085173</v>
      </c>
      <c r="F31" s="33">
        <f>IF(OR(2362843.47408="",2445.15612="",3463.71223=""),"-",(3463.71223-2445.15612)/2362843.47408*100)</f>
        <v>4.3107218957725769E-2</v>
      </c>
      <c r="G31" s="33">
        <f>IF(OR(1980077.64559="",2893.5479="",3463.71223=""),"-",(2893.5479-3463.71223)/1980077.64559*100)</f>
        <v>-2.8795049086578078E-2</v>
      </c>
    </row>
    <row r="32" spans="1:7" s="36" customFormat="1" x14ac:dyDescent="0.2">
      <c r="A32" s="31" t="s">
        <v>46</v>
      </c>
      <c r="B32" s="32">
        <v>2476.0509400000001</v>
      </c>
      <c r="C32" s="33" t="s">
        <v>216</v>
      </c>
      <c r="D32" s="33">
        <f>IF(1388.57767="","-",1388.57767/1980077.64559*100)</f>
        <v>7.0127435310055622E-2</v>
      </c>
      <c r="E32" s="33">
        <f>IF(2476.05094="","-",2476.05094/2676670.83235*100)</f>
        <v>9.2504872473472416E-2</v>
      </c>
      <c r="F32" s="33">
        <f>IF(OR(2362843.47408="",1919.72853="",1388.57767=""),"-",(1388.57767-1919.72853)/2362843.47408*100)</f>
        <v>-2.2479307911278796E-2</v>
      </c>
      <c r="G32" s="33">
        <f>IF(OR(1980077.64559="",2476.05094="",1388.57767=""),"-",(2476.05094-1388.57767)/1980077.64559*100)</f>
        <v>5.4920738710525052E-2</v>
      </c>
    </row>
    <row r="33" spans="1:7" s="36" customFormat="1" x14ac:dyDescent="0.2">
      <c r="A33" s="31" t="s">
        <v>54</v>
      </c>
      <c r="B33" s="32">
        <v>1208.58816</v>
      </c>
      <c r="C33" s="33" t="s">
        <v>319</v>
      </c>
      <c r="D33" s="33">
        <f>IF(449.88361="","-",449.88361/1980077.64559*100)</f>
        <v>2.2720503461163461E-2</v>
      </c>
      <c r="E33" s="33">
        <f>IF(1208.58816="","-",1208.58816/2676670.83235*100)</f>
        <v>4.515266297944124E-2</v>
      </c>
      <c r="F33" s="33">
        <f>IF(OR(2362843.47408="",576.9096="",449.88361=""),"-",(449.88361-576.9096)/2362843.47408*100)</f>
        <v>-5.3759798900542485E-3</v>
      </c>
      <c r="G33" s="33">
        <f>IF(OR(1980077.64559="",1208.58816="",449.88361=""),"-",(1208.58816-449.88361)/1980077.64559*100)</f>
        <v>3.8316909020703088E-2</v>
      </c>
    </row>
    <row r="34" spans="1:7" s="36" customFormat="1" x14ac:dyDescent="0.2">
      <c r="A34" s="31" t="s">
        <v>47</v>
      </c>
      <c r="B34" s="32">
        <v>337.56725</v>
      </c>
      <c r="C34" s="33" t="s">
        <v>229</v>
      </c>
      <c r="D34" s="33">
        <f>IF(222.59382="","-",222.59382/1980077.64559*100)</f>
        <v>1.1241671279697423E-2</v>
      </c>
      <c r="E34" s="33">
        <f>IF(337.56725="","-",337.56725/2676670.83235*100)</f>
        <v>1.2611459202237083E-2</v>
      </c>
      <c r="F34" s="33">
        <f>IF(OR(2362843.47408="",305.84194="",222.59382=""),"-",(222.59382-305.84194)/2362843.47408*100)</f>
        <v>-3.5232177210728537E-3</v>
      </c>
      <c r="G34" s="33">
        <f>IF(OR(1980077.64559="",337.56725="",222.59382=""),"-",(337.56725-222.59382)/1980077.64559*100)</f>
        <v>5.8065111868752795E-3</v>
      </c>
    </row>
    <row r="35" spans="1:7" s="36" customFormat="1" x14ac:dyDescent="0.2">
      <c r="A35" s="31" t="s">
        <v>55</v>
      </c>
      <c r="B35" s="32">
        <v>62.880420000000001</v>
      </c>
      <c r="C35" s="33" t="s">
        <v>305</v>
      </c>
      <c r="D35" s="33">
        <f>IF(24.27864="","-",24.27864/1980077.64559*100)</f>
        <v>1.2261458561523095E-3</v>
      </c>
      <c r="E35" s="33">
        <f>IF(62.88042="","-",62.88042/2676670.83235*100)</f>
        <v>2.3492025705975114E-3</v>
      </c>
      <c r="F35" s="33">
        <f>IF(OR(2362843.47408="",47.63185="",24.27864=""),"-",(24.27864-47.63185)/2362843.47408*100)</f>
        <v>-9.8835196898063005E-4</v>
      </c>
      <c r="G35" s="33">
        <f>IF(OR(1980077.64559="",62.88042="",24.27864=""),"-",(62.88042-24.27864)/1980077.64559*100)</f>
        <v>1.9495083986213026E-3</v>
      </c>
    </row>
    <row r="36" spans="1:7" s="36" customFormat="1" ht="15.75" customHeight="1" x14ac:dyDescent="0.2">
      <c r="A36" s="31" t="s">
        <v>342</v>
      </c>
      <c r="B36" s="32">
        <v>16.829519999999999</v>
      </c>
      <c r="C36" s="33" t="str">
        <f>IF(OR(""="",16.82952=""),"-",16.82952/""*100)</f>
        <v>-</v>
      </c>
      <c r="D36" s="33" t="str">
        <f>IF(""="","-",""/1980077.64559*100)</f>
        <v>-</v>
      </c>
      <c r="E36" s="33">
        <f>IF(16.82952="","-",16.82952/2676670.83235*100)</f>
        <v>6.2874821201770324E-4</v>
      </c>
      <c r="F36" s="33" t="str">
        <f>IF(OR(2362843.47408="",""="",""=""),"-",(""-"")/2362843.47408*100)</f>
        <v>-</v>
      </c>
      <c r="G36" s="33" t="str">
        <f>IF(OR(1980077.64559="",16.82952="",""=""),"-",(16.82952-"")/1980077.64559*100)</f>
        <v>-</v>
      </c>
    </row>
    <row r="37" spans="1:7" s="36" customFormat="1" x14ac:dyDescent="0.2">
      <c r="A37" s="28" t="s">
        <v>217</v>
      </c>
      <c r="B37" s="29">
        <v>612250.29674999998</v>
      </c>
      <c r="C37" s="30">
        <f>IF(489776.31725="","-",612250.29675/489776.31725*100)</f>
        <v>125.0061048659249</v>
      </c>
      <c r="D37" s="30">
        <f>IF(489776.31725="","-",489776.31725/1980077.64559*100)</f>
        <v>24.735207649095109</v>
      </c>
      <c r="E37" s="30">
        <f>IF(612250.29675="","-",612250.29675/2676670.83235*100)</f>
        <v>22.873574492253539</v>
      </c>
      <c r="F37" s="30">
        <f>IF(2362843.47408="","-",(489776.31725-599803.89432)/2362843.47408*100)</f>
        <v>-4.6565749393467728</v>
      </c>
      <c r="G37" s="30">
        <f>IF(1980077.64559="","-",(612250.29675-489776.31725)/1980077.64559*100)</f>
        <v>6.1853119635369964</v>
      </c>
    </row>
    <row r="38" spans="1:7" s="36" customFormat="1" x14ac:dyDescent="0.2">
      <c r="A38" s="31" t="s">
        <v>125</v>
      </c>
      <c r="B38" s="32">
        <v>317194.03901000001</v>
      </c>
      <c r="C38" s="33">
        <f>IF(OR(255592.76009="",317194.03901=""),"-",317194.03901/255592.76009*100)</f>
        <v>124.10133952867398</v>
      </c>
      <c r="D38" s="33">
        <f>IF(255592.76009="","-",255592.76009/1980077.64559*100)</f>
        <v>12.908219061977313</v>
      </c>
      <c r="E38" s="33">
        <f>IF(317194.03901="","-",317194.03901/2676670.83235*100)</f>
        <v>11.850319253918776</v>
      </c>
      <c r="F38" s="33">
        <f>IF(OR(2362843.47408="",312371.0385="",255592.76009=""),"-",(255592.76009-312371.0385)/2362843.47408*100)</f>
        <v>-2.4029640148764955</v>
      </c>
      <c r="G38" s="33">
        <f>IF(OR(1980077.64559="",317194.03901="",255592.76009=""),"-",(317194.03901-255592.76009)/1980077.64559*100)</f>
        <v>3.1110537032321672</v>
      </c>
    </row>
    <row r="39" spans="1:7" s="36" customFormat="1" x14ac:dyDescent="0.2">
      <c r="A39" s="31" t="s">
        <v>12</v>
      </c>
      <c r="B39" s="32">
        <v>235158.95215</v>
      </c>
      <c r="C39" s="33">
        <f>IF(OR(183978.03421="",235158.95215=""),"-",235158.95215/183978.03421*100)</f>
        <v>127.81903728875589</v>
      </c>
      <c r="D39" s="33">
        <f>IF(183978.03421="","-",183978.03421/1980077.64559*100)</f>
        <v>9.2914555456829273</v>
      </c>
      <c r="E39" s="33">
        <f>IF(235158.95215="","-",235158.95215/2676670.83235*100)</f>
        <v>8.7855013514508506</v>
      </c>
      <c r="F39" s="33">
        <f>IF(OR(2362843.47408="",224151.43116="",183978.03421=""),"-",(183978.03421-224151.43116)/2362843.47408*100)</f>
        <v>-1.7002140594878787</v>
      </c>
      <c r="G39" s="33">
        <f>IF(OR(1980077.64559="",235158.95215="",183978.03421=""),"-",(235158.95215-183978.03421)/1980077.64559*100)</f>
        <v>2.5847934829217114</v>
      </c>
    </row>
    <row r="40" spans="1:7" s="36" customFormat="1" x14ac:dyDescent="0.2">
      <c r="A40" s="31" t="s">
        <v>11</v>
      </c>
      <c r="B40" s="32">
        <v>47485.198859999997</v>
      </c>
      <c r="C40" s="33">
        <f>IF(OR(37387.32916="",47485.19886=""),"-",47485.19886/37387.32916*100)</f>
        <v>127.00880198418535</v>
      </c>
      <c r="D40" s="33">
        <f>IF(37387.32916="","-",37387.32916/1980077.64559*100)</f>
        <v>1.8881749028008328</v>
      </c>
      <c r="E40" s="33">
        <f>IF(47485.19886="","-",47485.19886/2676670.83235*100)</f>
        <v>1.7740395377010207</v>
      </c>
      <c r="F40" s="33">
        <f>IF(OR(2362843.47408="",52775.92007="",37387.32916=""),"-",(37387.32916-52775.92007)/2362843.47408*100)</f>
        <v>-0.65127424134566181</v>
      </c>
      <c r="G40" s="33">
        <f>IF(OR(1980077.64559="",47485.19886="",37387.32916=""),"-",(47485.19886-37387.32916)/1980077.64559*100)</f>
        <v>0.50997342061256146</v>
      </c>
    </row>
    <row r="41" spans="1:7" s="36" customFormat="1" x14ac:dyDescent="0.2">
      <c r="A41" s="31" t="s">
        <v>13</v>
      </c>
      <c r="B41" s="32">
        <v>5729.5553900000004</v>
      </c>
      <c r="C41" s="33">
        <f>IF(OR(4302.81312="",5729.55539=""),"-",5729.55539/4302.81312*100)</f>
        <v>133.15836012882662</v>
      </c>
      <c r="D41" s="33">
        <f>IF(4302.81312="","-",4302.81312/1980077.64559*100)</f>
        <v>0.21730527232521221</v>
      </c>
      <c r="E41" s="33">
        <f>IF(5729.55539="","-",5729.55539/2676670.83235*100)</f>
        <v>0.21405528542221613</v>
      </c>
      <c r="F41" s="33">
        <f>IF(OR(2362843.47408="",3926.06436="",4302.81312=""),"-",(4302.81312-3926.06436)/2362843.47408*100)</f>
        <v>1.5944719323682299E-2</v>
      </c>
      <c r="G41" s="33">
        <f>IF(OR(1980077.64559="",5729.55539="",4302.81312=""),"-",(5729.55539-4302.81312)/1980077.64559*100)</f>
        <v>7.205486477652126E-2</v>
      </c>
    </row>
    <row r="42" spans="1:7" s="36" customFormat="1" x14ac:dyDescent="0.2">
      <c r="A42" s="31" t="s">
        <v>15</v>
      </c>
      <c r="B42" s="32">
        <v>4851.4644799999996</v>
      </c>
      <c r="C42" s="33" t="s">
        <v>103</v>
      </c>
      <c r="D42" s="33">
        <f>IF(2907.38094="","-",2907.38094/1980077.64559*100)</f>
        <v>0.14683166321660548</v>
      </c>
      <c r="E42" s="33">
        <f>IF(4851.46448="","-",4851.46448/2676670.83235*100)</f>
        <v>0.18124994756044119</v>
      </c>
      <c r="F42" s="33">
        <f>IF(OR(2362843.47408="",3891.74553="",2907.38094=""),"-",(2907.38094-3891.74553)/2362843.47408*100)</f>
        <v>-4.166016923246571E-2</v>
      </c>
      <c r="G42" s="33">
        <f>IF(OR(1980077.64559="",4851.46448="",2907.38094=""),"-",(4851.46448-2907.38094)/1980077.64559*100)</f>
        <v>9.8182187164722268E-2</v>
      </c>
    </row>
    <row r="43" spans="1:7" s="36" customFormat="1" x14ac:dyDescent="0.2">
      <c r="A43" s="31" t="s">
        <v>14</v>
      </c>
      <c r="B43" s="32">
        <v>703.62481000000002</v>
      </c>
      <c r="C43" s="33">
        <f>IF(OR(3811.42653="",703.62481=""),"-",703.62481/3811.42653*100)</f>
        <v>18.460930689906281</v>
      </c>
      <c r="D43" s="33">
        <f>IF(3811.42653="","-",3811.42653/1980077.64559*100)</f>
        <v>0.19248874095865651</v>
      </c>
      <c r="E43" s="33">
        <f>IF(703.62481="","-",703.62481/2676670.83235*100)</f>
        <v>2.6287311891176706E-2</v>
      </c>
      <c r="F43" s="33">
        <f>IF(OR(2362843.47408="",266.70501="",3811.42653=""),"-",(3811.42653-266.70501)/2362843.47408*100)</f>
        <v>0.15001931185391693</v>
      </c>
      <c r="G43" s="33">
        <f>IF(OR(1980077.64559="",703.62481="",3811.42653=""),"-",(703.62481-3811.42653)/1980077.64559*100)</f>
        <v>-0.1569535279044057</v>
      </c>
    </row>
    <row r="44" spans="1:7" s="36" customFormat="1" x14ac:dyDescent="0.2">
      <c r="A44" s="31" t="s">
        <v>16</v>
      </c>
      <c r="B44" s="32">
        <v>675.42695000000003</v>
      </c>
      <c r="C44" s="33">
        <f>IF(OR(1360.46958="",675.42695=""),"-",675.42695/1360.46958*100)</f>
        <v>49.646604373175329</v>
      </c>
      <c r="D44" s="33">
        <f>IF(1360.46958="","-",1360.46958/1980077.64559*100)</f>
        <v>6.8707890472377076E-2</v>
      </c>
      <c r="E44" s="33">
        <f>IF(675.42695="","-",675.42695/2676670.83235*100)</f>
        <v>2.5233844290334526E-2</v>
      </c>
      <c r="F44" s="33">
        <f>IF(OR(2362843.47408="",1943.0844="",1360.46958=""),"-",(1360.46958-1943.0844)/2362843.47408*100)</f>
        <v>-2.4657359930574652E-2</v>
      </c>
      <c r="G44" s="33">
        <f>IF(OR(1980077.64559="",675.42695="",1360.46958=""),"-",(675.42695-1360.46958)/1980077.64559*100)</f>
        <v>-3.4596755916401399E-2</v>
      </c>
    </row>
    <row r="45" spans="1:7" s="36" customFormat="1" x14ac:dyDescent="0.2">
      <c r="A45" s="31" t="s">
        <v>17</v>
      </c>
      <c r="B45" s="32">
        <v>368.08960999999999</v>
      </c>
      <c r="C45" s="33">
        <f>IF(OR(379.22349="",368.08961=""),"-",368.08961/379.22349*100)</f>
        <v>97.064032083033666</v>
      </c>
      <c r="D45" s="33">
        <f>IF(379.22349="","-",379.22349/1980077.64559*100)</f>
        <v>1.9151950472477735E-2</v>
      </c>
      <c r="E45" s="33">
        <f>IF(368.08961="","-",368.08961/2676670.83235*100)</f>
        <v>1.375176975634443E-2</v>
      </c>
      <c r="F45" s="33">
        <f>IF(OR(2362843.47408="",424.93483="",379.22349=""),"-",(379.22349-424.93483)/2362843.47408*100)</f>
        <v>-1.9345902723327106E-3</v>
      </c>
      <c r="G45" s="33">
        <f>IF(OR(1980077.64559="",368.08961="",379.22349=""),"-",(368.08961-379.22349)/1980077.64559*100)</f>
        <v>-5.6229512134522844E-4</v>
      </c>
    </row>
    <row r="46" spans="1:7" s="36" customFormat="1" x14ac:dyDescent="0.2">
      <c r="A46" s="31" t="s">
        <v>126</v>
      </c>
      <c r="B46" s="32">
        <v>69.940759999999997</v>
      </c>
      <c r="C46" s="33">
        <f>IF(OR(56.69462="",69.94076=""),"-",69.94076/56.69462*100)</f>
        <v>123.36401584488969</v>
      </c>
      <c r="D46" s="33">
        <f>IF(56.69462="","-",56.69462/1980077.64559*100)</f>
        <v>2.8632523641822548E-3</v>
      </c>
      <c r="E46" s="33">
        <f>IF(69.94076="","-",69.94076/2676670.83235*100)</f>
        <v>2.6129757590923151E-3</v>
      </c>
      <c r="F46" s="33">
        <f>IF(OR(2362843.47408="",52.90136="",56.69462=""),"-",(56.69462-52.90136)/2362843.47408*100)</f>
        <v>1.6053792989723759E-4</v>
      </c>
      <c r="G46" s="33">
        <f>IF(OR(1980077.64559="",69.94076="",56.69462=""),"-",(69.94076-56.69462)/1980077.64559*100)</f>
        <v>6.6897073604672049E-4</v>
      </c>
    </row>
    <row r="47" spans="1:7" s="36" customFormat="1" x14ac:dyDescent="0.2">
      <c r="A47" s="31" t="s">
        <v>18</v>
      </c>
      <c r="B47" s="32">
        <v>14.00473</v>
      </c>
      <c r="C47" s="33" t="s">
        <v>318</v>
      </c>
      <c r="D47" s="33">
        <f>IF(0.18551="","-",0.18551/1980077.64559*100)</f>
        <v>9.368824521258807E-6</v>
      </c>
      <c r="E47" s="33">
        <f>IF(14.00473="","-",14.00473/2676670.83235*100)</f>
        <v>5.2321450328296287E-4</v>
      </c>
      <c r="F47" s="33">
        <f>IF(OR(2362843.47408="",0.0691="",0.18551=""),"-",(0.18551-0.0691)/2362843.47408*100)</f>
        <v>4.9266911362093321E-6</v>
      </c>
      <c r="G47" s="33">
        <f>IF(OR(1980077.64559="",14.00473="",0.18551=""),"-",(14.00473-0.18551)/1980077.64559*100)</f>
        <v>6.9791303541949295E-4</v>
      </c>
    </row>
    <row r="48" spans="1:7" s="36" customFormat="1" x14ac:dyDescent="0.2">
      <c r="A48" s="28" t="s">
        <v>148</v>
      </c>
      <c r="B48" s="29">
        <v>797285.48702999996</v>
      </c>
      <c r="C48" s="30">
        <f>IF(563713.46787="","-",797285.48703/563713.46787*100)</f>
        <v>141.43452879395545</v>
      </c>
      <c r="D48" s="30">
        <f>IF(563713.46787="","-",563713.46787/1980077.64559*100)</f>
        <v>28.469260744673043</v>
      </c>
      <c r="E48" s="30">
        <f>IF(797285.48703="","-",797285.48703/2676670.83235*100)</f>
        <v>29.786460008234116</v>
      </c>
      <c r="F48" s="30">
        <f>IF(2362843.47408="","-",(563713.46787-621769.25525)/2362843.47408*100)</f>
        <v>-2.4570306081152782</v>
      </c>
      <c r="G48" s="30">
        <f>IF(1980077.64559="","-",(797285.48703-563713.46787)/1980077.64559*100)</f>
        <v>11.796104040677804</v>
      </c>
    </row>
    <row r="49" spans="1:7" s="36" customFormat="1" x14ac:dyDescent="0.2">
      <c r="A49" s="31" t="s">
        <v>59</v>
      </c>
      <c r="B49" s="32">
        <v>314686.67135000002</v>
      </c>
      <c r="C49" s="33">
        <f>IF(OR(210771.85422="",314686.67135=""),"-",314686.67135/210771.85422*100)</f>
        <v>149.30203679924719</v>
      </c>
      <c r="D49" s="33">
        <f>IF(210771.85422="","-",210771.85422/1980077.64559*100)</f>
        <v>10.644625714018236</v>
      </c>
      <c r="E49" s="33">
        <f>IF(314686.67135="","-",314686.67135/2676670.83235*100)</f>
        <v>11.756644393726923</v>
      </c>
      <c r="F49" s="33">
        <f>IF(OR(2362843.47408="",234155.67584="",210771.85422=""),"-",(210771.85422-234155.67584)/2362843.47408*100)</f>
        <v>-0.98964751057429889</v>
      </c>
      <c r="G49" s="33">
        <f>IF(OR(1980077.64559="",314686.67135="",210771.85422=""),"-",(314686.67135-210771.85422)/1980077.64559*100)</f>
        <v>5.2480172866673973</v>
      </c>
    </row>
    <row r="50" spans="1:7" s="36" customFormat="1" x14ac:dyDescent="0.2">
      <c r="A50" s="31" t="s">
        <v>56</v>
      </c>
      <c r="B50" s="32">
        <v>191435.71588999999</v>
      </c>
      <c r="C50" s="33">
        <f>IF(OR(134889.49293="",191435.71589=""),"-",191435.71589/134889.49293*100)</f>
        <v>141.92040590540606</v>
      </c>
      <c r="D50" s="33">
        <f>IF(134889.49293="","-",134889.49293/1980077.64559*100)</f>
        <v>6.8123335077502594</v>
      </c>
      <c r="E50" s="33">
        <f>IF(191435.71589="","-",191435.71589/2676670.83235*100)</f>
        <v>7.1520081429634672</v>
      </c>
      <c r="F50" s="33">
        <f>IF(OR(2362843.47408="",154691.72655="",134889.49293=""),"-",(134889.49293-154691.72655)/2362843.47408*100)</f>
        <v>-0.83806793963405513</v>
      </c>
      <c r="G50" s="33">
        <f>IF(OR(1980077.64559="",191435.71589="",134889.49293=""),"-",(191435.71589-134889.49293)/1980077.64559*100)</f>
        <v>2.8557578580788943</v>
      </c>
    </row>
    <row r="51" spans="1:7" s="36" customFormat="1" x14ac:dyDescent="0.2">
      <c r="A51" s="31" t="s">
        <v>19</v>
      </c>
      <c r="B51" s="32">
        <v>39594.986920000003</v>
      </c>
      <c r="C51" s="33">
        <f>IF(OR(27071.76981="",39594.98692=""),"-",39594.98692/27071.76981*100)</f>
        <v>146.25932178757694</v>
      </c>
      <c r="D51" s="33">
        <f>IF(27071.76981="","-",27071.76981/1980077.64559*100)</f>
        <v>1.3672074865495225</v>
      </c>
      <c r="E51" s="33">
        <f>IF(39594.98692="","-",39594.98692/2676670.83235*100)</f>
        <v>1.4792624644561669</v>
      </c>
      <c r="F51" s="33">
        <f>IF(OR(2362843.47408="",30082.26799="",27071.76981=""),"-",(27071.76981-30082.26799)/2362843.47408*100)</f>
        <v>-0.1274099707841278</v>
      </c>
      <c r="G51" s="33">
        <f>IF(OR(1980077.64559="",39594.98692="",27071.76981=""),"-",(39594.98692-27071.76981)/1980077.64559*100)</f>
        <v>0.63246091070678601</v>
      </c>
    </row>
    <row r="52" spans="1:7" s="36" customFormat="1" ht="24" x14ac:dyDescent="0.2">
      <c r="A52" s="31" t="s">
        <v>122</v>
      </c>
      <c r="B52" s="32">
        <v>25934.238020000001</v>
      </c>
      <c r="C52" s="33">
        <f>IF(OR(20824.28491="",25934.23802=""),"-",25934.23802/20824.28491*100)</f>
        <v>124.53843256603811</v>
      </c>
      <c r="D52" s="33">
        <f>IF(20824.28491="","-",20824.28491/1980077.64559*100)</f>
        <v>1.0516903191336735</v>
      </c>
      <c r="E52" s="33">
        <f>IF(25934.23802="","-",25934.23802/2676670.83235*100)</f>
        <v>0.96889904079953215</v>
      </c>
      <c r="F52" s="33">
        <f>IF(OR(2362843.47408="",23531.58652="",20824.28491=""),"-",(20824.28491-23531.58652)/2362843.47408*100)</f>
        <v>-0.11457811910516506</v>
      </c>
      <c r="G52" s="33">
        <f>IF(OR(1980077.64559="",25934.23802="",20824.28491=""),"-",(25934.23802-20824.28491)/1980077.64559*100)</f>
        <v>0.25806831976416761</v>
      </c>
    </row>
    <row r="53" spans="1:7" s="36" customFormat="1" x14ac:dyDescent="0.2">
      <c r="A53" s="31" t="s">
        <v>76</v>
      </c>
      <c r="B53" s="32">
        <v>25850.009450000001</v>
      </c>
      <c r="C53" s="33">
        <f>IF(OR(19624.56431="",25850.00945=""),"-",25850.00945/19624.56431*100)</f>
        <v>131.72271772080936</v>
      </c>
      <c r="D53" s="33">
        <f>IF(19624.56431="","-",19624.56431/1980077.64559*100)</f>
        <v>0.9911007456554819</v>
      </c>
      <c r="E53" s="33">
        <f>IF(25850.00945="","-",25850.00945/2676670.83235*100)</f>
        <v>0.96575227471301828</v>
      </c>
      <c r="F53" s="33">
        <f>IF(OR(2362843.47408="",18347.85685="",19624.56431=""),"-",(19624.56431-18347.85685)/2362843.47408*100)</f>
        <v>5.4032671821272547E-2</v>
      </c>
      <c r="G53" s="33">
        <f>IF(OR(1980077.64559="",25850.00945="",19624.56431=""),"-",(25850.00945-19624.56431)/1980077.64559*100)</f>
        <v>0.31440409187312529</v>
      </c>
    </row>
    <row r="54" spans="1:7" s="36" customFormat="1" x14ac:dyDescent="0.2">
      <c r="A54" s="31" t="s">
        <v>72</v>
      </c>
      <c r="B54" s="32">
        <v>20462.130659999999</v>
      </c>
      <c r="C54" s="33" t="s">
        <v>20</v>
      </c>
      <c r="D54" s="33">
        <f>IF(10221.32159="","-",10221.32159/1980077.64559*100)</f>
        <v>0.5162081200585632</v>
      </c>
      <c r="E54" s="33">
        <f>IF(20462.13066="","-",20462.13066/2676670.83235*100)</f>
        <v>0.76446197316070963</v>
      </c>
      <c r="F54" s="33">
        <f>IF(OR(2362843.47408="",16982.9401="",10221.32159=""),"-",(10221.32159-16982.9401)/2362843.47408*100)</f>
        <v>-0.28616447023147457</v>
      </c>
      <c r="G54" s="33">
        <f>IF(OR(1980077.64559="",20462.13066="",10221.32159=""),"-",(20462.13066-10221.32159)/1980077.64559*100)</f>
        <v>0.51719229762571073</v>
      </c>
    </row>
    <row r="55" spans="1:7" s="36" customFormat="1" x14ac:dyDescent="0.2">
      <c r="A55" s="31" t="s">
        <v>69</v>
      </c>
      <c r="B55" s="32">
        <v>19010.76323</v>
      </c>
      <c r="C55" s="33">
        <f>IF(OR(13940.70315="",19010.76323=""),"-",19010.76323/13940.70315*100)</f>
        <v>136.36875432642722</v>
      </c>
      <c r="D55" s="33">
        <f>IF(13940.70315="","-",13940.70315/1980077.64559*100)</f>
        <v>0.70404830745140368</v>
      </c>
      <c r="E55" s="33">
        <f>IF(19010.76323="","-",19010.76323/2676670.83235*100)</f>
        <v>0.71023911495719416</v>
      </c>
      <c r="F55" s="33">
        <f>IF(OR(2362843.47408="",14884.32898="",13940.70315=""),"-",(13940.70315-14884.32898)/2362843.47408*100)</f>
        <v>-3.9936027940547868E-2</v>
      </c>
      <c r="G55" s="33">
        <f>IF(OR(1980077.64559="",19010.76323="",13940.70315=""),"-",(19010.76323-13940.70315)/1980077.64559*100)</f>
        <v>0.25605359927637006</v>
      </c>
    </row>
    <row r="56" spans="1:7" s="36" customFormat="1" x14ac:dyDescent="0.2">
      <c r="A56" s="31" t="s">
        <v>36</v>
      </c>
      <c r="B56" s="32">
        <v>18092.966970000001</v>
      </c>
      <c r="C56" s="33">
        <f>IF(OR(15091.54382="",18092.96697=""),"-",18092.96697/15091.54382*100)</f>
        <v>119.88811208315467</v>
      </c>
      <c r="D56" s="33">
        <f>IF(15091.54382="","-",15091.54382/1980077.64559*100)</f>
        <v>0.76216929440174563</v>
      </c>
      <c r="E56" s="33">
        <f>IF(18092.96697="","-",18092.96697/2676670.83235*100)</f>
        <v>0.67595039148370617</v>
      </c>
      <c r="F56" s="33">
        <f>IF(OR(2362843.47408="",13886.97106="",15091.54382=""),"-",(15091.54382-13886.97106)/2362843.47408*100)</f>
        <v>5.0979795031451031E-2</v>
      </c>
      <c r="G56" s="33">
        <f>IF(OR(1980077.64559="",18092.96697="",15091.54382=""),"-",(18092.96697-15091.54382)/1980077.64559*100)</f>
        <v>0.15158108353400818</v>
      </c>
    </row>
    <row r="57" spans="1:7" s="36" customFormat="1" x14ac:dyDescent="0.2">
      <c r="A57" s="31" t="s">
        <v>127</v>
      </c>
      <c r="B57" s="32">
        <v>14028.493769999999</v>
      </c>
      <c r="C57" s="33">
        <f>IF(OR(10925.38269="",14028.49377=""),"-",14028.49377/10925.38269*100)</f>
        <v>128.40276783018572</v>
      </c>
      <c r="D57" s="33">
        <f>IF(10925.38269="","-",10925.38269/1980077.64559*100)</f>
        <v>0.55176536709723745</v>
      </c>
      <c r="E57" s="33">
        <f>IF(14028.49377="","-",14028.49377/2676670.83235*100)</f>
        <v>0.52410231398096851</v>
      </c>
      <c r="F57" s="33">
        <f>IF(OR(2362843.47408="",14442.08779="",10925.38269=""),"-",(10925.38269-14442.08779)/2362843.47408*100)</f>
        <v>-0.14883360402742157</v>
      </c>
      <c r="G57" s="33">
        <f>IF(OR(1980077.64559="",14028.49377="",10925.38269=""),"-",(14028.49377-10925.38269)/1980077.64559*100)</f>
        <v>0.15671663618400028</v>
      </c>
    </row>
    <row r="58" spans="1:7" s="36" customFormat="1" x14ac:dyDescent="0.2">
      <c r="A58" s="31" t="s">
        <v>81</v>
      </c>
      <c r="B58" s="32">
        <v>12014.36894</v>
      </c>
      <c r="C58" s="33" t="s">
        <v>346</v>
      </c>
      <c r="D58" s="33">
        <f>IF(1898.85833="","-",1898.85833/1980077.64559*100)</f>
        <v>9.5898175216972401E-2</v>
      </c>
      <c r="E58" s="33">
        <f>IF(12014.36894="","-",12014.36894/2676670.83235*100)</f>
        <v>0.44885492809931771</v>
      </c>
      <c r="F58" s="33">
        <f>IF(OR(2362843.47408="",1224.80158="",1898.85833=""),"-",(1898.85833-1224.80158)/2362843.47408*100)</f>
        <v>2.8527355171609561E-2</v>
      </c>
      <c r="G58" s="33">
        <f>IF(OR(1980077.64559="",12014.36894="",1898.85833=""),"-",(12014.36894-1898.85833)/1980077.64559*100)</f>
        <v>0.5108643407256841</v>
      </c>
    </row>
    <row r="59" spans="1:7" s="36" customFormat="1" x14ac:dyDescent="0.2">
      <c r="A59" s="31" t="s">
        <v>66</v>
      </c>
      <c r="B59" s="32">
        <v>11331.39847</v>
      </c>
      <c r="C59" s="33">
        <f>IF(OR(11148.27811="",11331.39847=""),"-",11331.39847/11148.27811*100)</f>
        <v>101.64258873157948</v>
      </c>
      <c r="D59" s="33">
        <f>IF(11148.27811="","-",11148.27811/1980077.64559*100)</f>
        <v>0.56302227010285588</v>
      </c>
      <c r="E59" s="33">
        <f>IF(11331.39847="","-",11331.39847/2676670.83235*100)</f>
        <v>0.42333925909191938</v>
      </c>
      <c r="F59" s="33">
        <f>IF(OR(2362843.47408="",8008.84997="",11148.27811=""),"-",(11148.27811-8008.84997)/2362843.47408*100)</f>
        <v>0.13286653028179832</v>
      </c>
      <c r="G59" s="33">
        <f>IF(OR(1980077.64559="",11331.39847="",11148.27811=""),"-",(11331.39847-11148.27811)/1980077.64559*100)</f>
        <v>9.2481403649924427E-3</v>
      </c>
    </row>
    <row r="60" spans="1:7" s="36" customFormat="1" x14ac:dyDescent="0.2">
      <c r="A60" s="31" t="s">
        <v>79</v>
      </c>
      <c r="B60" s="32">
        <v>10651.916719999999</v>
      </c>
      <c r="C60" s="33">
        <f>IF(OR(8801.0116="",10651.91672=""),"-",10651.91672/8801.0116*100)</f>
        <v>121.0305951647649</v>
      </c>
      <c r="D60" s="33">
        <f>IF(8801.0116="","-",8801.0116/1980077.64559*100)</f>
        <v>0.44447810516933434</v>
      </c>
      <c r="E60" s="33">
        <f>IF(10651.91672="","-",10651.91672/2676670.83235*100)</f>
        <v>0.39795392811330793</v>
      </c>
      <c r="F60" s="33">
        <f>IF(OR(2362843.47408="",8313.04135="",8801.0116=""),"-",(8801.0116-8313.04135)/2362843.47408*100)</f>
        <v>2.0651822913915069E-2</v>
      </c>
      <c r="G60" s="33">
        <f>IF(OR(1980077.64559="",10651.91672="",8801.0116=""),"-",(10651.91672-8801.0116)/1980077.64559*100)</f>
        <v>9.347639089418075E-2</v>
      </c>
    </row>
    <row r="61" spans="1:7" s="36" customFormat="1" x14ac:dyDescent="0.2">
      <c r="A61" s="31" t="s">
        <v>70</v>
      </c>
      <c r="B61" s="32">
        <v>8181.3310199999996</v>
      </c>
      <c r="C61" s="33">
        <f>IF(OR(6308.25799="",8181.33102=""),"-",8181.33102/6308.25799*100)</f>
        <v>129.69239737767921</v>
      </c>
      <c r="D61" s="33">
        <f>IF(6308.25799="","-",6308.25799/1980077.64559*100)</f>
        <v>0.31858639503605629</v>
      </c>
      <c r="E61" s="33">
        <f>IF(8181.33102="","-",8181.33102/2676670.83235*100)</f>
        <v>0.30565323614398821</v>
      </c>
      <c r="F61" s="33">
        <f>IF(OR(2362843.47408="",9067.49802="",6308.25799=""),"-",(6308.25799-9067.49802)/2362843.47408*100)</f>
        <v>-0.11677625116806953</v>
      </c>
      <c r="G61" s="33">
        <f>IF(OR(1980077.64559="",8181.33102="",6308.25799=""),"-",(8181.33102-6308.25799)/1980077.64559*100)</f>
        <v>9.4595938405328719E-2</v>
      </c>
    </row>
    <row r="62" spans="1:7" s="36" customFormat="1" x14ac:dyDescent="0.2">
      <c r="A62" s="31" t="s">
        <v>61</v>
      </c>
      <c r="B62" s="32">
        <v>6084.8864899999999</v>
      </c>
      <c r="C62" s="33">
        <f>IF(OR(4177.968="",6084.88649=""),"-",6084.88649/4177.968*100)</f>
        <v>145.64224737958739</v>
      </c>
      <c r="D62" s="33">
        <f>IF(4177.968="","-",4177.968/1980077.64559*100)</f>
        <v>0.21100021048695281</v>
      </c>
      <c r="E62" s="33">
        <f>IF(6084.88649="","-",6084.88649/2676670.83235*100)</f>
        <v>0.22733039925786225</v>
      </c>
      <c r="F62" s="33">
        <f>IF(OR(2362843.47408="",4500.49038="",4177.968=""),"-",(4177.968-4500.49038)/2362843.47408*100)</f>
        <v>-1.364975647087999E-2</v>
      </c>
      <c r="G62" s="33">
        <f>IF(OR(1980077.64559="",6084.88649="",4177.968=""),"-",(6084.88649-4177.968)/1980077.64559*100)</f>
        <v>9.630523804190512E-2</v>
      </c>
    </row>
    <row r="63" spans="1:7" s="36" customFormat="1" x14ac:dyDescent="0.2">
      <c r="A63" s="31" t="s">
        <v>78</v>
      </c>
      <c r="B63" s="32">
        <v>5602.1843200000003</v>
      </c>
      <c r="C63" s="33" t="s">
        <v>103</v>
      </c>
      <c r="D63" s="33">
        <f>IF(3321.79248="","-",3321.79248/1980077.64559*100)</f>
        <v>0.16776071824245112</v>
      </c>
      <c r="E63" s="33">
        <f>IF(5602.18432="","-",5602.18432/2676670.83235*100)</f>
        <v>0.20929672234226604</v>
      </c>
      <c r="F63" s="33">
        <f>IF(OR(2362843.47408="",3565.46353="",3321.79248=""),"-",(3321.79248-3565.46353)/2362843.47408*100)</f>
        <v>-1.0312619209568082E-2</v>
      </c>
      <c r="G63" s="33">
        <f>IF(OR(1980077.64559="",5602.18432="",3321.79248=""),"-",(5602.18432-3321.79248)/1980077.64559*100)</f>
        <v>0.11516678879128076</v>
      </c>
    </row>
    <row r="64" spans="1:7" s="36" customFormat="1" x14ac:dyDescent="0.2">
      <c r="A64" s="31" t="s">
        <v>71</v>
      </c>
      <c r="B64" s="32">
        <v>5225.3343800000002</v>
      </c>
      <c r="C64" s="33">
        <f>IF(OR(3863.77629="",5225.33438=""),"-",5225.33438/3863.77629*100)</f>
        <v>135.23905080953847</v>
      </c>
      <c r="D64" s="33">
        <f>IF(3863.77629="","-",3863.77629/1980077.64559*100)</f>
        <v>0.19513256455398836</v>
      </c>
      <c r="E64" s="33">
        <f>IF(5225.33438="","-",5225.33438/2676670.83235*100)</f>
        <v>0.1952176680392331</v>
      </c>
      <c r="F64" s="33">
        <f>IF(OR(2362843.47408="",4226.35234="",3863.77629=""),"-",(3863.77629-4226.35234)/2362843.47408*100)</f>
        <v>-1.5344903459640874E-2</v>
      </c>
      <c r="G64" s="33">
        <f>IF(OR(1980077.64559="",5225.33438="",3863.77629=""),"-",(5225.33438-3863.77629)/1980077.64559*100)</f>
        <v>6.8762863569135413E-2</v>
      </c>
    </row>
    <row r="65" spans="1:7" s="36" customFormat="1" x14ac:dyDescent="0.2">
      <c r="A65" s="31" t="s">
        <v>62</v>
      </c>
      <c r="B65" s="32">
        <v>5082.2748600000004</v>
      </c>
      <c r="C65" s="33">
        <f>IF(OR(4989.15965="",5082.27486=""),"-",5082.27486/4989.15965*100)</f>
        <v>101.86635057869917</v>
      </c>
      <c r="D65" s="33">
        <f>IF(4989.15965="","-",4989.15965/1980077.64559*100)</f>
        <v>0.25196787919462571</v>
      </c>
      <c r="E65" s="33">
        <f>IF(5082.27486="","-",5082.27486/2676670.83235*100)</f>
        <v>0.18987298694243945</v>
      </c>
      <c r="F65" s="33">
        <f>IF(OR(2362843.47408="",5613.41607="",4989.15965=""),"-",(4989.15965-5613.41607)/2362843.47408*100)</f>
        <v>-2.6419711117049847E-2</v>
      </c>
      <c r="G65" s="33">
        <f>IF(OR(1980077.64559="",5082.27486="",4989.15965=""),"-",(5082.27486-4989.15965)/1980077.64559*100)</f>
        <v>4.7026039714849407E-3</v>
      </c>
    </row>
    <row r="66" spans="1:7" s="36" customFormat="1" x14ac:dyDescent="0.2">
      <c r="A66" s="31" t="s">
        <v>82</v>
      </c>
      <c r="B66" s="32">
        <v>4802.8547600000002</v>
      </c>
      <c r="C66" s="33">
        <f>IF(OR(3528.17938="",4802.85476=""),"-",4802.85476/3528.17938*100)</f>
        <v>136.12841759763361</v>
      </c>
      <c r="D66" s="33">
        <f>IF(3528.17938="","-",3528.17938/1980077.64559*100)</f>
        <v>0.17818389030641851</v>
      </c>
      <c r="E66" s="33">
        <f>IF(4802.85476="","-",4802.85476/2676670.83235*100)</f>
        <v>0.17943389609036475</v>
      </c>
      <c r="F66" s="33">
        <f>IF(OR(2362843.47408="",4099.17671="",3528.17938=""),"-",(3528.17938-4099.17671)/2362843.47408*100)</f>
        <v>-2.4165685804571714E-2</v>
      </c>
      <c r="G66" s="33">
        <f>IF(OR(1980077.64559="",4802.85476="",3528.17938=""),"-",(4802.85476-3528.17938)/1980077.64559*100)</f>
        <v>6.4375019981612269E-2</v>
      </c>
    </row>
    <row r="67" spans="1:7" s="36" customFormat="1" x14ac:dyDescent="0.2">
      <c r="A67" s="31" t="s">
        <v>74</v>
      </c>
      <c r="B67" s="32">
        <v>4648.2978800000001</v>
      </c>
      <c r="C67" s="33">
        <f>IF(OR(3776.65136="",4648.29788=""),"-",4648.29788/3776.65136*100)</f>
        <v>123.07987783124361</v>
      </c>
      <c r="D67" s="33">
        <f>IF(3776.65136="","-",3776.65136/1980077.64559*100)</f>
        <v>0.19073248811284255</v>
      </c>
      <c r="E67" s="33">
        <f>IF(4648.29788="","-",4648.29788/2676670.83235*100)</f>
        <v>0.17365967543790201</v>
      </c>
      <c r="F67" s="33">
        <f>IF(OR(2362843.47408="",2918.22865="",3776.65136=""),"-",(3776.65136-2918.22865)/2362843.47408*100)</f>
        <v>3.6330070925846517E-2</v>
      </c>
      <c r="G67" s="33">
        <f>IF(OR(1980077.64559="",4648.29788="",3776.65136=""),"-",(4648.29788-3776.65136)/1980077.64559*100)</f>
        <v>4.4020825240935306E-2</v>
      </c>
    </row>
    <row r="68" spans="1:7" s="36" customFormat="1" x14ac:dyDescent="0.2">
      <c r="A68" s="31" t="s">
        <v>83</v>
      </c>
      <c r="B68" s="32">
        <v>3549.8917999999999</v>
      </c>
      <c r="C68" s="33">
        <f>IF(OR(3976.54127="",3549.8918=""),"-",3549.8918/3976.54127*100)</f>
        <v>89.270840133893543</v>
      </c>
      <c r="D68" s="33">
        <f>IF(3976.54127="","-",3976.54127/1980077.64559*100)</f>
        <v>0.200827542235856</v>
      </c>
      <c r="E68" s="33">
        <f>IF(3549.8918="","-",3549.8918/2676670.83235*100)</f>
        <v>0.13262339758390651</v>
      </c>
      <c r="F68" s="33">
        <f>IF(OR(2362843.47408="",3638.31812="",3976.54127=""),"-",(3976.54127-3638.31812)/2362843.47408*100)</f>
        <v>1.43142427211219E-2</v>
      </c>
      <c r="G68" s="33">
        <f>IF(OR(1980077.64559="",3549.8918="",3976.54127=""),"-",(3549.8918-3976.54127)/1980077.64559*100)</f>
        <v>-2.1547108061657466E-2</v>
      </c>
    </row>
    <row r="69" spans="1:7" s="36" customFormat="1" x14ac:dyDescent="0.2">
      <c r="A69" s="31" t="s">
        <v>63</v>
      </c>
      <c r="B69" s="32">
        <v>3329.9443200000001</v>
      </c>
      <c r="C69" s="33">
        <f>IF(OR(4281.87733="",3329.94432=""),"-",3329.94432/4281.87733*100)</f>
        <v>77.768325978642636</v>
      </c>
      <c r="D69" s="33">
        <f>IF(4281.87733="","-",4281.87733/1980077.64559*100)</f>
        <v>0.21624795065670957</v>
      </c>
      <c r="E69" s="33">
        <f>IF(3329.94432="","-",3329.94432/2676670.83235*100)</f>
        <v>0.12440619443207571</v>
      </c>
      <c r="F69" s="33">
        <f>IF(OR(2362843.47408="",4819.05122="",4281.87733=""),"-",(4281.87733-4819.05122)/2362843.47408*100)</f>
        <v>-2.2734213920334048E-2</v>
      </c>
      <c r="G69" s="33">
        <f>IF(OR(1980077.64559="",3329.94432="",4281.87733=""),"-",(3329.94432-4281.87733)/1980077.64559*100)</f>
        <v>-4.8075539467865386E-2</v>
      </c>
    </row>
    <row r="70" spans="1:7" s="36" customFormat="1" x14ac:dyDescent="0.2">
      <c r="A70" s="31" t="s">
        <v>65</v>
      </c>
      <c r="B70" s="32">
        <v>3297.6944699999999</v>
      </c>
      <c r="C70" s="33">
        <f>IF(OR(2312.75938="",3297.69447=""),"-",3297.69447/2312.75938*100)</f>
        <v>142.58701093236945</v>
      </c>
      <c r="D70" s="33">
        <f>IF(2312.75938="","-",2312.75938/1980077.64559*100)</f>
        <v>0.11680144893059843</v>
      </c>
      <c r="E70" s="33">
        <f>IF(3297.69447="","-",3297.69447/2676670.83235*100)</f>
        <v>0.12320134512411331</v>
      </c>
      <c r="F70" s="33">
        <f>IF(OR(2362843.47408="",2148.13569="",2312.75938=""),"-",(2312.75938-2148.13569)/2362843.47408*100)</f>
        <v>6.9671855882920044E-3</v>
      </c>
      <c r="G70" s="33">
        <f>IF(OR(1980077.64559="",3297.69447="",2312.75938=""),"-",(3297.69447-2312.75938)/1980077.64559*100)</f>
        <v>4.9742245825239881E-2</v>
      </c>
    </row>
    <row r="71" spans="1:7" s="36" customFormat="1" x14ac:dyDescent="0.2">
      <c r="A71" s="31" t="s">
        <v>85</v>
      </c>
      <c r="B71" s="32">
        <v>3144.5621500000002</v>
      </c>
      <c r="C71" s="33" t="s">
        <v>103</v>
      </c>
      <c r="D71" s="33">
        <f>IF(1847.11497="","-",1847.11497/1980077.64559*100)</f>
        <v>9.3284976683306708E-2</v>
      </c>
      <c r="E71" s="33">
        <f>IF(3144.56215="","-",3144.56215/2676670.83235*100)</f>
        <v>0.1174803458084987</v>
      </c>
      <c r="F71" s="33">
        <f>IF(OR(2362843.47408="",3528.06059="",1847.11497=""),"-",(1847.11497-3528.06059)/2362843.47408*100)</f>
        <v>-7.1140794489338535E-2</v>
      </c>
      <c r="G71" s="33">
        <f>IF(OR(1980077.64559="",3144.56215="",1847.11497=""),"-",(3144.56215-1847.11497)/1980077.64559*100)</f>
        <v>6.5525065791720613E-2</v>
      </c>
    </row>
    <row r="72" spans="1:7" s="36" customFormat="1" x14ac:dyDescent="0.2">
      <c r="A72" s="31" t="s">
        <v>84</v>
      </c>
      <c r="B72" s="32">
        <v>2961.6141299999999</v>
      </c>
      <c r="C72" s="33">
        <f>IF(OR(2080.00743="",2961.61413=""),"-",2961.61413/2080.00743*100)</f>
        <v>142.3847860966535</v>
      </c>
      <c r="D72" s="33">
        <f>IF(2080.00743="","-",2080.00743/1980077.64559*100)</f>
        <v>0.10504676090013754</v>
      </c>
      <c r="E72" s="33">
        <f>IF(2961.61413="","-",2961.61413/2676670.83235*100)</f>
        <v>0.11064543664488742</v>
      </c>
      <c r="F72" s="33">
        <f>IF(OR(2362843.47408="",1879.88215="",2080.00743=""),"-",(2080.00743-1879.88215)/2362843.47408*100)</f>
        <v>8.4696799510988029E-3</v>
      </c>
      <c r="G72" s="33">
        <f>IF(OR(1980077.64559="",2961.61413="",2080.00743=""),"-",(2961.61413-2080.00743)/1980077.64559*100)</f>
        <v>4.4523844908986338E-2</v>
      </c>
    </row>
    <row r="73" spans="1:7" s="36" customFormat="1" x14ac:dyDescent="0.2">
      <c r="A73" s="31" t="s">
        <v>136</v>
      </c>
      <c r="B73" s="32">
        <v>2845.8347600000002</v>
      </c>
      <c r="C73" s="33">
        <f>IF(OR(1980.42634="",2845.83476=""),"-",2845.83476/1980.42634*100)</f>
        <v>143.69808674631142</v>
      </c>
      <c r="D73" s="33">
        <f>IF(1980.42634="","-",1980.42634/1980077.64559*100)</f>
        <v>0.10001761013820729</v>
      </c>
      <c r="E73" s="33">
        <f>IF(2845.83476="","-",2845.83476/2676670.83235*100)</f>
        <v>0.10631993764812246</v>
      </c>
      <c r="F73" s="33">
        <f>IF(OR(2362843.47408="",3195.22106="",1980.42634=""),"-",(1980.42634-3195.22106)/2362843.47408*100)</f>
        <v>-5.1412407691245568E-2</v>
      </c>
      <c r="G73" s="33">
        <f>IF(OR(1980077.64559="",2845.83476="",1980.42634=""),"-",(2845.83476-1980.42634)/1980077.64559*100)</f>
        <v>4.3705782039781378E-2</v>
      </c>
    </row>
    <row r="74" spans="1:7" s="36" customFormat="1" x14ac:dyDescent="0.2">
      <c r="A74" s="31" t="s">
        <v>88</v>
      </c>
      <c r="B74" s="32">
        <v>2720.59328</v>
      </c>
      <c r="C74" s="33" t="s">
        <v>305</v>
      </c>
      <c r="D74" s="33">
        <f>IF(1035.44087="","-",1035.44087/1980077.64559*100)</f>
        <v>5.2292942769497884E-2</v>
      </c>
      <c r="E74" s="33">
        <f>IF(2720.59328="","-",2720.59328/2676670.83235*100)</f>
        <v>0.10164093571458835</v>
      </c>
      <c r="F74" s="33">
        <f>IF(OR(2362843.47408="",1348.18762="",1035.44087=""),"-",(1035.44087-1348.18762)/2362843.47408*100)</f>
        <v>-1.3236033339947393E-2</v>
      </c>
      <c r="G74" s="33">
        <f>IF(OR(1980077.64559="",2720.59328="",1035.44087=""),"-",(2720.59328-1035.44087)/1980077.64559*100)</f>
        <v>8.5105370173394299E-2</v>
      </c>
    </row>
    <row r="75" spans="1:7" s="36" customFormat="1" x14ac:dyDescent="0.2">
      <c r="A75" s="31" t="s">
        <v>68</v>
      </c>
      <c r="B75" s="32">
        <v>2653.1655500000002</v>
      </c>
      <c r="C75" s="33">
        <f>IF(OR(2021.54613="",2653.16555=""),"-",2653.16555/2021.54613*100)</f>
        <v>131.24437333517588</v>
      </c>
      <c r="D75" s="33">
        <f>IF(2021.54613="","-",2021.54613/1980077.64559*100)</f>
        <v>0.10209428577219475</v>
      </c>
      <c r="E75" s="33">
        <f>IF(2653.16555="","-",2653.16555/2676670.83235*100)</f>
        <v>9.9121846359816954E-2</v>
      </c>
      <c r="F75" s="33">
        <f>IF(OR(2362843.47408="",2159.78359="",2021.54613=""),"-",(2021.54613-2159.78359)/2362843.47408*100)</f>
        <v>-5.850470482553838E-3</v>
      </c>
      <c r="G75" s="33">
        <f>IF(OR(1980077.64559="",2653.16555="",2021.54613=""),"-",(2653.16555-2021.54613)/1980077.64559*100)</f>
        <v>3.1898719800545886E-2</v>
      </c>
    </row>
    <row r="76" spans="1:7" s="36" customFormat="1" x14ac:dyDescent="0.2">
      <c r="A76" s="31" t="s">
        <v>75</v>
      </c>
      <c r="B76" s="32">
        <v>1885.6564599999999</v>
      </c>
      <c r="C76" s="33">
        <f>IF(OR(2154.29381="",1885.65646=""),"-",1885.65646/2154.29381*100)</f>
        <v>87.530143346603211</v>
      </c>
      <c r="D76" s="33">
        <f>IF(2154.29381="","-",2154.29381/1980077.64559*100)</f>
        <v>0.10879845115155014</v>
      </c>
      <c r="E76" s="33">
        <f>IF(1885.65646="","-",1885.65646/2676670.83235*100)</f>
        <v>7.0447827846821048E-2</v>
      </c>
      <c r="F76" s="33">
        <f>IF(OR(2362843.47408="",1689.19126="",2154.29381=""),"-",(2154.29381-1689.19126)/2362843.47408*100)</f>
        <v>1.9684018645420132E-2</v>
      </c>
      <c r="G76" s="33">
        <f>IF(OR(1980077.64559="",1885.65646="",2154.29381=""),"-",(1885.65646-2154.29381)/1980077.64559*100)</f>
        <v>-1.3567010899714229E-2</v>
      </c>
    </row>
    <row r="77" spans="1:7" s="36" customFormat="1" x14ac:dyDescent="0.2">
      <c r="A77" s="31" t="s">
        <v>73</v>
      </c>
      <c r="B77" s="32">
        <v>1691.20912</v>
      </c>
      <c r="C77" s="33" t="s">
        <v>95</v>
      </c>
      <c r="D77" s="33">
        <f>IF(805.88681="","-",805.88681/1980077.64559*100)</f>
        <v>4.0699758001655102E-2</v>
      </c>
      <c r="E77" s="33">
        <f>IF(1691.20912="","-",1691.20912/2676670.83235*100)</f>
        <v>6.3183305902249937E-2</v>
      </c>
      <c r="F77" s="33">
        <f>IF(OR(2362843.47408="",809.42941="",805.88681=""),"-",(805.88681-809.42941)/2362843.47408*100)</f>
        <v>-1.4992952511927793E-4</v>
      </c>
      <c r="G77" s="33">
        <f>IF(OR(1980077.64559="",1691.20912="",805.88681=""),"-",(1691.20912-805.88681)/1980077.64559*100)</f>
        <v>4.4711494621020385E-2</v>
      </c>
    </row>
    <row r="78" spans="1:7" s="36" customFormat="1" x14ac:dyDescent="0.2">
      <c r="A78" s="31" t="s">
        <v>80</v>
      </c>
      <c r="B78" s="32">
        <v>1637.4853599999999</v>
      </c>
      <c r="C78" s="33">
        <f>IF(OR(2169.50827="",1637.48536=""),"-",1637.48536/2169.50827*100)</f>
        <v>75.477258263689407</v>
      </c>
      <c r="D78" s="33">
        <f>IF(2169.50827="","-",2169.50827/1980077.64559*100)</f>
        <v>0.10956682809039821</v>
      </c>
      <c r="E78" s="33">
        <f>IF(1637.48536="","-",1637.48536/2676670.83235*100)</f>
        <v>6.1176194704612205E-2</v>
      </c>
      <c r="F78" s="33">
        <f>IF(OR(2362843.47408="",2569.53629="",2169.50827=""),"-",(2169.50827-2569.53629)/2362843.47408*100)</f>
        <v>-1.6929941588947429E-2</v>
      </c>
      <c r="G78" s="33">
        <f>IF(OR(1980077.64559="",1637.48536="",2169.50827=""),"-",(1637.48536-2169.50827)/1980077.64559*100)</f>
        <v>-2.6868790281275763E-2</v>
      </c>
    </row>
    <row r="79" spans="1:7" s="36" customFormat="1" x14ac:dyDescent="0.2">
      <c r="A79" s="31" t="s">
        <v>58</v>
      </c>
      <c r="B79" s="32">
        <v>1633.1777500000001</v>
      </c>
      <c r="C79" s="33">
        <f>IF(OR(2849.35367="",1633.17775=""),"-",1633.17775/2849.35367*100)</f>
        <v>57.317481055273845</v>
      </c>
      <c r="D79" s="33">
        <f>IF(2849.35367="","-",2849.35367/1980077.64559*100)</f>
        <v>0.1439011079361478</v>
      </c>
      <c r="E79" s="33">
        <f>IF(1633.17775="","-",1633.17775/2676670.83235*100)</f>
        <v>6.1015263074621004E-2</v>
      </c>
      <c r="F79" s="33">
        <f>IF(OR(2362843.47408="",1311.65475="",2849.35367=""),"-",(2849.35367-1311.65475)/2362843.47408*100)</f>
        <v>6.507832350590724E-2</v>
      </c>
      <c r="G79" s="33">
        <f>IF(OR(1980077.64559="",1633.17775="",2849.35367=""),"-",(1633.17775-2849.35367)/1980077.64559*100)</f>
        <v>-6.1420617656517108E-2</v>
      </c>
    </row>
    <row r="80" spans="1:7" s="36" customFormat="1" x14ac:dyDescent="0.2">
      <c r="A80" s="31" t="s">
        <v>89</v>
      </c>
      <c r="B80" s="32">
        <v>1624.10745</v>
      </c>
      <c r="C80" s="33" t="s">
        <v>347</v>
      </c>
      <c r="D80" s="33">
        <f>IF(535.31619="","-",535.31619/1980077.64559*100)</f>
        <v>2.7035111031744052E-2</v>
      </c>
      <c r="E80" s="33">
        <f>IF(1624.10745="","-",1624.10745/2676670.83235*100)</f>
        <v>6.067639809763626E-2</v>
      </c>
      <c r="F80" s="33">
        <f>IF(OR(2362843.47408="",602.11335="",535.31619=""),"-",(535.31619-602.11335)/2362843.47408*100)</f>
        <v>-2.8269820126789478E-3</v>
      </c>
      <c r="G80" s="33">
        <f>IF(OR(1980077.64559="",1624.10745="",535.31619=""),"-",(1624.10745-535.31619)/1980077.64559*100)</f>
        <v>5.4987301251793824E-2</v>
      </c>
    </row>
    <row r="81" spans="1:7" s="36" customFormat="1" x14ac:dyDescent="0.2">
      <c r="A81" s="31" t="s">
        <v>138</v>
      </c>
      <c r="B81" s="32">
        <v>1530.8425299999999</v>
      </c>
      <c r="C81" s="33" t="s">
        <v>228</v>
      </c>
      <c r="D81" s="33">
        <f>IF(673.13678="","-",673.13678/1980077.64559*100)</f>
        <v>3.3995473940085147E-2</v>
      </c>
      <c r="E81" s="33">
        <f>IF(1530.84253="","-",1530.84253/2676670.83235*100)</f>
        <v>5.7192035400781313E-2</v>
      </c>
      <c r="F81" s="33">
        <f>IF(OR(2362843.47408="",1622.20644="",673.13678=""),"-",(673.13678-1622.20644)/2362843.47408*100)</f>
        <v>-4.0166421111306617E-2</v>
      </c>
      <c r="G81" s="33">
        <f>IF(OR(1980077.64559="",1530.84253="",673.13678=""),"-",(1530.84253-673.13678)/1980077.64559*100)</f>
        <v>4.3316773557353645E-2</v>
      </c>
    </row>
    <row r="82" spans="1:7" s="36" customFormat="1" x14ac:dyDescent="0.2">
      <c r="A82" s="31" t="s">
        <v>91</v>
      </c>
      <c r="B82" s="32">
        <v>1450.1070999999999</v>
      </c>
      <c r="C82" s="33" t="s">
        <v>105</v>
      </c>
      <c r="D82" s="33">
        <f>IF(759.75398="","-",759.75398/1980077.64559*100)</f>
        <v>3.8369908457484628E-2</v>
      </c>
      <c r="E82" s="33">
        <f>IF(1450.1071="","-",1450.1071/2676670.83235*100)</f>
        <v>5.4175772473556989E-2</v>
      </c>
      <c r="F82" s="33">
        <f>IF(OR(2362843.47408="",1225.51564="",759.75398=""),"-",(759.75398-1225.51564)/2362843.47408*100)</f>
        <v>-1.9711913425892492E-2</v>
      </c>
      <c r="G82" s="33">
        <f>IF(OR(1980077.64559="",1450.1071="",759.75398=""),"-",(1450.1071-759.75398)/1980077.64559*100)</f>
        <v>3.4864951964764836E-2</v>
      </c>
    </row>
    <row r="83" spans="1:7" s="36" customFormat="1" x14ac:dyDescent="0.2">
      <c r="A83" s="31" t="s">
        <v>39</v>
      </c>
      <c r="B83" s="32">
        <v>1446.0516600000001</v>
      </c>
      <c r="C83" s="33">
        <f>IF(OR(1338.09717="",1446.05166=""),"-",1446.05166/1338.09717*100)</f>
        <v>108.06776162601106</v>
      </c>
      <c r="D83" s="33">
        <f>IF(1338.09717="","-",1338.09717/1980077.64559*100)</f>
        <v>6.7578015083407994E-2</v>
      </c>
      <c r="E83" s="33">
        <f>IF(1446.05166="","-",1446.05166/2676670.83235*100)</f>
        <v>5.4024261874981098E-2</v>
      </c>
      <c r="F83" s="33">
        <f>IF(OR(2362843.47408="",1478.37214="",1338.09717=""),"-",(1338.09717-1478.37214)/2362843.47408*100)</f>
        <v>-5.9367017552704199E-3</v>
      </c>
      <c r="G83" s="33">
        <f>IF(OR(1980077.64559="",1446.05166="",1338.09717=""),"-",(1446.05166-1338.09717)/1980077.64559*100)</f>
        <v>5.4520331685191607E-3</v>
      </c>
    </row>
    <row r="84" spans="1:7" s="36" customFormat="1" x14ac:dyDescent="0.2">
      <c r="A84" s="31" t="s">
        <v>87</v>
      </c>
      <c r="B84" s="32">
        <v>1436.0482</v>
      </c>
      <c r="C84" s="33" t="s">
        <v>95</v>
      </c>
      <c r="D84" s="33">
        <f>IF(691.13686="","-",691.13686/1980077.64559*100)</f>
        <v>3.4904533240870117E-2</v>
      </c>
      <c r="E84" s="33">
        <f>IF(1436.0482="","-",1436.0482/2676670.83235*100)</f>
        <v>5.3650534187620391E-2</v>
      </c>
      <c r="F84" s="33">
        <f>IF(OR(2362843.47408="",1047.09994="",691.13686=""),"-",(691.13686-1047.09994)/2362843.47408*100)</f>
        <v>-1.5065030075197782E-2</v>
      </c>
      <c r="G84" s="33">
        <f>IF(OR(1980077.64559="",1436.0482="",691.13686=""),"-",(1436.0482-691.13686)/1980077.64559*100)</f>
        <v>3.7620309570135069E-2</v>
      </c>
    </row>
    <row r="85" spans="1:7" s="36" customFormat="1" x14ac:dyDescent="0.2">
      <c r="A85" s="31" t="s">
        <v>93</v>
      </c>
      <c r="B85" s="32">
        <v>1205.6123600000001</v>
      </c>
      <c r="C85" s="33" t="s">
        <v>324</v>
      </c>
      <c r="D85" s="33">
        <f>IF(278.27551="","-",278.27551/1980077.64559*100)</f>
        <v>1.4053767569154225E-2</v>
      </c>
      <c r="E85" s="33">
        <f>IF(1205.61236="","-",1205.61236/2676670.83235*100)</f>
        <v>4.5041487560931251E-2</v>
      </c>
      <c r="F85" s="33">
        <f>IF(OR(2362843.47408="",373.5401="",278.27551=""),"-",(278.27551-373.5401)/2362843.47408*100)</f>
        <v>-4.0317774344782757E-3</v>
      </c>
      <c r="G85" s="33">
        <f>IF(OR(1980077.64559="",1205.61236="",278.27551=""),"-",(1205.61236-278.27551)/1980077.64559*100)</f>
        <v>4.6833357876917163E-2</v>
      </c>
    </row>
    <row r="86" spans="1:7" s="36" customFormat="1" x14ac:dyDescent="0.2">
      <c r="A86" s="31" t="s">
        <v>37</v>
      </c>
      <c r="B86" s="32">
        <v>1106.22921</v>
      </c>
      <c r="C86" s="33">
        <f>IF(OR(1484.29946="",1106.22921=""),"-",1106.22921/1484.29946*100)</f>
        <v>74.528707973793914</v>
      </c>
      <c r="D86" s="33">
        <f>IF(1484.29946="","-",1484.29946/1980077.64559*100)</f>
        <v>7.4961679573819245E-2</v>
      </c>
      <c r="E86" s="33">
        <f>IF(1106.22921="","-",1106.22921/2676670.83235*100)</f>
        <v>4.1328548756545423E-2</v>
      </c>
      <c r="F86" s="33">
        <f>IF(OR(2362843.47408="",918.87203="",1484.29946=""),"-",(1484.29946-918.87203)/2362843.47408*100)</f>
        <v>2.3929957113225857E-2</v>
      </c>
      <c r="G86" s="33">
        <f>IF(OR(1980077.64559="",1106.22921="",1484.29946=""),"-",(1106.22921-1484.29946)/1980077.64559*100)</f>
        <v>-1.9093708311996374E-2</v>
      </c>
    </row>
    <row r="87" spans="1:7" s="36" customFormat="1" x14ac:dyDescent="0.2">
      <c r="A87" s="31" t="s">
        <v>86</v>
      </c>
      <c r="B87" s="32">
        <v>1011.40424</v>
      </c>
      <c r="C87" s="33">
        <f>IF(OR(2427.93351="",1011.40424=""),"-",1011.40424/2427.93351*100)</f>
        <v>41.656999083142111</v>
      </c>
      <c r="D87" s="33">
        <f>IF(2427.93351="","-",2427.93351/1980077.64559*100)</f>
        <v>0.12261809608362874</v>
      </c>
      <c r="E87" s="33">
        <f>IF(1011.40424="","-",1011.40424/2676670.83235*100)</f>
        <v>3.7785902837818554E-2</v>
      </c>
      <c r="F87" s="33">
        <f>IF(OR(2362843.47408="",964.80974="",2427.93351=""),"-",(2427.93351-964.80974)/2362843.47408*100)</f>
        <v>6.1922162261284941E-2</v>
      </c>
      <c r="G87" s="33">
        <f>IF(OR(1980077.64559="",1011.40424="",2427.93351=""),"-",(1011.40424-2427.93351)/1980077.64559*100)</f>
        <v>-7.1539076922305198E-2</v>
      </c>
    </row>
    <row r="88" spans="1:7" s="36" customFormat="1" x14ac:dyDescent="0.2">
      <c r="A88" s="31" t="s">
        <v>38</v>
      </c>
      <c r="B88" s="32">
        <v>874.78985999999998</v>
      </c>
      <c r="C88" s="33">
        <f>IF(OR(1119.69424="",874.78986=""),"-",874.78986/1119.69424*100)</f>
        <v>78.127566325606892</v>
      </c>
      <c r="D88" s="33">
        <f>IF(1119.69424="","-",1119.69424/1980077.64559*100)</f>
        <v>5.6547996614868444E-2</v>
      </c>
      <c r="E88" s="33">
        <f>IF(874.78986="","-",874.78986/2676670.83235*100)</f>
        <v>3.2682011154579388E-2</v>
      </c>
      <c r="F88" s="33">
        <f>IF(OR(2362843.47408="",999.45787="",1119.69424=""),"-",(1119.69424-999.45787)/2362843.47408*100)</f>
        <v>5.0886303438620909E-3</v>
      </c>
      <c r="G88" s="33">
        <f>IF(OR(1980077.64559="",874.78986="",1119.69424=""),"-",(874.78986-1119.69424)/1980077.64559*100)</f>
        <v>-1.2368423053785164E-2</v>
      </c>
    </row>
    <row r="89" spans="1:7" x14ac:dyDescent="0.2">
      <c r="A89" s="31" t="s">
        <v>97</v>
      </c>
      <c r="B89" s="32">
        <v>714.51813000000004</v>
      </c>
      <c r="C89" s="33">
        <f>IF(OR(626.62766="",714.51813=""),"-",714.51813/626.62766*100)</f>
        <v>114.02594804065944</v>
      </c>
      <c r="D89" s="33">
        <f>IF(626.62766="","-",626.62766/1980077.64559*100)</f>
        <v>3.1646620595693099E-2</v>
      </c>
      <c r="E89" s="33">
        <f>IF(714.51813="","-",714.51813/2676670.83235*100)</f>
        <v>2.669428460774478E-2</v>
      </c>
      <c r="F89" s="33">
        <f>IF(OR(2362843.47408="",471.08533="",626.62766=""),"-",(626.62766-471.08533)/2362843.47408*100)</f>
        <v>6.5828452754604135E-3</v>
      </c>
      <c r="G89" s="33">
        <f>IF(OR(1980077.64559="",714.51813="",626.62766=""),"-",(714.51813-626.62766)/1980077.64559*100)</f>
        <v>4.438738561376541E-3</v>
      </c>
    </row>
    <row r="90" spans="1:7" x14ac:dyDescent="0.2">
      <c r="A90" s="31" t="s">
        <v>153</v>
      </c>
      <c r="B90" s="32">
        <v>619.95925</v>
      </c>
      <c r="C90" s="33" t="s">
        <v>103</v>
      </c>
      <c r="D90" s="33">
        <f>IF(361.98279="","-",361.98279/1980077.64559*100)</f>
        <v>1.8281242193012116E-2</v>
      </c>
      <c r="E90" s="33">
        <f>IF(619.95925="","-",619.95925/2676670.83235*100)</f>
        <v>2.3161579769437057E-2</v>
      </c>
      <c r="F90" s="33">
        <f>IF(OR(2362843.47408="",512.1372="",361.98279=""),"-",(361.98279-512.1372)/2362843.47408*100)</f>
        <v>-6.3548183215337319E-3</v>
      </c>
      <c r="G90" s="33">
        <f>IF(OR(1980077.64559="",619.95925="",361.98279=""),"-",(619.95925-361.98279)/1980077.64559*100)</f>
        <v>1.3028603225462464E-2</v>
      </c>
    </row>
    <row r="91" spans="1:7" x14ac:dyDescent="0.2">
      <c r="A91" s="31" t="s">
        <v>225</v>
      </c>
      <c r="B91" s="32">
        <v>556.31944999999996</v>
      </c>
      <c r="C91" s="33">
        <f>IF(OR(820.45831="",556.31945=""),"-",556.31945/820.45831*100)</f>
        <v>67.805937635027419</v>
      </c>
      <c r="D91" s="33">
        <f>IF(820.45831="","-",820.45831/1980077.64559*100)</f>
        <v>4.1435663486596733E-2</v>
      </c>
      <c r="E91" s="33">
        <f>IF(556.31945="","-",556.31945/2676670.83235*100)</f>
        <v>2.0784006881846426E-2</v>
      </c>
      <c r="F91" s="33">
        <f>IF(OR(2362843.47408="",1065.77486="",820.45831=""),"-",(820.45831-1065.77486)/2362843.47408*100)</f>
        <v>-1.0382259878450763E-2</v>
      </c>
      <c r="G91" s="33">
        <f>IF(OR(1980077.64559="",556.31945="",820.45831=""),"-",(556.31945-820.45831)/1980077.64559*100)</f>
        <v>-1.3339823344215122E-2</v>
      </c>
    </row>
    <row r="92" spans="1:7" x14ac:dyDescent="0.2">
      <c r="A92" s="31" t="s">
        <v>152</v>
      </c>
      <c r="B92" s="32">
        <v>528.36815999999999</v>
      </c>
      <c r="C92" s="33" t="s">
        <v>103</v>
      </c>
      <c r="D92" s="33">
        <f>IF(310.22628="","-",310.22628/1980077.64559*100)</f>
        <v>1.566737954397553E-2</v>
      </c>
      <c r="E92" s="33">
        <f>IF(528.36816="","-",528.36816/2676670.83235*100)</f>
        <v>1.9739751097303058E-2</v>
      </c>
      <c r="F92" s="33">
        <f>IF(OR(2362843.47408="",361.1418="",310.22628=""),"-",(310.22628-361.1418)/2362843.47408*100)</f>
        <v>-2.1548410023149991E-3</v>
      </c>
      <c r="G92" s="33">
        <f>IF(OR(1980077.64559="",528.36816="",310.22628=""),"-",(528.36816-310.22628)/1980077.64559*100)</f>
        <v>1.1016834642108222E-2</v>
      </c>
    </row>
    <row r="93" spans="1:7" x14ac:dyDescent="0.2">
      <c r="A93" s="31" t="s">
        <v>67</v>
      </c>
      <c r="B93" s="32">
        <v>511.57028000000003</v>
      </c>
      <c r="C93" s="33">
        <f>IF(OR(579.22144="",511.57028=""),"-",511.57028/579.22144*100)</f>
        <v>88.320328750261737</v>
      </c>
      <c r="D93" s="33">
        <f>IF(579.22144="","-",579.22144/1980077.64559*100)</f>
        <v>2.9252460947177171E-2</v>
      </c>
      <c r="E93" s="33">
        <f>IF(511.57028="","-",511.57028/2676670.83235*100)</f>
        <v>1.9112184950693535E-2</v>
      </c>
      <c r="F93" s="33">
        <f>IF(OR(2362843.47408="",973.70409="",579.22144=""),"-",(579.22144-973.70409)/2362843.47408*100)</f>
        <v>-1.6695251053546668E-2</v>
      </c>
      <c r="G93" s="33">
        <f>IF(OR(1980077.64559="",511.57028="",579.22144=""),"-",(511.57028-579.22144)/1980077.64559*100)</f>
        <v>-3.4165912710883675E-3</v>
      </c>
    </row>
    <row r="94" spans="1:7" x14ac:dyDescent="0.2">
      <c r="A94" s="31" t="s">
        <v>98</v>
      </c>
      <c r="B94" s="32">
        <v>462.14981999999998</v>
      </c>
      <c r="C94" s="33" t="s">
        <v>320</v>
      </c>
      <c r="D94" s="33">
        <f>IF(196.03058="","-",196.03058/1980077.64559*100)</f>
        <v>9.9001461097546553E-3</v>
      </c>
      <c r="E94" s="33">
        <f>IF(462.14982="","-",462.14982/2676670.83235*100)</f>
        <v>1.7265844362126987E-2</v>
      </c>
      <c r="F94" s="33">
        <f>IF(OR(2362843.47408="",509.76677="",196.03058=""),"-",(196.03058-509.76677)/2362843.47408*100)</f>
        <v>-1.3277908310120152E-2</v>
      </c>
      <c r="G94" s="33">
        <f>IF(OR(1980077.64559="",462.14982="",196.03058=""),"-",(462.14982-196.03058)/1980077.64559*100)</f>
        <v>1.3439838614041064E-2</v>
      </c>
    </row>
    <row r="95" spans="1:7" x14ac:dyDescent="0.2">
      <c r="A95" s="31" t="s">
        <v>64</v>
      </c>
      <c r="B95" s="32">
        <v>460.77989000000002</v>
      </c>
      <c r="C95" s="33">
        <f>IF(OR(346.50908="",460.77989=""),"-",460.77989/346.50908*100)</f>
        <v>132.97772456640965</v>
      </c>
      <c r="D95" s="33">
        <f>IF(346.50908="","-",346.50908/1980077.64559*100)</f>
        <v>1.7499772333258747E-2</v>
      </c>
      <c r="E95" s="33">
        <f>IF(460.77989="","-",460.77989/2676670.83235*100)</f>
        <v>1.7214663993459944E-2</v>
      </c>
      <c r="F95" s="33">
        <f>IF(OR(2362843.47408="",200.64895="",346.50908=""),"-",(346.50908-200.64895)/2362843.47408*100)</f>
        <v>6.1730762786473721E-3</v>
      </c>
      <c r="G95" s="33">
        <f>IF(OR(1980077.64559="",460.77989="",346.50908=""),"-",(460.77989-346.50908)/1980077.64559*100)</f>
        <v>5.7710267198108275E-3</v>
      </c>
    </row>
    <row r="96" spans="1:7" x14ac:dyDescent="0.2">
      <c r="A96" s="31" t="s">
        <v>102</v>
      </c>
      <c r="B96" s="32">
        <v>436.95769999999999</v>
      </c>
      <c r="C96" s="33">
        <f>IF(OR(322.19141="",436.9577=""),"-",436.9577/322.19141*100)</f>
        <v>135.62053066529614</v>
      </c>
      <c r="D96" s="33">
        <f>IF(322.19141="","-",322.19141/1980077.64559*100)</f>
        <v>1.627165534228317E-2</v>
      </c>
      <c r="E96" s="33">
        <f>IF(436.9577="","-",436.9577/2676670.83235*100)</f>
        <v>1.6324670733471186E-2</v>
      </c>
      <c r="F96" s="33">
        <f>IF(OR(2362843.47408="",231.37238="",322.19141=""),"-",(322.19141-231.37238)/2362843.47408*100)</f>
        <v>3.8436329361749809E-3</v>
      </c>
      <c r="G96" s="33">
        <f>IF(OR(1980077.64559="",436.9577="",322.19141=""),"-",(436.9577-322.19141)/1980077.64559*100)</f>
        <v>5.7960499809492708E-3</v>
      </c>
    </row>
    <row r="97" spans="1:7" x14ac:dyDescent="0.2">
      <c r="A97" s="31" t="s">
        <v>233</v>
      </c>
      <c r="B97" s="32">
        <v>406.71544</v>
      </c>
      <c r="C97" s="33" t="s">
        <v>348</v>
      </c>
      <c r="D97" s="33">
        <f>IF(117.0751="","-",117.0751/1980077.64559*100)</f>
        <v>5.9126519740651563E-3</v>
      </c>
      <c r="E97" s="33">
        <f>IF(406.71544="","-",406.71544/2676670.83235*100)</f>
        <v>1.5194824671172646E-2</v>
      </c>
      <c r="F97" s="33">
        <f>IF(OR(2362843.47408="",121.45322="",117.0751=""),"-",(117.0751-121.45322)/2362843.47408*100)</f>
        <v>-1.8529031008728442E-4</v>
      </c>
      <c r="G97" s="33">
        <f>IF(OR(1980077.64559="",406.71544="",117.0751=""),"-",(406.71544-117.0751)/1980077.64559*100)</f>
        <v>1.4627726374522872E-2</v>
      </c>
    </row>
    <row r="98" spans="1:7" x14ac:dyDescent="0.2">
      <c r="A98" s="31" t="s">
        <v>92</v>
      </c>
      <c r="B98" s="32">
        <v>292.42552999999998</v>
      </c>
      <c r="C98" s="33">
        <f>IF(OR(362.11099="",292.42553=""),"-",292.42553/362.11099*100)</f>
        <v>80.755773250626831</v>
      </c>
      <c r="D98" s="33">
        <f>IF(362.11099="","-",362.11099/1980077.64559*100)</f>
        <v>1.8287716686589957E-2</v>
      </c>
      <c r="E98" s="33">
        <f>IF(292.42553="","-",292.42553/2676670.83235*100)</f>
        <v>1.0924971665016546E-2</v>
      </c>
      <c r="F98" s="33">
        <f>IF(OR(2362843.47408="",309.9984="",362.11099=""),"-",(362.11099-309.9984)/2362843.47408*100)</f>
        <v>2.2055032663681048E-3</v>
      </c>
      <c r="G98" s="33">
        <f>IF(OR(1980077.64559="",292.42553="",362.11099=""),"-",(292.42553-362.11099)/1980077.64559*100)</f>
        <v>-3.5193296664503266E-3</v>
      </c>
    </row>
    <row r="99" spans="1:7" x14ac:dyDescent="0.2">
      <c r="A99" s="31" t="s">
        <v>94</v>
      </c>
      <c r="B99" s="32">
        <v>287.98995000000002</v>
      </c>
      <c r="C99" s="33">
        <f>IF(OR(423.50163="",287.98995=""),"-",287.98995/423.50163*100)</f>
        <v>68.002087736946862</v>
      </c>
      <c r="D99" s="33">
        <f>IF(423.50163="","-",423.50163/1980077.64559*100)</f>
        <v>2.1388132477694326E-2</v>
      </c>
      <c r="E99" s="33">
        <f>IF(287.98995="","-",287.98995/2676670.83235*100)</f>
        <v>1.0759259096015085E-2</v>
      </c>
      <c r="F99" s="33">
        <f>IF(OR(2362843.47408="",228.49281="",423.50163=""),"-",(423.50163-228.49281)/2362843.47408*100)</f>
        <v>8.2531416972480114E-3</v>
      </c>
      <c r="G99" s="33">
        <f>IF(OR(1980077.64559="",287.98995="",423.50163=""),"-",(287.98995-423.50163)/1980077.64559*100)</f>
        <v>-6.8437558649182056E-3</v>
      </c>
    </row>
    <row r="100" spans="1:7" x14ac:dyDescent="0.2">
      <c r="A100" s="31" t="s">
        <v>130</v>
      </c>
      <c r="B100" s="32">
        <v>270.01807000000002</v>
      </c>
      <c r="C100" s="33" t="s">
        <v>319</v>
      </c>
      <c r="D100" s="33">
        <f>IF(100.09432="","-",100.09432/1980077.64559*100)</f>
        <v>5.055070452561726E-3</v>
      </c>
      <c r="E100" s="33">
        <f>IF(270.01807="","-",270.01807/2676670.83235*100)</f>
        <v>1.0087832494626766E-2</v>
      </c>
      <c r="F100" s="33">
        <f>IF(OR(2362843.47408="",113.53679="",100.09432=""),"-",(100.09432-113.53679)/2362843.47408*100)</f>
        <v>-5.6891072758147798E-4</v>
      </c>
      <c r="G100" s="33">
        <f>IF(OR(1980077.64559="",270.01807="",100.09432=""),"-",(270.01807-100.09432)/1980077.64559*100)</f>
        <v>8.5816710460042672E-3</v>
      </c>
    </row>
    <row r="101" spans="1:7" x14ac:dyDescent="0.2">
      <c r="A101" s="31" t="s">
        <v>128</v>
      </c>
      <c r="B101" s="32">
        <v>239.57730000000001</v>
      </c>
      <c r="C101" s="33" t="s">
        <v>349</v>
      </c>
      <c r="D101" s="33">
        <f>IF(14.32464="","-",14.32464/1980077.64559*100)</f>
        <v>7.2343829707403797E-4</v>
      </c>
      <c r="E101" s="33">
        <f>IF(239.5773="","-",239.5773/2676670.83235*100)</f>
        <v>8.950570130047018E-3</v>
      </c>
      <c r="F101" s="33">
        <f>IF(OR(2362843.47408="",0.93214="",14.32464=""),"-",(14.32464-0.93214)/2362843.47408*100)</f>
        <v>5.6679590277195662E-4</v>
      </c>
      <c r="G101" s="33">
        <f>IF(OR(1980077.64559="",239.5773="",14.32464=""),"-",(239.5773-14.32464)/1980077.64559*100)</f>
        <v>1.1375950862415898E-2</v>
      </c>
    </row>
    <row r="102" spans="1:7" x14ac:dyDescent="0.2">
      <c r="A102" s="31" t="s">
        <v>143</v>
      </c>
      <c r="B102" s="32">
        <v>199.42234999999999</v>
      </c>
      <c r="C102" s="33" t="s">
        <v>347</v>
      </c>
      <c r="D102" s="33">
        <f>IF(65.73616="","-",65.73616/1980077.64559*100)</f>
        <v>3.319877891980984E-3</v>
      </c>
      <c r="E102" s="33">
        <f>IF(199.42235="","-",199.42235/2676670.83235*100)</f>
        <v>7.4503875332670583E-3</v>
      </c>
      <c r="F102" s="33">
        <f>IF(OR(2362843.47408="",72.40079="",65.73616=""),"-",(65.73616-72.40079)/2362843.47408*100)</f>
        <v>-2.8205973324555285E-4</v>
      </c>
      <c r="G102" s="33">
        <f>IF(OR(1980077.64559="",199.42235="",65.73616=""),"-",(199.42235-65.73616)/1980077.64559*100)</f>
        <v>6.7515630156092079E-3</v>
      </c>
    </row>
    <row r="103" spans="1:7" x14ac:dyDescent="0.2">
      <c r="A103" s="31" t="s">
        <v>90</v>
      </c>
      <c r="B103" s="32">
        <v>186.26141000000001</v>
      </c>
      <c r="C103" s="33">
        <f>IF(OR(197.24883="",186.26141=""),"-",186.26141/197.24883*100)</f>
        <v>94.429665311576244</v>
      </c>
      <c r="D103" s="33">
        <f>IF(197.24883="","-",197.24883/1980077.64559*100)</f>
        <v>9.9616714748186619E-3</v>
      </c>
      <c r="E103" s="33">
        <f>IF(186.26141="","-",186.26141/2676670.83235*100)</f>
        <v>6.958696891259903E-3</v>
      </c>
      <c r="F103" s="33">
        <f>IF(OR(2362843.47408="",289.32222="",197.24883=""),"-",(197.24883-289.32222)/2362843.47408*100)</f>
        <v>-3.8967198212674602E-3</v>
      </c>
      <c r="G103" s="33">
        <f>IF(OR(1980077.64559="",186.26141="",197.24883=""),"-",(186.26141-197.24883)/1980077.64559*100)</f>
        <v>-5.548984417086374E-4</v>
      </c>
    </row>
    <row r="104" spans="1:7" x14ac:dyDescent="0.2">
      <c r="A104" s="31" t="s">
        <v>107</v>
      </c>
      <c r="B104" s="32">
        <v>158.41629</v>
      </c>
      <c r="C104" s="33">
        <f>IF(OR(130.11164="",158.41629=""),"-",158.41629/130.11164*100)</f>
        <v>121.75412591832678</v>
      </c>
      <c r="D104" s="33">
        <f>IF(130.11164="","-",130.11164/1980077.64559*100)</f>
        <v>6.5710372666335963E-3</v>
      </c>
      <c r="E104" s="33">
        <f>IF(158.41629="","-",158.41629/2676670.83235*100)</f>
        <v>5.9184076011661634E-3</v>
      </c>
      <c r="F104" s="33">
        <f>IF(OR(2362843.47408="",72.87627="",130.11164=""),"-",(130.11164-72.87627)/2362843.47408*100)</f>
        <v>2.4223089945594142E-3</v>
      </c>
      <c r="G104" s="33">
        <f>IF(OR(1980077.64559="",158.41629="",130.11164=""),"-",(158.41629-130.11164)/1980077.64559*100)</f>
        <v>1.4294717211236494E-3</v>
      </c>
    </row>
    <row r="105" spans="1:7" x14ac:dyDescent="0.2">
      <c r="A105" s="31" t="s">
        <v>60</v>
      </c>
      <c r="B105" s="32">
        <v>102.90665</v>
      </c>
      <c r="C105" s="33">
        <f>IF(OR(108.09211="",102.90665=""),"-",102.90665/108.09211*100)</f>
        <v>95.202739589411294</v>
      </c>
      <c r="D105" s="33">
        <f>IF(108.09211="","-",108.09211/1980077.64559*100)</f>
        <v>5.4589834010166805E-3</v>
      </c>
      <c r="E105" s="33">
        <f>IF(102.90665="","-",102.90665/2676670.83235*100)</f>
        <v>3.8445762084855415E-3</v>
      </c>
      <c r="F105" s="33">
        <f>IF(OR(2362843.47408="",199.02677="",108.09211=""),"-",(108.09211-199.02677)/2362843.47408*100)</f>
        <v>-3.848526616237516E-3</v>
      </c>
      <c r="G105" s="33">
        <f>IF(OR(1980077.64559="",102.90665="",108.09211=""),"-",(102.90665-108.09211)/1980077.64559*100)</f>
        <v>-2.6188164951758262E-4</v>
      </c>
    </row>
    <row r="106" spans="1:7" x14ac:dyDescent="0.2">
      <c r="A106" s="31" t="s">
        <v>137</v>
      </c>
      <c r="B106" s="32">
        <v>101.90884</v>
      </c>
      <c r="C106" s="33">
        <f>IF(OR(726.69511="",101.90884=""),"-",101.90884/726.69511*100)</f>
        <v>14.023603378864074</v>
      </c>
      <c r="D106" s="33">
        <f>IF(726.69511="","-",726.69511/1980077.64559*100)</f>
        <v>3.6700334030763122E-2</v>
      </c>
      <c r="E106" s="33">
        <f>IF(101.90884="","-",101.90884/2676670.83235*100)</f>
        <v>3.8072981843093683E-3</v>
      </c>
      <c r="F106" s="33">
        <f>IF(OR(2362843.47408="",60.32119="",726.69511=""),"-",(726.69511-60.32119)/2362843.47408*100)</f>
        <v>2.8202203290654294E-2</v>
      </c>
      <c r="G106" s="33">
        <f>IF(OR(1980077.64559="",101.90884="",726.69511=""),"-",(101.90884-726.69511)/1980077.64559*100)</f>
        <v>-3.1553624747570626E-2</v>
      </c>
    </row>
    <row r="107" spans="1:7" x14ac:dyDescent="0.2">
      <c r="A107" s="31" t="s">
        <v>111</v>
      </c>
      <c r="B107" s="32">
        <v>98.960470000000001</v>
      </c>
      <c r="C107" s="33">
        <f>IF(OR(364.98091="",98.96047=""),"-",98.96047/364.98091*100)</f>
        <v>27.113875627084166</v>
      </c>
      <c r="D107" s="33">
        <f>IF(364.98091="","-",364.98091/1980077.64559*100)</f>
        <v>1.8432656457330353E-2</v>
      </c>
      <c r="E107" s="33">
        <f>IF(98.96047="","-",98.96047/2676670.83235*100)</f>
        <v>3.6971475462717635E-3</v>
      </c>
      <c r="F107" s="33">
        <f>IF(OR(2362843.47408="",271.0003="",364.98091=""),"-",(364.98091-271.0003)/2362843.47408*100)</f>
        <v>3.9774369750240198E-3</v>
      </c>
      <c r="G107" s="33">
        <f>IF(OR(1980077.64559="",98.96047="",364.98091=""),"-",(98.96047-364.98091)/1980077.64559*100)</f>
        <v>-1.3434848910722105E-2</v>
      </c>
    </row>
    <row r="108" spans="1:7" x14ac:dyDescent="0.2">
      <c r="A108" s="31" t="s">
        <v>343</v>
      </c>
      <c r="B108" s="32">
        <v>87.181229999999999</v>
      </c>
      <c r="C108" s="33" t="s">
        <v>350</v>
      </c>
      <c r="D108" s="33">
        <f>IF(8.0222="","-",8.0222/1980077.64559*100)</f>
        <v>4.0514572839438527E-4</v>
      </c>
      <c r="E108" s="33">
        <f>IF(87.18123="","-",87.18123/2676670.83235*100)</f>
        <v>3.2570769982747071E-3</v>
      </c>
      <c r="F108" s="33">
        <f>IF(OR(2362843.47408="",33.53186="",8.0222=""),"-",(8.0222-33.53186)/2362843.47408*100)</f>
        <v>-1.079617007213416E-3</v>
      </c>
      <c r="G108" s="33">
        <f>IF(OR(1980077.64559="",87.18123="",8.0222=""),"-",(87.18123-8.0222)/1980077.64559*100)</f>
        <v>3.9977740355941014E-3</v>
      </c>
    </row>
    <row r="109" spans="1:7" x14ac:dyDescent="0.2">
      <c r="A109" s="31" t="s">
        <v>213</v>
      </c>
      <c r="B109" s="32">
        <v>83.294880000000006</v>
      </c>
      <c r="C109" s="33" t="s">
        <v>351</v>
      </c>
      <c r="D109" s="33">
        <f>IF(7.27988="","-",7.27988/1980077.64559*100)</f>
        <v>3.6765628944974169E-4</v>
      </c>
      <c r="E109" s="33">
        <f>IF(83.29488="","-",83.29488/2676670.83235*100)</f>
        <v>3.1118835754215899E-3</v>
      </c>
      <c r="F109" s="33">
        <f>IF(OR(2362843.47408="",25.24948="",7.27988=""),"-",(7.27988-25.24948)/2362843.47408*100)</f>
        <v>-7.6050742239693503E-4</v>
      </c>
      <c r="G109" s="33">
        <f>IF(OR(1980077.64559="",83.29488="",7.27988=""),"-",(83.29488-7.27988)/1980077.64559*100)</f>
        <v>3.8389908683277895E-3</v>
      </c>
    </row>
    <row r="110" spans="1:7" x14ac:dyDescent="0.2">
      <c r="A110" s="31" t="s">
        <v>142</v>
      </c>
      <c r="B110" s="32">
        <v>82.622649999999993</v>
      </c>
      <c r="C110" s="33">
        <f>IF(OR(110.77225="",82.62265=""),"-",82.62265/110.77225*100)</f>
        <v>74.587859323973277</v>
      </c>
      <c r="D110" s="33">
        <f>IF(110.77225="","-",110.77225/1980077.64559*100)</f>
        <v>5.5943386991267911E-3</v>
      </c>
      <c r="E110" s="33">
        <f>IF(82.62265="","-",82.62265/2676670.83235*100)</f>
        <v>3.0867691686788743E-3</v>
      </c>
      <c r="F110" s="33">
        <f>IF(OR(2362843.47408="",2.52906="",110.77225=""),"-",(110.77225-2.52906)/2362843.47408*100)</f>
        <v>4.5810563072590203E-3</v>
      </c>
      <c r="G110" s="33">
        <f>IF(OR(1980077.64559="",82.62265="",110.77225=""),"-",(82.62265-110.77225)/1980077.64559*100)</f>
        <v>-1.4216412201155033E-3</v>
      </c>
    </row>
    <row r="111" spans="1:7" x14ac:dyDescent="0.2">
      <c r="A111" s="31" t="s">
        <v>234</v>
      </c>
      <c r="B111" s="32">
        <v>75.250399999999999</v>
      </c>
      <c r="C111" s="33" t="s">
        <v>352</v>
      </c>
      <c r="D111" s="33">
        <f>IF(3.85615="","-",3.85615/1980077.64559*100)</f>
        <v>1.9474741349604955E-4</v>
      </c>
      <c r="E111" s="33">
        <f>IF(75.2504="","-",75.2504/2676670.83235*100)</f>
        <v>2.8113430717939059E-3</v>
      </c>
      <c r="F111" s="33">
        <f>IF(OR(2362843.47408="",3.19="",3.85615=""),"-",(3.85615-3.19)/2362843.47408*100)</f>
        <v>2.8192726573196858E-5</v>
      </c>
      <c r="G111" s="33">
        <f>IF(OR(1980077.64559="",75.2504="",3.85615=""),"-",(75.2504-3.85615)/1980077.64559*100)</f>
        <v>3.6056288074868287E-3</v>
      </c>
    </row>
    <row r="112" spans="1:7" x14ac:dyDescent="0.2">
      <c r="A112" s="31" t="s">
        <v>145</v>
      </c>
      <c r="B112" s="32">
        <v>73.699079999999995</v>
      </c>
      <c r="C112" s="33">
        <f>IF(OR(49.35694="",73.69908=""),"-",73.69908/49.35694*100)</f>
        <v>149.31857607055866</v>
      </c>
      <c r="D112" s="33">
        <f>IF(49.35694="","-",49.35694/1980077.64559*100)</f>
        <v>2.4926769972847813E-3</v>
      </c>
      <c r="E112" s="33">
        <f>IF(73.69908="","-",73.69908/2676670.83235*100)</f>
        <v>2.7533860013446414E-3</v>
      </c>
      <c r="F112" s="33">
        <f>IF(OR(2362843.47408="",29.50034="",49.35694=""),"-",(49.35694-29.50034)/2362843.47408*100)</f>
        <v>8.4036882755136335E-4</v>
      </c>
      <c r="G112" s="33">
        <f>IF(OR(1980077.64559="",73.69908="",49.35694=""),"-",(73.69908-49.35694)/1980077.64559*100)</f>
        <v>1.2293528010992119E-3</v>
      </c>
    </row>
    <row r="113" spans="1:7" x14ac:dyDescent="0.2">
      <c r="A113" s="31" t="s">
        <v>222</v>
      </c>
      <c r="B113" s="32">
        <v>54.02769</v>
      </c>
      <c r="C113" s="33" t="s">
        <v>228</v>
      </c>
      <c r="D113" s="33">
        <f>IF(23.00669="","-",23.00669/1980077.64559*100)</f>
        <v>1.1619084762276954E-3</v>
      </c>
      <c r="E113" s="33">
        <f>IF(54.02769="","-",54.02769/2676670.83235*100)</f>
        <v>2.0184659744868984E-3</v>
      </c>
      <c r="F113" s="33">
        <f>IF(OR(2362843.47408="",53.68034="",23.00669=""),"-",(23.00669-53.68034)/2362843.47408*100)</f>
        <v>-1.2981668204637693E-3</v>
      </c>
      <c r="G113" s="33">
        <f>IF(OR(1980077.64559="",54.02769="",23.00669=""),"-",(54.02769-23.00669)/1980077.64559*100)</f>
        <v>1.5666557353995443E-3</v>
      </c>
    </row>
    <row r="114" spans="1:7" x14ac:dyDescent="0.2">
      <c r="A114" s="31" t="s">
        <v>344</v>
      </c>
      <c r="B114" s="32">
        <v>53.248629999999999</v>
      </c>
      <c r="C114" s="33">
        <f>IF(OR(39.97371="",53.24863=""),"-",53.24863/39.97371*100)</f>
        <v>133.2091266985226</v>
      </c>
      <c r="D114" s="33">
        <f>IF(39.97371="","-",39.97371/1980077.64559*100)</f>
        <v>2.0187950754875124E-3</v>
      </c>
      <c r="E114" s="33">
        <f>IF(53.24863="","-",53.24863/2676670.83235*100)</f>
        <v>1.9893604157986819E-3</v>
      </c>
      <c r="F114" s="33">
        <f>IF(OR(2362843.47408="",40.0016="",39.97371=""),"-",(39.97371-40.0016)/2362843.47408*100)</f>
        <v>-1.1803574932472284E-6</v>
      </c>
      <c r="G114" s="33">
        <f>IF(OR(1980077.64559="",53.24863="",39.97371=""),"-",(53.24863-39.97371)/1980077.64559*100)</f>
        <v>6.7042421440218316E-4</v>
      </c>
    </row>
    <row r="115" spans="1:7" x14ac:dyDescent="0.2">
      <c r="A115" s="109" t="s">
        <v>345</v>
      </c>
      <c r="B115" s="112">
        <v>45.820740000000001</v>
      </c>
      <c r="C115" s="96" t="s">
        <v>216</v>
      </c>
      <c r="D115" s="96">
        <f>IF(24.83048="","-",24.83048/1980077.64559*100)</f>
        <v>1.2540154703176453E-3</v>
      </c>
      <c r="E115" s="96">
        <f>IF(45.82074="","-",45.82074/2676670.83235*100)</f>
        <v>1.711855617292E-3</v>
      </c>
      <c r="F115" s="96">
        <f>IF(OR(2362843.47408="",24.90656="",24.83048=""),"-",(24.83048-24.90656)/2362843.47408*100)</f>
        <v>-3.2198493397714416E-6</v>
      </c>
      <c r="G115" s="96">
        <f>IF(OR(1980077.64559="",45.82074="",24.83048=""),"-",(45.82074-24.83048)/1980077.64559*100)</f>
        <v>1.0600725707271732E-3</v>
      </c>
    </row>
    <row r="116" spans="1:7" x14ac:dyDescent="0.2">
      <c r="A116" s="37" t="s">
        <v>139</v>
      </c>
      <c r="B116" s="38">
        <v>44.963560000000001</v>
      </c>
      <c r="C116" s="39">
        <f>IF(OR(49.96022="",44.96356=""),"-",44.96356/49.96022*100)</f>
        <v>89.998722984006079</v>
      </c>
      <c r="D116" s="39">
        <f>IF(49.96022="","-",49.96022/1980077.64559*100)</f>
        <v>2.5231444893724581E-3</v>
      </c>
      <c r="E116" s="39">
        <f>IF(44.96356="","-",44.96356/2676670.83235*100)</f>
        <v>1.6798315077287246E-3</v>
      </c>
      <c r="F116" s="39">
        <f>IF(OR(2362843.47408="",21.11708="",49.96022=""),"-",(49.96022-21.11708)/2362843.47408*100)</f>
        <v>1.2206961788372545E-3</v>
      </c>
      <c r="G116" s="39">
        <f>IF(OR(1980077.64559="",44.96356="",49.96022=""),"-",(44.96356-49.96022)/1980077.64559*100)</f>
        <v>-2.5234666989592484E-4</v>
      </c>
    </row>
    <row r="117" spans="1:7" x14ac:dyDescent="0.2">
      <c r="A117" s="1" t="s">
        <v>313</v>
      </c>
      <c r="B117" s="3"/>
      <c r="C117" s="3"/>
      <c r="D117" s="3"/>
      <c r="E117" s="3"/>
    </row>
    <row r="118" spans="1:7" ht="13.5" x14ac:dyDescent="0.2">
      <c r="A118" s="2" t="s">
        <v>382</v>
      </c>
      <c r="B118" s="2"/>
      <c r="C118" s="2"/>
      <c r="D118" s="2"/>
      <c r="E118" s="2"/>
    </row>
  </sheetData>
  <mergeCells count="10">
    <mergeCell ref="A118:E118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1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E137"/>
  <sheetViews>
    <sheetView workbookViewId="0">
      <selection sqref="A1:XFD1048576"/>
    </sheetView>
  </sheetViews>
  <sheetFormatPr defaultRowHeight="12" x14ac:dyDescent="0.2"/>
  <cols>
    <col min="1" max="1" width="42.125" style="7" customWidth="1"/>
    <col min="2" max="2" width="15" style="7" customWidth="1"/>
    <col min="3" max="3" width="14.5" style="7" customWidth="1"/>
    <col min="4" max="4" width="16.75" style="7" customWidth="1"/>
    <col min="5" max="16384" width="9" style="7"/>
  </cols>
  <sheetData>
    <row r="1" spans="1:5" x14ac:dyDescent="0.2">
      <c r="A1" s="40" t="s">
        <v>392</v>
      </c>
      <c r="B1" s="40"/>
      <c r="C1" s="40"/>
      <c r="D1" s="40"/>
    </row>
    <row r="2" spans="1:5" x14ac:dyDescent="0.2">
      <c r="A2" s="41"/>
    </row>
    <row r="3" spans="1:5" ht="28.5" customHeight="1" x14ac:dyDescent="0.2">
      <c r="A3" s="42"/>
      <c r="B3" s="43" t="s">
        <v>331</v>
      </c>
      <c r="C3" s="44"/>
      <c r="D3" s="45" t="s">
        <v>333</v>
      </c>
      <c r="E3" s="46"/>
    </row>
    <row r="4" spans="1:5" ht="27" customHeight="1" x14ac:dyDescent="0.2">
      <c r="A4" s="47"/>
      <c r="B4" s="48">
        <v>2020</v>
      </c>
      <c r="C4" s="49">
        <v>2021</v>
      </c>
      <c r="D4" s="50"/>
      <c r="E4" s="46"/>
    </row>
    <row r="5" spans="1:5" ht="16.5" customHeight="1" x14ac:dyDescent="0.2">
      <c r="A5" s="103" t="s">
        <v>223</v>
      </c>
      <c r="B5" s="24">
        <f>IF(-999479.88851="","-",-999479.88851)</f>
        <v>-999479.88850999996</v>
      </c>
      <c r="C5" s="24">
        <f>IF(-1571963.05179="","-",-1571963.05179)</f>
        <v>-1571963.0517899999</v>
      </c>
      <c r="D5" s="24" t="s">
        <v>104</v>
      </c>
    </row>
    <row r="6" spans="1:5" x14ac:dyDescent="0.2">
      <c r="A6" s="104" t="s">
        <v>140</v>
      </c>
      <c r="B6" s="34"/>
      <c r="C6" s="34"/>
      <c r="D6" s="105"/>
    </row>
    <row r="7" spans="1:5" x14ac:dyDescent="0.2">
      <c r="A7" s="28" t="s">
        <v>367</v>
      </c>
      <c r="B7" s="30">
        <f>IF(-308265.55201="","-",-308265.55201)</f>
        <v>-308265.55200999998</v>
      </c>
      <c r="C7" s="30">
        <f>IF(-546704.28803="","-",-546704.28803)</f>
        <v>-546704.28803000005</v>
      </c>
      <c r="D7" s="30" t="s">
        <v>216</v>
      </c>
    </row>
    <row r="8" spans="1:5" x14ac:dyDescent="0.2">
      <c r="A8" s="31" t="s">
        <v>4</v>
      </c>
      <c r="B8" s="33">
        <f>IF(-77606.48604="","-",-77606.48604)</f>
        <v>-77606.486040000003</v>
      </c>
      <c r="C8" s="33">
        <f>IF(-112190.66931="","-",-112190.66931)</f>
        <v>-112190.66931</v>
      </c>
      <c r="D8" s="33">
        <f>IF(OR(-77606.48604="",-112190.66931="",-77606.48604=0),"-",-112190.66931/-77606.48604*100)</f>
        <v>144.56352172958145</v>
      </c>
    </row>
    <row r="9" spans="1:5" x14ac:dyDescent="0.2">
      <c r="A9" s="31" t="s">
        <v>3</v>
      </c>
      <c r="B9" s="33">
        <f>IF(-41837.39465="","-",-41837.39465)</f>
        <v>-41837.394650000002</v>
      </c>
      <c r="C9" s="33">
        <f>IF(-100946.41715="","-",-100946.41715)</f>
        <v>-100946.41714999999</v>
      </c>
      <c r="D9" s="33" t="s">
        <v>320</v>
      </c>
    </row>
    <row r="10" spans="1:5" x14ac:dyDescent="0.2">
      <c r="A10" s="31" t="s">
        <v>5</v>
      </c>
      <c r="B10" s="33">
        <f>IF(-35949.64986="","-",-35949.64986)</f>
        <v>-35949.649859999998</v>
      </c>
      <c r="C10" s="33">
        <f>IF(-60548.88701="","-",-60548.88701)</f>
        <v>-60548.887009999999</v>
      </c>
      <c r="D10" s="33" t="s">
        <v>103</v>
      </c>
    </row>
    <row r="11" spans="1:5" x14ac:dyDescent="0.2">
      <c r="A11" s="31" t="s">
        <v>368</v>
      </c>
      <c r="B11" s="33">
        <f>IF(-41761.96392="","-",-41761.96392)</f>
        <v>-41761.963920000002</v>
      </c>
      <c r="C11" s="33">
        <f>IF(-59847.14896="","-",-59847.14896)</f>
        <v>-59847.148959999999</v>
      </c>
      <c r="D11" s="33">
        <f>IF(OR(-41761.96392="",-59847.14896="",-41761.96392=0),"-",-59847.14896/-41761.96392*100)</f>
        <v>143.3053988424594</v>
      </c>
    </row>
    <row r="12" spans="1:5" x14ac:dyDescent="0.2">
      <c r="A12" s="31" t="s">
        <v>42</v>
      </c>
      <c r="B12" s="33">
        <f>IF(-36160.36853="","-",-36160.36853)</f>
        <v>-36160.36853</v>
      </c>
      <c r="C12" s="33">
        <f>IF(-37394.50561="","-",-37394.50561)</f>
        <v>-37394.50561</v>
      </c>
      <c r="D12" s="33">
        <f>IF(OR(-36160.36853="",-37394.50561="",-36160.36853=0),"-",-37394.50561/-36160.36853*100)</f>
        <v>103.41295492875334</v>
      </c>
    </row>
    <row r="13" spans="1:5" x14ac:dyDescent="0.2">
      <c r="A13" s="31" t="s">
        <v>8</v>
      </c>
      <c r="B13" s="33">
        <f>IF(-14368.39014="","-",-14368.39014)</f>
        <v>-14368.39014</v>
      </c>
      <c r="C13" s="33">
        <f>IF(-29922.38332="","-",-29922.38332)</f>
        <v>-29922.383320000001</v>
      </c>
      <c r="D13" s="33" t="s">
        <v>95</v>
      </c>
    </row>
    <row r="14" spans="1:5" x14ac:dyDescent="0.2">
      <c r="A14" s="31" t="s">
        <v>2</v>
      </c>
      <c r="B14" s="33">
        <f>IF(-6185.71374="","-",-6185.71374)</f>
        <v>-6185.7137400000001</v>
      </c>
      <c r="C14" s="33">
        <f>IF(-26847.57931="","-",-26847.57931)</f>
        <v>-26847.579310000001</v>
      </c>
      <c r="D14" s="33" t="s">
        <v>324</v>
      </c>
    </row>
    <row r="15" spans="1:5" x14ac:dyDescent="0.2">
      <c r="A15" s="31" t="s">
        <v>40</v>
      </c>
      <c r="B15" s="33">
        <f>IF(-11563.51088="","-",-11563.51088)</f>
        <v>-11563.51088</v>
      </c>
      <c r="C15" s="33">
        <f>IF(-21270.36649="","-",-21270.36649)</f>
        <v>-21270.36649</v>
      </c>
      <c r="D15" s="33" t="s">
        <v>216</v>
      </c>
    </row>
    <row r="16" spans="1:5" x14ac:dyDescent="0.2">
      <c r="A16" s="31" t="s">
        <v>6</v>
      </c>
      <c r="B16" s="33">
        <f>IF(-4825.76917="","-",-4825.76917)</f>
        <v>-4825.7691699999996</v>
      </c>
      <c r="C16" s="33">
        <f>IF(-15588.37675="","-",-15588.37675)</f>
        <v>-15588.376749999999</v>
      </c>
      <c r="D16" s="33" t="s">
        <v>230</v>
      </c>
    </row>
    <row r="17" spans="1:4" x14ac:dyDescent="0.2">
      <c r="A17" s="31" t="s">
        <v>7</v>
      </c>
      <c r="B17" s="33">
        <f>IF(1212.57768="","-",1212.57768)</f>
        <v>1212.5776800000001</v>
      </c>
      <c r="C17" s="33">
        <f>IF(-12475.50074="","-",-12475.50074)</f>
        <v>-12475.500739999999</v>
      </c>
      <c r="D17" s="33" t="s">
        <v>22</v>
      </c>
    </row>
    <row r="18" spans="1:4" x14ac:dyDescent="0.2">
      <c r="A18" s="31" t="s">
        <v>52</v>
      </c>
      <c r="B18" s="33">
        <f>IF(-9760.83333="","-",-9760.83333)</f>
        <v>-9760.8333299999995</v>
      </c>
      <c r="C18" s="33">
        <f>IF(-12463.66559="","-",-12463.66559)</f>
        <v>-12463.665590000001</v>
      </c>
      <c r="D18" s="33">
        <f>IF(OR(-9760.83333="",-12463.66559="",-9760.83333=0),"-",-12463.66559/-9760.83333*100)</f>
        <v>127.690589200953</v>
      </c>
    </row>
    <row r="19" spans="1:4" x14ac:dyDescent="0.2">
      <c r="A19" s="31" t="s">
        <v>10</v>
      </c>
      <c r="B19" s="33">
        <f>IF(-6650.92919="","-",-6650.92919)</f>
        <v>-6650.9291899999998</v>
      </c>
      <c r="C19" s="33">
        <f>IF(-12004.71985="","-",-12004.71985)</f>
        <v>-12004.719849999999</v>
      </c>
      <c r="D19" s="33" t="s">
        <v>216</v>
      </c>
    </row>
    <row r="20" spans="1:4" x14ac:dyDescent="0.2">
      <c r="A20" s="31" t="s">
        <v>50</v>
      </c>
      <c r="B20" s="33">
        <f>IF(-7286.90109="","-",-7286.90109)</f>
        <v>-7286.9010900000003</v>
      </c>
      <c r="C20" s="33">
        <f>IF(-10393.64771="","-",-10393.64771)</f>
        <v>-10393.647709999999</v>
      </c>
      <c r="D20" s="33">
        <f>IF(OR(-7286.90109="",-10393.64771="",-7286.90109=0),"-",-10393.64771/-7286.90109*100)</f>
        <v>142.6346753116145</v>
      </c>
    </row>
    <row r="21" spans="1:4" x14ac:dyDescent="0.2">
      <c r="A21" s="31" t="s">
        <v>41</v>
      </c>
      <c r="B21" s="33">
        <f>IF(-10829.74595="","-",-10829.74595)</f>
        <v>-10829.74595</v>
      </c>
      <c r="C21" s="33">
        <f>IF(-9813.05287="","-",-9813.05287)</f>
        <v>-9813.0528699999995</v>
      </c>
      <c r="D21" s="33">
        <f>IF(OR(-10829.74595="",-9813.05287="",-10829.74595=0),"-",-9813.05287/-10829.74595*100)</f>
        <v>90.612032039403474</v>
      </c>
    </row>
    <row r="22" spans="1:4" x14ac:dyDescent="0.2">
      <c r="A22" s="31" t="s">
        <v>44</v>
      </c>
      <c r="B22" s="33">
        <f>IF(-4943.92336="","-",-4943.92336)</f>
        <v>-4943.9233599999998</v>
      </c>
      <c r="C22" s="33">
        <f>IF(-8804.3531="","-",-8804.3531)</f>
        <v>-8804.3531000000003</v>
      </c>
      <c r="D22" s="33" t="s">
        <v>216</v>
      </c>
    </row>
    <row r="23" spans="1:4" x14ac:dyDescent="0.2">
      <c r="A23" s="31" t="s">
        <v>48</v>
      </c>
      <c r="B23" s="33">
        <f>IF(-4841.26107="","-",-4841.26107)</f>
        <v>-4841.2610699999996</v>
      </c>
      <c r="C23" s="33">
        <f>IF(-6095.85831="","-",-6095.85831)</f>
        <v>-6095.8583099999996</v>
      </c>
      <c r="D23" s="33">
        <f>IF(OR(-4841.26107="",-6095.85831="",-4841.26107=0),"-",-6095.85831/-4841.26107*100)</f>
        <v>125.91467846620385</v>
      </c>
    </row>
    <row r="24" spans="1:4" x14ac:dyDescent="0.2">
      <c r="A24" s="31" t="s">
        <v>45</v>
      </c>
      <c r="B24" s="33">
        <f>IF(-2492.82805="","-",-2492.82805)</f>
        <v>-2492.8280500000001</v>
      </c>
      <c r="C24" s="33">
        <f>IF(-4395.38479="","-",-4395.38479)</f>
        <v>-4395.3847900000001</v>
      </c>
      <c r="D24" s="33" t="s">
        <v>216</v>
      </c>
    </row>
    <row r="25" spans="1:4" x14ac:dyDescent="0.2">
      <c r="A25" s="31" t="s">
        <v>49</v>
      </c>
      <c r="B25" s="33">
        <f>IF(-3479.70232="","-",-3479.70232)</f>
        <v>-3479.7023199999999</v>
      </c>
      <c r="C25" s="33">
        <f>IF(-4347.01819="","-",-4347.01819)</f>
        <v>-4347.0181899999998</v>
      </c>
      <c r="D25" s="33">
        <f>IF(OR(-3479.70232="",-4347.01819="",-3479.70232=0),"-",-4347.01819/-3479.70232*100)</f>
        <v>124.92500191798015</v>
      </c>
    </row>
    <row r="26" spans="1:4" x14ac:dyDescent="0.2">
      <c r="A26" s="31" t="s">
        <v>369</v>
      </c>
      <c r="B26" s="33">
        <f>IF(-1360.79487="","-",-1360.79487)</f>
        <v>-1360.7948699999999</v>
      </c>
      <c r="C26" s="33">
        <f>IF(-2907.67649="","-",-2907.67649)</f>
        <v>-2907.6764899999998</v>
      </c>
      <c r="D26" s="33" t="s">
        <v>95</v>
      </c>
    </row>
    <row r="27" spans="1:4" x14ac:dyDescent="0.2">
      <c r="A27" s="31" t="s">
        <v>53</v>
      </c>
      <c r="B27" s="33">
        <f>IF(-3311.4122="","-",-3311.4122)</f>
        <v>-3311.4122000000002</v>
      </c>
      <c r="C27" s="33">
        <f>IF(-2600.76623="","-",-2600.76623)</f>
        <v>-2600.7662300000002</v>
      </c>
      <c r="D27" s="33">
        <f>IF(OR(-3311.4122="",-2600.76623="",-3311.4122=0),"-",-2600.76623/-3311.4122*100)</f>
        <v>78.539489284964276</v>
      </c>
    </row>
    <row r="28" spans="1:4" x14ac:dyDescent="0.2">
      <c r="A28" s="31" t="s">
        <v>46</v>
      </c>
      <c r="B28" s="33">
        <f>IF(1343.49103="","-",1343.49103)</f>
        <v>1343.4910299999999</v>
      </c>
      <c r="C28" s="33">
        <f>IF(-1371.69564="","-",-1371.69564)</f>
        <v>-1371.6956399999999</v>
      </c>
      <c r="D28" s="33" t="s">
        <v>22</v>
      </c>
    </row>
    <row r="29" spans="1:4" x14ac:dyDescent="0.2">
      <c r="A29" s="31" t="s">
        <v>54</v>
      </c>
      <c r="B29" s="33">
        <f>IF(-424.22567="","-",-424.22567)</f>
        <v>-424.22566999999998</v>
      </c>
      <c r="C29" s="33">
        <f>IF(-1204.94202="","-",-1204.94202)</f>
        <v>-1204.94202</v>
      </c>
      <c r="D29" s="33" t="s">
        <v>379</v>
      </c>
    </row>
    <row r="30" spans="1:4" x14ac:dyDescent="0.2">
      <c r="A30" s="31" t="s">
        <v>43</v>
      </c>
      <c r="B30" s="33">
        <f>IF(-2907.49579="","-",-2907.49579)</f>
        <v>-2907.4957899999999</v>
      </c>
      <c r="C30" s="33">
        <f>IF(-998.37417="","-",-998.37417)</f>
        <v>-998.37417000000005</v>
      </c>
      <c r="D30" s="33">
        <f>IF(OR(-2907.49579="",-998.37417="",-2907.49579=0),"-",-998.37417/-2907.49579*100)</f>
        <v>34.337940348316039</v>
      </c>
    </row>
    <row r="31" spans="1:4" x14ac:dyDescent="0.2">
      <c r="A31" s="31" t="s">
        <v>55</v>
      </c>
      <c r="B31" s="33">
        <f>IF(-21.909="","-",-21.909)</f>
        <v>-21.908999999999999</v>
      </c>
      <c r="C31" s="33">
        <f>IF(-62.88042="","-",-62.88042)</f>
        <v>-62.880420000000001</v>
      </c>
      <c r="D31" s="33" t="s">
        <v>315</v>
      </c>
    </row>
    <row r="32" spans="1:4" x14ac:dyDescent="0.2">
      <c r="A32" s="31" t="s">
        <v>370</v>
      </c>
      <c r="B32" s="33" t="str">
        <f>IF(OR(0="",-16.82952="",0=0),"-",-16.82952/0*100)</f>
        <v>-</v>
      </c>
      <c r="C32" s="33">
        <f>IF(-16.82952="","-",-16.82952)</f>
        <v>-16.829519999999999</v>
      </c>
      <c r="D32" s="33" t="s">
        <v>22</v>
      </c>
    </row>
    <row r="33" spans="1:4" x14ac:dyDescent="0.2">
      <c r="A33" s="31" t="s">
        <v>9</v>
      </c>
      <c r="B33" s="33">
        <f>IF(8815.71601="","-",8815.71601)</f>
        <v>8815.7160100000001</v>
      </c>
      <c r="C33" s="33">
        <f>IF(234.36637="","-",234.36637)</f>
        <v>234.36636999999999</v>
      </c>
      <c r="D33" s="33">
        <f>IF(OR(8815.71601="",234.36637="",8815.71601=0),"-",234.36637/8815.71601*100)</f>
        <v>2.6585063508641769</v>
      </c>
    </row>
    <row r="34" spans="1:4" x14ac:dyDescent="0.2">
      <c r="A34" s="31" t="s">
        <v>47</v>
      </c>
      <c r="B34" s="33">
        <f>IF(7125.80973="","-",7125.80973)</f>
        <v>7125.8097299999999</v>
      </c>
      <c r="C34" s="33">
        <f>IF(3192.90502="","-",3192.90502)</f>
        <v>3192.9050200000001</v>
      </c>
      <c r="D34" s="33">
        <f>IF(OR(7125.80973="",3192.90502="",7125.80973=0),"-",3192.90502/7125.80973*100)</f>
        <v>44.80760981531288</v>
      </c>
    </row>
    <row r="35" spans="1:4" x14ac:dyDescent="0.2">
      <c r="A35" s="31" t="s">
        <v>51</v>
      </c>
      <c r="B35" s="33">
        <f>IF(1808.06236="","-",1808.06236)</f>
        <v>1808.0623599999999</v>
      </c>
      <c r="C35" s="33">
        <f>IF(4381.14013="","-",4381.14013)</f>
        <v>4381.1401299999998</v>
      </c>
      <c r="D35" s="33" t="s">
        <v>320</v>
      </c>
    </row>
    <row r="36" spans="1:4" x14ac:dyDescent="0.2">
      <c r="A36" s="106" t="s">
        <v>217</v>
      </c>
      <c r="B36" s="85">
        <f>IF(-328201.61282="","-",-328201.61282)</f>
        <v>-328201.61281999998</v>
      </c>
      <c r="C36" s="85">
        <f>IF(-438876.67217="","-",-438876.67217)</f>
        <v>-438876.67216999998</v>
      </c>
      <c r="D36" s="107">
        <f>IF(-328201.61282="","-",-438876.67217/-328201.61282*100)</f>
        <v>133.72166833643777</v>
      </c>
    </row>
    <row r="37" spans="1:4" x14ac:dyDescent="0.2">
      <c r="A37" s="31" t="s">
        <v>371</v>
      </c>
      <c r="B37" s="33">
        <f>IF(-153729.57847="","-",-153729.57847)</f>
        <v>-153729.57847000001</v>
      </c>
      <c r="C37" s="33">
        <f>IF(-212623.02796="","-",-212623.02796)</f>
        <v>-212623.02796000001</v>
      </c>
      <c r="D37" s="108">
        <f>IF(OR(-153729.57847="",-212623.02796="",-153729.57847=0),"-",-212623.02796/-153729.57847*100)</f>
        <v>138.30977101227981</v>
      </c>
    </row>
    <row r="38" spans="1:4" x14ac:dyDescent="0.2">
      <c r="A38" s="31" t="s">
        <v>12</v>
      </c>
      <c r="B38" s="33">
        <f>IF(-160539.89774="","-",-160539.89774)</f>
        <v>-160539.89773999999</v>
      </c>
      <c r="C38" s="33">
        <f>IF(-203923.96742="","-",-203923.96742)</f>
        <v>-203923.96742</v>
      </c>
      <c r="D38" s="108">
        <f>IF(OR(-160539.89774="",-203923.96742="",-160539.89774=0),"-",-203923.96742/-160539.89774*100)</f>
        <v>127.02385530995046</v>
      </c>
    </row>
    <row r="39" spans="1:4" x14ac:dyDescent="0.2">
      <c r="A39" s="31" t="s">
        <v>11</v>
      </c>
      <c r="B39" s="33">
        <f>IF(-9264.26221="","-",-9264.26221)</f>
        <v>-9264.2622100000008</v>
      </c>
      <c r="C39" s="33">
        <f>IF(-20590.50852="","-",-20590.50852)</f>
        <v>-20590.508519999999</v>
      </c>
      <c r="D39" s="108" t="s">
        <v>215</v>
      </c>
    </row>
    <row r="40" spans="1:4" x14ac:dyDescent="0.2">
      <c r="A40" s="31" t="s">
        <v>15</v>
      </c>
      <c r="B40" s="33">
        <f>IF(-1617.50943="","-",-1617.50943)</f>
        <v>-1617.5094300000001</v>
      </c>
      <c r="C40" s="33">
        <f>IF(-1978.22489="","-",-1978.22489)</f>
        <v>-1978.22489</v>
      </c>
      <c r="D40" s="108">
        <f>IF(OR(-1617.50943="",-1978.22489="",-1617.50943=0),"-",-1978.22489/-1617.50943*100)</f>
        <v>122.30067122390749</v>
      </c>
    </row>
    <row r="41" spans="1:4" x14ac:dyDescent="0.2">
      <c r="A41" s="31" t="s">
        <v>13</v>
      </c>
      <c r="B41" s="33">
        <f>IF(653.77028="","-",653.77028)</f>
        <v>653.77027999999996</v>
      </c>
      <c r="C41" s="33">
        <f>IF(-596.8393="","-",-596.8393)</f>
        <v>-596.83929999999998</v>
      </c>
      <c r="D41" s="108" t="s">
        <v>22</v>
      </c>
    </row>
    <row r="42" spans="1:4" x14ac:dyDescent="0.2">
      <c r="A42" s="31" t="s">
        <v>16</v>
      </c>
      <c r="B42" s="33">
        <f>IF(-1360.46958="","-",-1360.46958)</f>
        <v>-1360.46958</v>
      </c>
      <c r="C42" s="33">
        <f>IF(-243.31636="","-",-243.31636)</f>
        <v>-243.31636</v>
      </c>
      <c r="D42" s="108">
        <f>IF(OR(-1360.46958="",-243.31636="",-1360.46958=0),"-",-243.31636/-1360.46958*100)</f>
        <v>17.884733593234774</v>
      </c>
    </row>
    <row r="43" spans="1:4" x14ac:dyDescent="0.2">
      <c r="A43" s="31" t="s">
        <v>17</v>
      </c>
      <c r="B43" s="33">
        <f>IF(-10.23153="","-",-10.23153)</f>
        <v>-10.231529999999999</v>
      </c>
      <c r="C43" s="33">
        <f>IF(48.50586="","-",48.50586)</f>
        <v>48.505859999999998</v>
      </c>
      <c r="D43" s="108" t="s">
        <v>22</v>
      </c>
    </row>
    <row r="44" spans="1:4" x14ac:dyDescent="0.2">
      <c r="A44" s="31" t="s">
        <v>18</v>
      </c>
      <c r="B44" s="33">
        <f>IF(144.99523="","-",144.99523)</f>
        <v>144.99522999999999</v>
      </c>
      <c r="C44" s="33">
        <f>IF(122.34101="","-",122.34101)</f>
        <v>122.34101</v>
      </c>
      <c r="D44" s="108">
        <f>IF(OR(144.99523="",122.34101="",144.99523=0),"-",122.34101/144.99523*100)</f>
        <v>84.375886020526337</v>
      </c>
    </row>
    <row r="45" spans="1:4" x14ac:dyDescent="0.2">
      <c r="A45" s="31" t="s">
        <v>14</v>
      </c>
      <c r="B45" s="33">
        <f>IF(-2711.98732="","-",-2711.98732)</f>
        <v>-2711.9873200000002</v>
      </c>
      <c r="C45" s="33">
        <f>IF(378.04471="","-",378.04471)</f>
        <v>378.04471000000001</v>
      </c>
      <c r="D45" s="108" t="s">
        <v>22</v>
      </c>
    </row>
    <row r="46" spans="1:4" x14ac:dyDescent="0.2">
      <c r="A46" s="31" t="s">
        <v>126</v>
      </c>
      <c r="B46" s="33">
        <f>IF(233.55795="","-",233.55795)</f>
        <v>233.55795000000001</v>
      </c>
      <c r="C46" s="33">
        <f>IF(530.3207="","-",530.3207)</f>
        <v>530.32069999999999</v>
      </c>
      <c r="D46" s="108" t="s">
        <v>228</v>
      </c>
    </row>
    <row r="47" spans="1:4" x14ac:dyDescent="0.2">
      <c r="A47" s="28" t="s">
        <v>148</v>
      </c>
      <c r="B47" s="30">
        <f>IF(-363012.72368="","-",-363012.72368)</f>
        <v>-363012.72368</v>
      </c>
      <c r="C47" s="30">
        <f>IF(-586382.09159="","-",-586382.09159)</f>
        <v>-586382.09158999997</v>
      </c>
      <c r="D47" s="30" t="s">
        <v>104</v>
      </c>
    </row>
    <row r="48" spans="1:4" x14ac:dyDescent="0.2">
      <c r="A48" s="31" t="s">
        <v>59</v>
      </c>
      <c r="B48" s="33">
        <f>IF(-206537.34456="","-",-206537.34456)</f>
        <v>-206537.34456</v>
      </c>
      <c r="C48" s="33">
        <f>IF(-309322.76687="","-",-309322.76687)</f>
        <v>-309322.76686999999</v>
      </c>
      <c r="D48" s="33">
        <f>IF(OR(-206537.34456="",-309322.76687="",-206537.34456=0),"-",-309322.76687/-206537.34456*100)</f>
        <v>149.76602295772247</v>
      </c>
    </row>
    <row r="49" spans="1:5" x14ac:dyDescent="0.2">
      <c r="A49" s="31" t="s">
        <v>56</v>
      </c>
      <c r="B49" s="33">
        <f>IF(-64339.87339="","-",-64339.87339)</f>
        <v>-64339.873390000001</v>
      </c>
      <c r="C49" s="33">
        <f>IF(-91096.01263="","-",-91096.01263)</f>
        <v>-91096.012629999997</v>
      </c>
      <c r="D49" s="33">
        <f>IF(OR(-64339.87339="",-91096.01263="",-64339.87339=0),"-",-91096.01263/-64339.87339*100)</f>
        <v>141.58562619142262</v>
      </c>
    </row>
    <row r="50" spans="1:5" x14ac:dyDescent="0.2">
      <c r="A50" s="31" t="s">
        <v>19</v>
      </c>
      <c r="B50" s="33">
        <f>IF(-18349.23861="","-",-18349.23861)</f>
        <v>-18349.23861</v>
      </c>
      <c r="C50" s="33">
        <f>IF(-30061.8366="","-",-30061.8366)</f>
        <v>-30061.836599999999</v>
      </c>
      <c r="D50" s="33" t="s">
        <v>104</v>
      </c>
    </row>
    <row r="51" spans="1:5" x14ac:dyDescent="0.2">
      <c r="A51" s="31" t="s">
        <v>76</v>
      </c>
      <c r="B51" s="33">
        <f>IF(-18752.71522="","-",-18752.71522)</f>
        <v>-18752.715219999998</v>
      </c>
      <c r="C51" s="33">
        <f>IF(-24870.71314="","-",-24870.71314)</f>
        <v>-24870.71314</v>
      </c>
      <c r="D51" s="33">
        <f>IF(OR(-18752.71522="",-24870.71314="",-18752.71522=0),"-",-24870.71314/-18752.71522*100)</f>
        <v>132.62459781544104</v>
      </c>
    </row>
    <row r="52" spans="1:5" x14ac:dyDescent="0.2">
      <c r="A52" s="31" t="s">
        <v>72</v>
      </c>
      <c r="B52" s="33">
        <f>IF(-9670.62083="","-",-9670.62083)</f>
        <v>-9670.6208299999998</v>
      </c>
      <c r="C52" s="33">
        <f>IF(-20047.26277="","-",-20047.26277)</f>
        <v>-20047.262770000001</v>
      </c>
      <c r="D52" s="33" t="s">
        <v>95</v>
      </c>
    </row>
    <row r="53" spans="1:5" x14ac:dyDescent="0.2">
      <c r="A53" s="31" t="s">
        <v>69</v>
      </c>
      <c r="B53" s="33">
        <f>IF(-13938.84995="","-",-13938.84995)</f>
        <v>-13938.84995</v>
      </c>
      <c r="C53" s="33">
        <f>IF(-18829.56847="","-",-18829.56847)</f>
        <v>-18829.568469999998</v>
      </c>
      <c r="D53" s="33">
        <f>IF(OR(-13938.84995="",-18829.56847="",-13938.84995=0),"-",-18829.56847/-13938.84995*100)</f>
        <v>135.08695866261189</v>
      </c>
    </row>
    <row r="54" spans="1:5" x14ac:dyDescent="0.2">
      <c r="A54" s="31" t="s">
        <v>36</v>
      </c>
      <c r="B54" s="33">
        <f>IF(-14882.89803="","-",-14882.89803)</f>
        <v>-14882.89803</v>
      </c>
      <c r="C54" s="33">
        <f>IF(-17653.3318="","-",-17653.3318)</f>
        <v>-17653.3318</v>
      </c>
      <c r="D54" s="33">
        <f>IF(OR(-14882.89803="",-17653.3318="",-14882.89803=0),"-",-17653.3318/-14882.89803*100)</f>
        <v>118.61488108307626</v>
      </c>
    </row>
    <row r="55" spans="1:5" x14ac:dyDescent="0.2">
      <c r="A55" s="31" t="s">
        <v>81</v>
      </c>
      <c r="B55" s="33">
        <f>IF(-1893.94833="","-",-1893.94833)</f>
        <v>-1893.9483299999999</v>
      </c>
      <c r="C55" s="33">
        <f>IF(-12004.6115="","-",-12004.6115)</f>
        <v>-12004.611500000001</v>
      </c>
      <c r="D55" s="33" t="s">
        <v>346</v>
      </c>
    </row>
    <row r="56" spans="1:5" x14ac:dyDescent="0.2">
      <c r="A56" s="31" t="s">
        <v>79</v>
      </c>
      <c r="B56" s="33">
        <f>IF(-8801.0116="","-",-8801.0116)</f>
        <v>-8801.0115999999998</v>
      </c>
      <c r="C56" s="33">
        <f>IF(-10651.21672="","-",-10651.21672)</f>
        <v>-10651.21672</v>
      </c>
      <c r="D56" s="33">
        <f>IF(OR(-8801.0116="",-10651.21672="",-8801.0116=0),"-",-10651.21672/-8801.0116*100)</f>
        <v>121.02264153361644</v>
      </c>
    </row>
    <row r="57" spans="1:5" x14ac:dyDescent="0.2">
      <c r="A57" s="31" t="s">
        <v>70</v>
      </c>
      <c r="B57" s="33">
        <f>IF(-5609.98333="","-",-5609.98333)</f>
        <v>-5609.98333</v>
      </c>
      <c r="C57" s="33">
        <f>IF(-8053.28149="","-",-8053.28149)</f>
        <v>-8053.2814900000003</v>
      </c>
      <c r="D57" s="33">
        <f>IF(OR(-5609.98333="",-8053.28149="",-5609.98333=0),"-",-8053.28149/-5609.98333*100)</f>
        <v>143.55268128755739</v>
      </c>
    </row>
    <row r="58" spans="1:5" x14ac:dyDescent="0.2">
      <c r="A58" s="31" t="s">
        <v>66</v>
      </c>
      <c r="B58" s="33">
        <f>IF(-7726.31921="","-",-7726.31921)</f>
        <v>-7726.3192099999997</v>
      </c>
      <c r="C58" s="33">
        <f>IF(-7530.25082="","-",-7530.25082)</f>
        <v>-7530.2508200000002</v>
      </c>
      <c r="D58" s="33">
        <f>IF(OR(-7726.31921="",-7530.25082="",-7726.31921=0),"-",-7530.25082/-7726.31921*100)</f>
        <v>97.462331225634159</v>
      </c>
    </row>
    <row r="59" spans="1:5" x14ac:dyDescent="0.2">
      <c r="A59" s="31" t="s">
        <v>61</v>
      </c>
      <c r="B59" s="33">
        <f>IF(-1765.92441="","-",-1765.92441)</f>
        <v>-1765.9244100000001</v>
      </c>
      <c r="C59" s="33">
        <f>IF(-6049.1172="","-",-6049.1172)</f>
        <v>-6049.1171999999997</v>
      </c>
      <c r="D59" s="33" t="s">
        <v>366</v>
      </c>
    </row>
    <row r="60" spans="1:5" x14ac:dyDescent="0.2">
      <c r="A60" s="31" t="s">
        <v>372</v>
      </c>
      <c r="B60" s="33">
        <f>IF(-5467.41236="","-",-5467.41236)</f>
        <v>-5467.4123600000003</v>
      </c>
      <c r="C60" s="33">
        <f>IF(-5964.08235="","-",-5964.08235)</f>
        <v>-5964.0823499999997</v>
      </c>
      <c r="D60" s="33">
        <f>IF(OR(-5467.41236="",-5964.08235="",-5467.41236=0),"-",-5964.08235/-5467.41236*100)</f>
        <v>109.08418749669724</v>
      </c>
    </row>
    <row r="61" spans="1:5" x14ac:dyDescent="0.2">
      <c r="A61" s="31" t="s">
        <v>78</v>
      </c>
      <c r="B61" s="33">
        <f>IF(-3183.59129="","-",-3183.59129)</f>
        <v>-3183.5912899999998</v>
      </c>
      <c r="C61" s="33">
        <f>IF(-5536.1616="","-",-5536.1616)</f>
        <v>-5536.1616000000004</v>
      </c>
      <c r="D61" s="33" t="s">
        <v>103</v>
      </c>
      <c r="E61" s="46"/>
    </row>
    <row r="62" spans="1:5" x14ac:dyDescent="0.2">
      <c r="A62" s="31" t="s">
        <v>71</v>
      </c>
      <c r="B62" s="33">
        <f>IF(-3682.14911="","-",-3682.14911)</f>
        <v>-3682.1491099999998</v>
      </c>
      <c r="C62" s="33">
        <f>IF(-5225.33438="","-",-5225.33438)</f>
        <v>-5225.3343800000002</v>
      </c>
      <c r="D62" s="33">
        <f>IF(OR(-3682.14911="",-5225.33438="",-3682.14911=0),"-",-5225.33438/-3682.14911*100)</f>
        <v>141.90990706511613</v>
      </c>
    </row>
    <row r="63" spans="1:5" x14ac:dyDescent="0.2">
      <c r="A63" s="31" t="s">
        <v>82</v>
      </c>
      <c r="B63" s="33">
        <f>IF(-3225.78549="","-",-3225.78549)</f>
        <v>-3225.7854900000002</v>
      </c>
      <c r="C63" s="33">
        <f>IF(-4802.00161="","-",-4802.00161)</f>
        <v>-4802.0016100000003</v>
      </c>
      <c r="D63" s="33">
        <f>IF(OR(-3225.78549="",-4802.00161="",-3225.78549=0),"-",-4802.00161/-3225.78549*100)</f>
        <v>148.86301723677232</v>
      </c>
    </row>
    <row r="64" spans="1:5" x14ac:dyDescent="0.2">
      <c r="A64" s="31" t="s">
        <v>74</v>
      </c>
      <c r="B64" s="33">
        <f>IF(-3734.622="","-",-3734.622)</f>
        <v>-3734.6219999999998</v>
      </c>
      <c r="C64" s="33">
        <f>IF(-4602.54788="","-",-4602.54788)</f>
        <v>-4602.5478800000001</v>
      </c>
      <c r="D64" s="33">
        <f>IF(OR(-3734.622="",-4602.54788="",-3734.622=0),"-",-4602.54788/-3734.622*100)</f>
        <v>123.23999269537855</v>
      </c>
    </row>
    <row r="65" spans="1:5" x14ac:dyDescent="0.2">
      <c r="A65" s="31" t="s">
        <v>83</v>
      </c>
      <c r="B65" s="33">
        <f>IF(-3843.79106="","-",-3843.79106)</f>
        <v>-3843.79106</v>
      </c>
      <c r="C65" s="33">
        <f>IF(-3246.54252="","-",-3246.54252)</f>
        <v>-3246.54252</v>
      </c>
      <c r="D65" s="33">
        <f>IF(OR(-3843.79106="",-3246.54252="",-3843.79106=0),"-",-3246.54252/-3843.79106*100)</f>
        <v>84.461992582916295</v>
      </c>
    </row>
    <row r="66" spans="1:5" x14ac:dyDescent="0.2">
      <c r="A66" s="31" t="s">
        <v>85</v>
      </c>
      <c r="B66" s="33">
        <f>IF(-1311.14036="","-",-1311.14036)</f>
        <v>-1311.1403600000001</v>
      </c>
      <c r="C66" s="33">
        <f>IF(-3058.74206="","-",-3058.74206)</f>
        <v>-3058.74206</v>
      </c>
      <c r="D66" s="33" t="s">
        <v>228</v>
      </c>
    </row>
    <row r="67" spans="1:5" x14ac:dyDescent="0.2">
      <c r="A67" s="31" t="s">
        <v>84</v>
      </c>
      <c r="B67" s="33">
        <f>IF(-2060.61122="","-",-2060.61122)</f>
        <v>-2060.6112199999998</v>
      </c>
      <c r="C67" s="33">
        <f>IF(-2935.29981="","-",-2935.29981)</f>
        <v>-2935.29981</v>
      </c>
      <c r="D67" s="33">
        <f>IF(OR(-2060.61122="",-2935.29981="",-2060.61122=0),"-",-2935.29981/-2060.61122*100)</f>
        <v>142.44801646765762</v>
      </c>
    </row>
    <row r="68" spans="1:5" x14ac:dyDescent="0.2">
      <c r="A68" s="31" t="s">
        <v>65</v>
      </c>
      <c r="B68" s="33">
        <f>IF(2085.34885="","-",2085.34885)</f>
        <v>2085.3488499999999</v>
      </c>
      <c r="C68" s="33">
        <f>IF(-2729.76382="","-",-2729.76382)</f>
        <v>-2729.7638200000001</v>
      </c>
      <c r="D68" s="33" t="s">
        <v>22</v>
      </c>
      <c r="E68" s="46"/>
    </row>
    <row r="69" spans="1:5" x14ac:dyDescent="0.2">
      <c r="A69" s="31" t="s">
        <v>88</v>
      </c>
      <c r="B69" s="33">
        <f>IF(-1025.18991="","-",-1025.18991)</f>
        <v>-1025.1899100000001</v>
      </c>
      <c r="C69" s="33">
        <f>IF(-2295.0761="","-",-2295.0761)</f>
        <v>-2295.0761000000002</v>
      </c>
      <c r="D69" s="33" t="s">
        <v>215</v>
      </c>
    </row>
    <row r="70" spans="1:5" x14ac:dyDescent="0.2">
      <c r="A70" s="31" t="s">
        <v>136</v>
      </c>
      <c r="B70" s="33">
        <f>IF(-1386.64651="","-",-1386.64651)</f>
        <v>-1386.64651</v>
      </c>
      <c r="C70" s="33">
        <f>IF(-1742.47025="","-",-1742.47025)</f>
        <v>-1742.4702500000001</v>
      </c>
      <c r="D70" s="33">
        <f>IF(OR(-1386.64651="",-1742.47025="",-1386.64651=0),"-",-1742.47025/-1386.64651*100)</f>
        <v>125.66073887136528</v>
      </c>
    </row>
    <row r="71" spans="1:5" x14ac:dyDescent="0.2">
      <c r="A71" s="31" t="s">
        <v>73</v>
      </c>
      <c r="B71" s="33">
        <f>IF(-735.83444="","-",-735.83444)</f>
        <v>-735.83443999999997</v>
      </c>
      <c r="C71" s="33">
        <f>IF(-1673.39261="","-",-1673.39261)</f>
        <v>-1673.3926100000001</v>
      </c>
      <c r="D71" s="33" t="s">
        <v>228</v>
      </c>
    </row>
    <row r="72" spans="1:5" x14ac:dyDescent="0.2">
      <c r="A72" s="31" t="s">
        <v>89</v>
      </c>
      <c r="B72" s="33">
        <f>IF(-526.20124="","-",-526.20124)</f>
        <v>-526.20123999999998</v>
      </c>
      <c r="C72" s="33">
        <f>IF(-1624.10745="","-",-1624.10745)</f>
        <v>-1624.10745</v>
      </c>
      <c r="D72" s="33" t="s">
        <v>359</v>
      </c>
    </row>
    <row r="73" spans="1:5" x14ac:dyDescent="0.2">
      <c r="A73" s="31" t="s">
        <v>80</v>
      </c>
      <c r="B73" s="33">
        <f>IF(-2168.22616="","-",-2168.22616)</f>
        <v>-2168.2261600000002</v>
      </c>
      <c r="C73" s="33">
        <f>IF(-1600.01423="","-",-1600.01423)</f>
        <v>-1600.01423</v>
      </c>
      <c r="D73" s="33">
        <f>IF(OR(-2168.22616="",-1600.01423="",-2168.22616=0),"-",-1600.01423/-2168.22616*100)</f>
        <v>73.793696410341241</v>
      </c>
    </row>
    <row r="74" spans="1:5" x14ac:dyDescent="0.2">
      <c r="A74" s="31" t="s">
        <v>138</v>
      </c>
      <c r="B74" s="33">
        <f>IF(-673.13678="","-",-673.13678)</f>
        <v>-673.13678000000004</v>
      </c>
      <c r="C74" s="33">
        <f>IF(-1530.84253="","-",-1530.84253)</f>
        <v>-1530.8425299999999</v>
      </c>
      <c r="D74" s="33" t="s">
        <v>228</v>
      </c>
    </row>
    <row r="75" spans="1:5" x14ac:dyDescent="0.2">
      <c r="A75" s="31" t="s">
        <v>75</v>
      </c>
      <c r="B75" s="33">
        <f>IF(-1846.31529="","-",-1846.31529)</f>
        <v>-1846.31529</v>
      </c>
      <c r="C75" s="33">
        <f>IF(-1410.34636="","-",-1410.34636)</f>
        <v>-1410.34636</v>
      </c>
      <c r="D75" s="33">
        <f>IF(OR(-1846.31529="",-1410.34636="",-1846.31529=0),"-",-1410.34636/-1846.31529*100)</f>
        <v>76.387081211898533</v>
      </c>
    </row>
    <row r="76" spans="1:5" x14ac:dyDescent="0.2">
      <c r="A76" s="31" t="s">
        <v>87</v>
      </c>
      <c r="B76" s="33">
        <f>IF(110.56736="","-",110.56736)</f>
        <v>110.56735999999999</v>
      </c>
      <c r="C76" s="33">
        <f>IF(-1408.4523="","-",-1408.4523)</f>
        <v>-1408.4522999999999</v>
      </c>
      <c r="D76" s="33" t="s">
        <v>22</v>
      </c>
      <c r="E76" s="4"/>
    </row>
    <row r="77" spans="1:5" x14ac:dyDescent="0.2">
      <c r="A77" s="31" t="s">
        <v>63</v>
      </c>
      <c r="B77" s="33">
        <f>IF(-4196.76241="","-",-4196.76241)</f>
        <v>-4196.7624100000003</v>
      </c>
      <c r="C77" s="33">
        <f>IF(-1367.82607="","-",-1367.82607)</f>
        <v>-1367.8260700000001</v>
      </c>
      <c r="D77" s="33">
        <f>IF(OR(-4196.76241="",-1367.82607="",-4196.76241=0),"-",-1367.82607/-4196.76241*100)</f>
        <v>32.592411396479314</v>
      </c>
    </row>
    <row r="78" spans="1:5" x14ac:dyDescent="0.2">
      <c r="A78" s="31" t="s">
        <v>62</v>
      </c>
      <c r="B78" s="33">
        <f>IF(-2763.54121="","-",-2763.54121)</f>
        <v>-2763.5412099999999</v>
      </c>
      <c r="C78" s="33">
        <f>IF(-1298.47543="","-",-1298.47543)</f>
        <v>-1298.47543</v>
      </c>
      <c r="D78" s="33">
        <f>IF(OR(-2763.54121="",-1298.47543="",-2763.54121=0),"-",-1298.47543/-2763.54121*100)</f>
        <v>46.985926075623816</v>
      </c>
    </row>
    <row r="79" spans="1:5" x14ac:dyDescent="0.2">
      <c r="A79" s="31" t="s">
        <v>91</v>
      </c>
      <c r="B79" s="33">
        <f>IF(-727.24587="","-",-727.24587)</f>
        <v>-727.24586999999997</v>
      </c>
      <c r="C79" s="33">
        <f>IF(-1218.52879="","-",-1218.52879)</f>
        <v>-1218.5287900000001</v>
      </c>
      <c r="D79" s="33" t="s">
        <v>103</v>
      </c>
    </row>
    <row r="80" spans="1:5" x14ac:dyDescent="0.2">
      <c r="A80" s="31" t="s">
        <v>93</v>
      </c>
      <c r="B80" s="33">
        <f>IF(230.01741="","-",230.01741)</f>
        <v>230.01741000000001</v>
      </c>
      <c r="C80" s="33">
        <f>IF(-1030.21447="","-",-1030.21447)</f>
        <v>-1030.2144699999999</v>
      </c>
      <c r="D80" s="33" t="s">
        <v>22</v>
      </c>
    </row>
    <row r="81" spans="1:5" x14ac:dyDescent="0.2">
      <c r="A81" s="31" t="s">
        <v>39</v>
      </c>
      <c r="B81" s="33">
        <f>IF(-28.17182="","-",-28.17182)</f>
        <v>-28.17182</v>
      </c>
      <c r="C81" s="33">
        <f>IF(-977.81119="","-",-977.81119)</f>
        <v>-977.81119000000001</v>
      </c>
      <c r="D81" s="33" t="s">
        <v>380</v>
      </c>
    </row>
    <row r="82" spans="1:5" x14ac:dyDescent="0.2">
      <c r="A82" s="31" t="s">
        <v>86</v>
      </c>
      <c r="B82" s="33">
        <f>IF(-2179.02213="","-",-2179.02213)</f>
        <v>-2179.0221299999998</v>
      </c>
      <c r="C82" s="33">
        <f>IF(-938.76636="","-",-938.76636)</f>
        <v>-938.76635999999996</v>
      </c>
      <c r="D82" s="33">
        <f>IF(OR(-2179.02213="",-938.76636="",-2179.02213=0),"-",-938.76636/-2179.02213*100)</f>
        <v>43.082002108900106</v>
      </c>
    </row>
    <row r="83" spans="1:5" x14ac:dyDescent="0.2">
      <c r="A83" s="31" t="s">
        <v>97</v>
      </c>
      <c r="B83" s="33">
        <f>IF(-626.62766="","-",-626.62766)</f>
        <v>-626.62765999999999</v>
      </c>
      <c r="C83" s="33">
        <f>IF(-686.8204="","-",-686.8204)</f>
        <v>-686.82039999999995</v>
      </c>
      <c r="D83" s="33">
        <f>IF(OR(-626.62766="",-686.8204="",-626.62766=0),"-",-686.8204/-626.62766*100)</f>
        <v>109.60582237943342</v>
      </c>
    </row>
    <row r="84" spans="1:5" x14ac:dyDescent="0.2">
      <c r="A84" s="31" t="s">
        <v>153</v>
      </c>
      <c r="B84" s="33">
        <f>IF(-354.30679="","-",-354.30679)</f>
        <v>-354.30678999999998</v>
      </c>
      <c r="C84" s="33">
        <f>IF(-619.95925="","-",-619.95925)</f>
        <v>-619.95925</v>
      </c>
      <c r="D84" s="33" t="s">
        <v>103</v>
      </c>
    </row>
    <row r="85" spans="1:5" x14ac:dyDescent="0.2">
      <c r="A85" s="31" t="s">
        <v>152</v>
      </c>
      <c r="B85" s="33">
        <f>IF(-125.80952="","-",-125.80952)</f>
        <v>-125.80952000000001</v>
      </c>
      <c r="C85" s="33">
        <f>IF(-528.36816="","-",-528.36816)</f>
        <v>-528.36815999999999</v>
      </c>
      <c r="D85" s="33" t="s">
        <v>339</v>
      </c>
    </row>
    <row r="86" spans="1:5" x14ac:dyDescent="0.2">
      <c r="A86" s="31" t="s">
        <v>38</v>
      </c>
      <c r="B86" s="33">
        <f>IF(-799.57121="","-",-799.57121)</f>
        <v>-799.57120999999995</v>
      </c>
      <c r="C86" s="33">
        <f>IF(-486.67917="","-",-486.67917)</f>
        <v>-486.67917</v>
      </c>
      <c r="D86" s="33">
        <f>IF(OR(-799.57121="",-486.67917="",-799.57121=0),"-",-486.67917/-799.57121*100)</f>
        <v>60.867520480133351</v>
      </c>
    </row>
    <row r="87" spans="1:5" x14ac:dyDescent="0.2">
      <c r="A87" s="31" t="s">
        <v>64</v>
      </c>
      <c r="B87" s="33">
        <f>IF(85.70989="","-",85.70989)</f>
        <v>85.709890000000001</v>
      </c>
      <c r="C87" s="33">
        <f>IF(-460.77989="","-",-460.77989)</f>
        <v>-460.77989000000002</v>
      </c>
      <c r="D87" s="33" t="s">
        <v>22</v>
      </c>
    </row>
    <row r="88" spans="1:5" x14ac:dyDescent="0.2">
      <c r="A88" s="31" t="s">
        <v>98</v>
      </c>
      <c r="B88" s="33">
        <f>IF(-151.34181="","-",-151.34181)</f>
        <v>-151.34181000000001</v>
      </c>
      <c r="C88" s="33">
        <f>IF(-432.89965="","-",-432.89965)</f>
        <v>-432.89965000000001</v>
      </c>
      <c r="D88" s="33" t="s">
        <v>315</v>
      </c>
    </row>
    <row r="89" spans="1:5" x14ac:dyDescent="0.2">
      <c r="A89" s="31" t="s">
        <v>233</v>
      </c>
      <c r="B89" s="33">
        <f>IF(-116.88804="","-",-116.88804)</f>
        <v>-116.88804</v>
      </c>
      <c r="C89" s="33">
        <f>IF(-398.70544="","-",-398.70544)</f>
        <v>-398.70544000000001</v>
      </c>
      <c r="D89" s="33" t="s">
        <v>366</v>
      </c>
    </row>
    <row r="90" spans="1:5" x14ac:dyDescent="0.2">
      <c r="A90" s="31" t="s">
        <v>92</v>
      </c>
      <c r="B90" s="33">
        <f>IF(-356.04645="","-",-356.04645)</f>
        <v>-356.04644999999999</v>
      </c>
      <c r="C90" s="33">
        <f>IF(-291.69299="","-",-291.69299)</f>
        <v>-291.69299000000001</v>
      </c>
      <c r="D90" s="33">
        <f>IF(OR(-356.04645="",-291.69299="",-356.04645=0),"-",-291.69299/-356.04645*100)</f>
        <v>81.925543703637544</v>
      </c>
    </row>
    <row r="91" spans="1:5" x14ac:dyDescent="0.2">
      <c r="A91" s="31" t="s">
        <v>130</v>
      </c>
      <c r="B91" s="33">
        <f>IF(-100.09432="","-",-100.09432)</f>
        <v>-100.09432</v>
      </c>
      <c r="C91" s="33">
        <f>IF(-270.01807="","-",-270.01807)</f>
        <v>-270.01807000000002</v>
      </c>
      <c r="D91" s="33" t="s">
        <v>319</v>
      </c>
    </row>
    <row r="92" spans="1:5" x14ac:dyDescent="0.2">
      <c r="A92" s="31" t="s">
        <v>128</v>
      </c>
      <c r="B92" s="33">
        <f>IF(2903.92176="","-",2903.92176)</f>
        <v>2903.9217600000002</v>
      </c>
      <c r="C92" s="33">
        <f>IF(-239.5773="","-",-239.5773)</f>
        <v>-239.57730000000001</v>
      </c>
      <c r="D92" s="33" t="s">
        <v>22</v>
      </c>
    </row>
    <row r="93" spans="1:5" x14ac:dyDescent="0.2">
      <c r="A93" s="31" t="s">
        <v>94</v>
      </c>
      <c r="B93" s="33">
        <f>IF(-422.90394="","-",-422.90394)</f>
        <v>-422.90393999999998</v>
      </c>
      <c r="C93" s="33">
        <f>IF(-238.1962="","-",-238.1962)</f>
        <v>-238.1962</v>
      </c>
      <c r="D93" s="33">
        <f>IF(OR(-422.90394="",-238.1962="",-422.90394=0),"-",-238.1962/-422.90394*100)</f>
        <v>56.323949121873873</v>
      </c>
    </row>
    <row r="94" spans="1:5" x14ac:dyDescent="0.2">
      <c r="A94" s="31" t="s">
        <v>102</v>
      </c>
      <c r="B94" s="33">
        <f>IF(-106.85178="","-",-106.85178)</f>
        <v>-106.85178000000001</v>
      </c>
      <c r="C94" s="33">
        <f>IF(-205.01683="","-",-205.01683)</f>
        <v>-205.01683</v>
      </c>
      <c r="D94" s="33" t="s">
        <v>105</v>
      </c>
    </row>
    <row r="95" spans="1:5" x14ac:dyDescent="0.2">
      <c r="A95" s="31" t="s">
        <v>67</v>
      </c>
      <c r="B95" s="33">
        <f>IF(936.43789="","-",936.43789)</f>
        <v>936.43789000000004</v>
      </c>
      <c r="C95" s="33">
        <f>IF(-190.97948="","-",-190.97948)</f>
        <v>-190.97948</v>
      </c>
      <c r="D95" s="33" t="s">
        <v>22</v>
      </c>
    </row>
    <row r="96" spans="1:5" x14ac:dyDescent="0.2">
      <c r="A96" s="31" t="s">
        <v>143</v>
      </c>
      <c r="B96" s="33">
        <f>IF(-64.96343="","-",-64.96343)</f>
        <v>-64.963430000000002</v>
      </c>
      <c r="C96" s="33">
        <f>IF(-161.49633="","-",-161.49633)</f>
        <v>-161.49633</v>
      </c>
      <c r="D96" s="33" t="s">
        <v>224</v>
      </c>
      <c r="E96" s="4"/>
    </row>
    <row r="97" spans="1:5" x14ac:dyDescent="0.2">
      <c r="A97" s="31" t="s">
        <v>90</v>
      </c>
      <c r="B97" s="33">
        <f>IF(-137.89647="","-",-137.89647)</f>
        <v>-137.89646999999999</v>
      </c>
      <c r="C97" s="33">
        <f>IF(-122.1347="","-",-122.1347)</f>
        <v>-122.1347</v>
      </c>
      <c r="D97" s="33">
        <f>IF(OR(-137.89647="",-122.1347="",-137.89647=0),"-",-122.1347/-137.89647*100)</f>
        <v>88.569852440747752</v>
      </c>
    </row>
    <row r="98" spans="1:5" x14ac:dyDescent="0.2">
      <c r="A98" s="31" t="s">
        <v>111</v>
      </c>
      <c r="B98" s="33">
        <f>IF(-364.98091="","-",-364.98091)</f>
        <v>-364.98090999999999</v>
      </c>
      <c r="C98" s="33">
        <f>IF(-98.96047="","-",-98.96047)</f>
        <v>-98.960470000000001</v>
      </c>
      <c r="D98" s="33">
        <f>IF(OR(-364.98091="",-98.96047="",-364.98091=0),"-",-98.96047/-364.98091*100)</f>
        <v>27.113875627084166</v>
      </c>
      <c r="E98" s="4"/>
    </row>
    <row r="99" spans="1:5" x14ac:dyDescent="0.2">
      <c r="A99" s="31" t="s">
        <v>343</v>
      </c>
      <c r="B99" s="33">
        <f>IF(32.3968="","-",32.3968)</f>
        <v>32.396799999999999</v>
      </c>
      <c r="C99" s="33">
        <f>IF(-87.18123="","-",-87.18123)</f>
        <v>-87.181229999999999</v>
      </c>
      <c r="D99" s="33" t="s">
        <v>22</v>
      </c>
    </row>
    <row r="100" spans="1:5" x14ac:dyDescent="0.2">
      <c r="A100" s="31" t="s">
        <v>213</v>
      </c>
      <c r="B100" s="33">
        <f>IF(-7.27988="","-",-7.27988)</f>
        <v>-7.2798800000000004</v>
      </c>
      <c r="C100" s="33">
        <f>IF(-83.29488="","-",-83.29488)</f>
        <v>-83.294880000000006</v>
      </c>
      <c r="D100" s="33" t="s">
        <v>351</v>
      </c>
      <c r="E100" s="4"/>
    </row>
    <row r="101" spans="1:5" x14ac:dyDescent="0.2">
      <c r="A101" s="109" t="s">
        <v>142</v>
      </c>
      <c r="B101" s="96">
        <f>IF(-107.10414="","-",-107.10414)</f>
        <v>-107.10414</v>
      </c>
      <c r="C101" s="96">
        <f>IF(-81.34852="","-",-81.34852)</f>
        <v>-81.348519999999994</v>
      </c>
      <c r="D101" s="96">
        <f>IF(OR(-107.10414="",-81.34852="",-107.10414=0),"-",-81.34852/-107.10414*100)</f>
        <v>75.952731612428792</v>
      </c>
      <c r="E101" s="46"/>
    </row>
    <row r="102" spans="1:5" x14ac:dyDescent="0.2">
      <c r="A102" s="31" t="s">
        <v>107</v>
      </c>
      <c r="B102" s="33">
        <f>IF(-31.55605="","-",-31.55605)</f>
        <v>-31.556049999999999</v>
      </c>
      <c r="C102" s="33">
        <f>IF(-76.25227="","-",-76.25227)</f>
        <v>-76.252269999999996</v>
      </c>
      <c r="D102" s="33" t="s">
        <v>320</v>
      </c>
    </row>
    <row r="103" spans="1:5" x14ac:dyDescent="0.2">
      <c r="A103" s="31" t="s">
        <v>234</v>
      </c>
      <c r="B103" s="33">
        <f>IF(-3.85615="","-",-3.85615)</f>
        <v>-3.85615</v>
      </c>
      <c r="C103" s="33">
        <f>IF(-75.2504="","-",-75.2504)</f>
        <v>-75.250399999999999</v>
      </c>
      <c r="D103" s="33" t="s">
        <v>352</v>
      </c>
    </row>
    <row r="104" spans="1:5" x14ac:dyDescent="0.2">
      <c r="A104" s="31" t="s">
        <v>145</v>
      </c>
      <c r="B104" s="33">
        <f>IF(-49.35694="","-",-49.35694)</f>
        <v>-49.356940000000002</v>
      </c>
      <c r="C104" s="33">
        <f>IF(-73.69908="","-",-73.69908)</f>
        <v>-73.699079999999995</v>
      </c>
      <c r="D104" s="33">
        <f>IF(OR(-49.35694="",-73.69908="",-49.35694=0),"-",-73.69908/-49.35694*100)</f>
        <v>149.31857607055866</v>
      </c>
    </row>
    <row r="105" spans="1:5" x14ac:dyDescent="0.2">
      <c r="A105" s="31" t="s">
        <v>222</v>
      </c>
      <c r="B105" s="33">
        <f>IF(-23.00669="","-",-23.00669)</f>
        <v>-23.006689999999999</v>
      </c>
      <c r="C105" s="33">
        <f>IF(-54.02769="","-",-54.02769)</f>
        <v>-54.02769</v>
      </c>
      <c r="D105" s="33" t="s">
        <v>228</v>
      </c>
      <c r="E105" s="4"/>
    </row>
    <row r="106" spans="1:5" x14ac:dyDescent="0.2">
      <c r="A106" s="31" t="s">
        <v>344</v>
      </c>
      <c r="B106" s="33">
        <f>IF(-39.97371="","-",-39.97371)</f>
        <v>-39.973709999999997</v>
      </c>
      <c r="C106" s="33">
        <f>IF(-53.24863="","-",-53.24863)</f>
        <v>-53.248629999999999</v>
      </c>
      <c r="D106" s="33">
        <f>IF(OR(-39.97371="",-53.24863="",-39.97371=0),"-",-53.24863/-39.97371*100)</f>
        <v>133.2091266985226</v>
      </c>
      <c r="E106" s="4"/>
    </row>
    <row r="107" spans="1:5" x14ac:dyDescent="0.2">
      <c r="A107" s="31" t="s">
        <v>345</v>
      </c>
      <c r="B107" s="33">
        <f>IF(-24.83048="","-",-24.83048)</f>
        <v>-24.830480000000001</v>
      </c>
      <c r="C107" s="33">
        <f>IF(-45.82074="","-",-45.82074)</f>
        <v>-45.820740000000001</v>
      </c>
      <c r="D107" s="33" t="s">
        <v>216</v>
      </c>
    </row>
    <row r="108" spans="1:5" x14ac:dyDescent="0.2">
      <c r="A108" s="31" t="s">
        <v>139</v>
      </c>
      <c r="B108" s="33">
        <f>IF(-19.13422="","-",-19.13422)</f>
        <v>-19.134219999999999</v>
      </c>
      <c r="C108" s="33">
        <f>IF(-44.96356="","-",-44.96356)</f>
        <v>-44.963560000000001</v>
      </c>
      <c r="D108" s="33" t="s">
        <v>228</v>
      </c>
    </row>
    <row r="109" spans="1:5" x14ac:dyDescent="0.2">
      <c r="A109" s="31" t="s">
        <v>373</v>
      </c>
      <c r="B109" s="33">
        <f>IF(-8.6181="","-",-8.6181)</f>
        <v>-8.6181000000000001</v>
      </c>
      <c r="C109" s="33">
        <f>IF(-32.6836="","-",-32.6836)</f>
        <v>-32.683599999999998</v>
      </c>
      <c r="D109" s="33" t="s">
        <v>381</v>
      </c>
    </row>
    <row r="110" spans="1:5" x14ac:dyDescent="0.2">
      <c r="A110" s="31" t="s">
        <v>374</v>
      </c>
      <c r="B110" s="33">
        <f>IF(24.012="","-",24.012)</f>
        <v>24.012</v>
      </c>
      <c r="C110" s="33">
        <f>IF(31.22622="","-",31.22622)</f>
        <v>31.226220000000001</v>
      </c>
      <c r="D110" s="33">
        <f>IF(OR(24.012="",31.22622="",24.012=0),"-",31.22622/24.012*100)</f>
        <v>130.04422788605697</v>
      </c>
    </row>
    <row r="111" spans="1:5" x14ac:dyDescent="0.2">
      <c r="A111" s="31" t="s">
        <v>375</v>
      </c>
      <c r="B111" s="33" t="s">
        <v>218</v>
      </c>
      <c r="C111" s="33">
        <f>IF(39.44113="","-",39.44113)</f>
        <v>39.441130000000001</v>
      </c>
      <c r="D111" s="33" t="s">
        <v>22</v>
      </c>
    </row>
    <row r="112" spans="1:5" x14ac:dyDescent="0.2">
      <c r="A112" s="31" t="s">
        <v>376</v>
      </c>
      <c r="B112" s="33" t="s">
        <v>218</v>
      </c>
      <c r="C112" s="33">
        <f>IF(40.78547="","-",40.78547)</f>
        <v>40.785469999999997</v>
      </c>
      <c r="D112" s="33" t="s">
        <v>22</v>
      </c>
    </row>
    <row r="113" spans="1:4" x14ac:dyDescent="0.2">
      <c r="A113" s="31" t="s">
        <v>314</v>
      </c>
      <c r="B113" s="33">
        <f>IF(76.99941="","-",76.99941)</f>
        <v>76.999409999999997</v>
      </c>
      <c r="C113" s="33">
        <f>IF(58.38706="","-",58.38706)</f>
        <v>58.387059999999998</v>
      </c>
      <c r="D113" s="33">
        <f>IF(OR(76.99941="",58.38706="",76.99941=0),"-",58.38706/76.99941*100)</f>
        <v>75.827931668567331</v>
      </c>
    </row>
    <row r="114" spans="1:4" x14ac:dyDescent="0.2">
      <c r="A114" s="31" t="s">
        <v>231</v>
      </c>
      <c r="B114" s="33">
        <f>IF(198.22941="","-",198.22941)</f>
        <v>198.22941</v>
      </c>
      <c r="C114" s="33">
        <f>IF(76.24661="","-",76.24661)</f>
        <v>76.246610000000004</v>
      </c>
      <c r="D114" s="33">
        <f>IF(OR(198.22941="",76.24661="",198.22941=0),"-",76.24661/198.22941*100)</f>
        <v>38.463823304523785</v>
      </c>
    </row>
    <row r="115" spans="1:4" x14ac:dyDescent="0.2">
      <c r="A115" s="31" t="s">
        <v>132</v>
      </c>
      <c r="B115" s="33">
        <f>IF(116.30255="","-",116.30255)</f>
        <v>116.30255</v>
      </c>
      <c r="C115" s="33">
        <f>IF(114.35127="","-",114.35127)</f>
        <v>114.35127</v>
      </c>
      <c r="D115" s="33">
        <f>IF(OR(116.30255="",114.35127="",116.30255=0),"-",114.35127/116.30255*100)</f>
        <v>98.322237990482591</v>
      </c>
    </row>
    <row r="116" spans="1:4" x14ac:dyDescent="0.2">
      <c r="A116" s="31" t="s">
        <v>377</v>
      </c>
      <c r="B116" s="33">
        <f>IF(-112.50656="","-",-112.50656)</f>
        <v>-112.50655999999999</v>
      </c>
      <c r="C116" s="33">
        <f>IF(152.44907="","-",152.44907)</f>
        <v>152.44907000000001</v>
      </c>
      <c r="D116" s="33" t="s">
        <v>22</v>
      </c>
    </row>
    <row r="117" spans="1:4" x14ac:dyDescent="0.2">
      <c r="A117" s="31" t="s">
        <v>227</v>
      </c>
      <c r="B117" s="33">
        <f>IF(-2.43305="","-",-2.43305)</f>
        <v>-2.4330500000000002</v>
      </c>
      <c r="C117" s="33">
        <f>IF(161.74339="","-",161.74339)</f>
        <v>161.74339000000001</v>
      </c>
      <c r="D117" s="33" t="s">
        <v>22</v>
      </c>
    </row>
    <row r="118" spans="1:4" x14ac:dyDescent="0.2">
      <c r="A118" s="31" t="s">
        <v>232</v>
      </c>
      <c r="B118" s="33">
        <f>IF(80.65195="","-",80.65195)</f>
        <v>80.651949999999999</v>
      </c>
      <c r="C118" s="33">
        <f>IF(177.80617="","-",177.80617)</f>
        <v>177.80617000000001</v>
      </c>
      <c r="D118" s="33" t="s">
        <v>215</v>
      </c>
    </row>
    <row r="119" spans="1:4" x14ac:dyDescent="0.2">
      <c r="A119" s="31" t="s">
        <v>137</v>
      </c>
      <c r="B119" s="33">
        <f>IF(-701.4084="","-",-701.4084)</f>
        <v>-701.40840000000003</v>
      </c>
      <c r="C119" s="33">
        <f>IF(203.93243="","-",203.93243)</f>
        <v>203.93243000000001</v>
      </c>
      <c r="D119" s="33" t="s">
        <v>22</v>
      </c>
    </row>
    <row r="120" spans="1:4" x14ac:dyDescent="0.2">
      <c r="A120" s="31" t="s">
        <v>131</v>
      </c>
      <c r="B120" s="33">
        <f>IF(440.2442="","-",440.2442)</f>
        <v>440.24419999999998</v>
      </c>
      <c r="C120" s="33">
        <f>IF(206.37346="","-",206.37346)</f>
        <v>206.37345999999999</v>
      </c>
      <c r="D120" s="33">
        <f>IF(OR(440.2442="",206.37346="",440.2442=0),"-",206.37346/440.2442*100)</f>
        <v>46.877042332414604</v>
      </c>
    </row>
    <row r="121" spans="1:4" x14ac:dyDescent="0.2">
      <c r="A121" s="31" t="s">
        <v>141</v>
      </c>
      <c r="B121" s="33">
        <f>IF(50.18097="","-",50.18097)</f>
        <v>50.180970000000002</v>
      </c>
      <c r="C121" s="33">
        <f>IF(211.45377="","-",211.45377)</f>
        <v>211.45376999999999</v>
      </c>
      <c r="D121" s="33" t="s">
        <v>339</v>
      </c>
    </row>
    <row r="122" spans="1:4" x14ac:dyDescent="0.2">
      <c r="A122" s="31" t="s">
        <v>146</v>
      </c>
      <c r="B122" s="33">
        <f>IF(135.07132="","-",135.07132)</f>
        <v>135.07131999999999</v>
      </c>
      <c r="C122" s="33">
        <f>IF(216.17801="","-",216.17801)</f>
        <v>216.17801</v>
      </c>
      <c r="D122" s="33" t="s">
        <v>104</v>
      </c>
    </row>
    <row r="123" spans="1:4" x14ac:dyDescent="0.2">
      <c r="A123" s="31" t="s">
        <v>96</v>
      </c>
      <c r="B123" s="33">
        <f>IF(159.60595="","-",159.60595)</f>
        <v>159.60595000000001</v>
      </c>
      <c r="C123" s="33">
        <f>IF(231.46488="","-",231.46488)</f>
        <v>231.46487999999999</v>
      </c>
      <c r="D123" s="33">
        <f>IF(OR(159.60595="",231.46488="",159.60595=0),"-",231.46488/159.60595*100)</f>
        <v>145.02271375221284</v>
      </c>
    </row>
    <row r="124" spans="1:4" x14ac:dyDescent="0.2">
      <c r="A124" s="31" t="s">
        <v>135</v>
      </c>
      <c r="B124" s="33">
        <f>IF(243.83722="","-",243.83722)</f>
        <v>243.83722</v>
      </c>
      <c r="C124" s="33">
        <f>IF(255.08007="","-",255.08007)</f>
        <v>255.08007000000001</v>
      </c>
      <c r="D124" s="33">
        <f>IF(OR(243.83722="",255.08007="",243.83722=0),"-",255.08007/243.83722*100)</f>
        <v>104.61080141907786</v>
      </c>
    </row>
    <row r="125" spans="1:4" x14ac:dyDescent="0.2">
      <c r="A125" s="31" t="s">
        <v>101</v>
      </c>
      <c r="B125" s="33">
        <f>IF(-148.78154="","-",-148.78154)</f>
        <v>-148.78154000000001</v>
      </c>
      <c r="C125" s="33">
        <f>IF(275.30461="","-",275.30461)</f>
        <v>275.30461000000003</v>
      </c>
      <c r="D125" s="33" t="s">
        <v>22</v>
      </c>
    </row>
    <row r="126" spans="1:4" x14ac:dyDescent="0.2">
      <c r="A126" s="31" t="s">
        <v>37</v>
      </c>
      <c r="B126" s="33">
        <f>IF(955.56018="","-",955.56018)</f>
        <v>955.56017999999995</v>
      </c>
      <c r="C126" s="33">
        <f>IF(287.75364="","-",287.75364)</f>
        <v>287.75364000000002</v>
      </c>
      <c r="D126" s="33">
        <f>IF(OR(955.56018="",287.75364="",955.56018=0),"-",287.75364/955.56018*100)</f>
        <v>30.113607287402878</v>
      </c>
    </row>
    <row r="127" spans="1:4" x14ac:dyDescent="0.2">
      <c r="A127" s="31" t="s">
        <v>151</v>
      </c>
      <c r="B127" s="33">
        <f>IF(179.7168="","-",179.7168)</f>
        <v>179.71680000000001</v>
      </c>
      <c r="C127" s="33">
        <f>IF(299.4="","-",299.4)</f>
        <v>299.39999999999998</v>
      </c>
      <c r="D127" s="33" t="s">
        <v>103</v>
      </c>
    </row>
    <row r="128" spans="1:4" x14ac:dyDescent="0.2">
      <c r="A128" s="31" t="s">
        <v>154</v>
      </c>
      <c r="B128" s="33">
        <f>IF(75.4646="","-",75.4646)</f>
        <v>75.464600000000004</v>
      </c>
      <c r="C128" s="33">
        <f>IF(409.67803="","-",409.67803)</f>
        <v>409.67802999999998</v>
      </c>
      <c r="D128" s="33" t="s">
        <v>311</v>
      </c>
    </row>
    <row r="129" spans="1:4" x14ac:dyDescent="0.2">
      <c r="A129" s="31" t="s">
        <v>109</v>
      </c>
      <c r="B129" s="33">
        <f>IF(378.27825="","-",378.27825)</f>
        <v>378.27825000000001</v>
      </c>
      <c r="C129" s="33">
        <f>IF(478.48598="","-",478.48598)</f>
        <v>478.48597999999998</v>
      </c>
      <c r="D129" s="33">
        <f>IF(OR(378.27825="",478.48598="",378.27825=0),"-",478.48598/378.27825*100)</f>
        <v>126.49048154367848</v>
      </c>
    </row>
    <row r="130" spans="1:4" x14ac:dyDescent="0.2">
      <c r="A130" s="31" t="s">
        <v>378</v>
      </c>
      <c r="B130" s="33">
        <f>IF(26318.1308="","-",26318.1308)</f>
        <v>26318.130799999999</v>
      </c>
      <c r="C130" s="33">
        <f>IF(669.66475="","-",669.66475)</f>
        <v>669.66475000000003</v>
      </c>
      <c r="D130" s="33">
        <f>IF(OR(26318.1308="",669.66475="",26318.1308=0),"-",669.66475/26318.1308*100)</f>
        <v>2.5444996648470188</v>
      </c>
    </row>
    <row r="131" spans="1:4" x14ac:dyDescent="0.2">
      <c r="A131" s="31" t="s">
        <v>77</v>
      </c>
      <c r="B131" s="33">
        <f>IF(485.9883="","-",485.9883)</f>
        <v>485.98829999999998</v>
      </c>
      <c r="C131" s="33">
        <f>IF(1144.93562="","-",1144.93562)</f>
        <v>1144.93562</v>
      </c>
      <c r="D131" s="33" t="s">
        <v>320</v>
      </c>
    </row>
    <row r="132" spans="1:4" x14ac:dyDescent="0.2">
      <c r="A132" s="31" t="s">
        <v>68</v>
      </c>
      <c r="B132" s="33">
        <f>IF(380.87411="","-",380.87411)</f>
        <v>380.87410999999997</v>
      </c>
      <c r="C132" s="33">
        <f>IF(1283.02391="","-",1283.02391)</f>
        <v>1283.0239099999999</v>
      </c>
      <c r="D132" s="33" t="s">
        <v>366</v>
      </c>
    </row>
    <row r="133" spans="1:4" x14ac:dyDescent="0.2">
      <c r="A133" s="31" t="s">
        <v>226</v>
      </c>
      <c r="B133" s="33">
        <f>IF(15.83932="","-",15.83932)</f>
        <v>15.839320000000001</v>
      </c>
      <c r="C133" s="33">
        <f>IF(2085.50385="","-",2085.50385)</f>
        <v>2085.5038500000001</v>
      </c>
      <c r="D133" s="33" t="s">
        <v>335</v>
      </c>
    </row>
    <row r="134" spans="1:4" x14ac:dyDescent="0.2">
      <c r="A134" s="31" t="s">
        <v>57</v>
      </c>
      <c r="B134" s="33">
        <f>IF(3239.6293="","-",3239.6293)</f>
        <v>3239.6293000000001</v>
      </c>
      <c r="C134" s="33">
        <f>IF(2689.44956="","-",2689.44956)</f>
        <v>2689.44956</v>
      </c>
      <c r="D134" s="33">
        <f>IF(OR(3239.6293="",2689.44956="",3239.6293=0),"-",2689.44956/3239.6293*100)</f>
        <v>83.017200764297314</v>
      </c>
    </row>
    <row r="135" spans="1:4" x14ac:dyDescent="0.2">
      <c r="A135" s="31" t="s">
        <v>58</v>
      </c>
      <c r="B135" s="33">
        <f>IF(4864.74218="","-",4864.74218)</f>
        <v>4864.7421800000002</v>
      </c>
      <c r="C135" s="33">
        <f>IF(6543.17623="","-",6543.17623)</f>
        <v>6543.17623</v>
      </c>
      <c r="D135" s="33">
        <f>IF(OR(4864.74218="",6543.17623="",4864.74218=0),"-",6543.17623/4864.74218*100)</f>
        <v>134.50201445207935</v>
      </c>
    </row>
    <row r="136" spans="1:4" x14ac:dyDescent="0.2">
      <c r="A136" s="37" t="s">
        <v>60</v>
      </c>
      <c r="B136" s="39">
        <f>IF(6586.68698="","-",6586.68698)</f>
        <v>6586.6869800000004</v>
      </c>
      <c r="C136" s="39">
        <f>IF(9681.04289="","-",9681.04289)</f>
        <v>9681.0428900000006</v>
      </c>
      <c r="D136" s="39">
        <f>IF(OR(6586.68698="",9681.04289="",6586.68698=0),"-",9681.04289/6586.68698*100)</f>
        <v>146.97894281898911</v>
      </c>
    </row>
    <row r="137" spans="1:4" x14ac:dyDescent="0.2">
      <c r="A137" s="1" t="s">
        <v>313</v>
      </c>
    </row>
  </sheetData>
  <sortState ref="A48:G113">
    <sortCondition ref="C48:C113"/>
  </sortState>
  <mergeCells count="4">
    <mergeCell ref="A1:D1"/>
    <mergeCell ref="A3:A4"/>
    <mergeCell ref="D3:D4"/>
    <mergeCell ref="B3:C3"/>
  </mergeCells>
  <phoneticPr fontId="1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K40"/>
  <sheetViews>
    <sheetView workbookViewId="0">
      <selection sqref="A1:XFD1048576"/>
    </sheetView>
  </sheetViews>
  <sheetFormatPr defaultRowHeight="12" x14ac:dyDescent="0.2"/>
  <cols>
    <col min="1" max="1" width="30.25" style="7" customWidth="1"/>
    <col min="2" max="2" width="14.875" style="7" customWidth="1"/>
    <col min="3" max="3" width="13.875" style="7" customWidth="1"/>
    <col min="4" max="5" width="11.625" style="7" customWidth="1"/>
    <col min="6" max="16384" width="9" style="7"/>
  </cols>
  <sheetData>
    <row r="1" spans="1:6" x14ac:dyDescent="0.2">
      <c r="A1" s="6" t="s">
        <v>391</v>
      </c>
      <c r="B1" s="6"/>
      <c r="C1" s="6"/>
      <c r="D1" s="6"/>
      <c r="E1" s="6"/>
    </row>
    <row r="2" spans="1:6" x14ac:dyDescent="0.2">
      <c r="A2" s="36"/>
      <c r="B2" s="36"/>
      <c r="C2" s="36"/>
      <c r="D2" s="36"/>
      <c r="E2" s="36"/>
    </row>
    <row r="3" spans="1:6" ht="18.75" customHeight="1" x14ac:dyDescent="0.2">
      <c r="A3" s="8"/>
      <c r="B3" s="9" t="s">
        <v>329</v>
      </c>
      <c r="C3" s="10"/>
      <c r="D3" s="9" t="s">
        <v>108</v>
      </c>
      <c r="E3" s="83"/>
      <c r="F3" s="46"/>
    </row>
    <row r="4" spans="1:6" ht="18.75" customHeight="1" x14ac:dyDescent="0.2">
      <c r="A4" s="13"/>
      <c r="B4" s="14" t="s">
        <v>121</v>
      </c>
      <c r="C4" s="15" t="s">
        <v>384</v>
      </c>
      <c r="D4" s="16" t="s">
        <v>330</v>
      </c>
      <c r="E4" s="9"/>
      <c r="F4" s="46"/>
    </row>
    <row r="5" spans="1:6" ht="23.25" customHeight="1" x14ac:dyDescent="0.2">
      <c r="A5" s="17"/>
      <c r="B5" s="18"/>
      <c r="C5" s="19"/>
      <c r="D5" s="20">
        <v>2020</v>
      </c>
      <c r="E5" s="21">
        <v>2021</v>
      </c>
      <c r="F5" s="46"/>
    </row>
    <row r="6" spans="1:6" ht="15.75" customHeight="1" x14ac:dyDescent="0.2">
      <c r="A6" s="84" t="s">
        <v>144</v>
      </c>
      <c r="B6" s="30">
        <v>1104707.7805600001</v>
      </c>
      <c r="C6" s="24">
        <v>112.65656815793376</v>
      </c>
      <c r="D6" s="86">
        <v>100</v>
      </c>
      <c r="E6" s="86">
        <v>100</v>
      </c>
    </row>
    <row r="7" spans="1:6" ht="15.75" customHeight="1" x14ac:dyDescent="0.2">
      <c r="A7" s="87" t="s">
        <v>133</v>
      </c>
      <c r="B7" s="88"/>
      <c r="C7" s="89"/>
      <c r="D7" s="88"/>
      <c r="E7" s="88"/>
    </row>
    <row r="8" spans="1:6" x14ac:dyDescent="0.2">
      <c r="A8" s="90" t="s">
        <v>112</v>
      </c>
      <c r="B8" s="33">
        <v>59149.615039999997</v>
      </c>
      <c r="C8" s="89">
        <v>63.639499795479225</v>
      </c>
      <c r="D8" s="33">
        <f>IF(92944.81451="","-",92944.81451/980597.75708*100)</f>
        <v>9.4783833471910839</v>
      </c>
      <c r="E8" s="33">
        <f>IF(59149.61504="","-",59149.61504/1104707.78056*100)</f>
        <v>5.3543222996054016</v>
      </c>
    </row>
    <row r="9" spans="1:6" x14ac:dyDescent="0.2">
      <c r="A9" s="90" t="s">
        <v>113</v>
      </c>
      <c r="B9" s="33">
        <v>8109.6409700000004</v>
      </c>
      <c r="C9" s="89">
        <v>17.158432181282173</v>
      </c>
      <c r="D9" s="33">
        <f>IF(47263.29821="","-",47263.29821/980597.75708*100)</f>
        <v>4.8198456368837199</v>
      </c>
      <c r="E9" s="33">
        <f>IF(8109.64097="","-",8109.64097/1104707.78056*100)</f>
        <v>0.73409829392973491</v>
      </c>
    </row>
    <row r="10" spans="1:6" x14ac:dyDescent="0.2">
      <c r="A10" s="90" t="s">
        <v>114</v>
      </c>
      <c r="B10" s="33">
        <v>1024145.9214699999</v>
      </c>
      <c r="C10" s="89">
        <v>123.5966408476785</v>
      </c>
      <c r="D10" s="33">
        <f>IF(828619.54374="","-",828619.54374/980597.75708*100)</f>
        <v>84.50147246995985</v>
      </c>
      <c r="E10" s="33">
        <f>IF(1024145.92147="","-",1024145.92147/1104707.78056*100)</f>
        <v>92.707405477929953</v>
      </c>
    </row>
    <row r="11" spans="1:6" x14ac:dyDescent="0.2">
      <c r="A11" s="90" t="s">
        <v>115</v>
      </c>
      <c r="B11" s="33">
        <v>12475.637549999999</v>
      </c>
      <c r="C11" s="89">
        <v>110.36015290049035</v>
      </c>
      <c r="D11" s="33">
        <f>IF(11304.4765="","-",11304.4765/980597.75708*100)</f>
        <v>1.1528148436380472</v>
      </c>
      <c r="E11" s="33">
        <f>IF(12475.63755="","-",12475.63755/1104707.78056*100)</f>
        <v>1.1293156226052676</v>
      </c>
    </row>
    <row r="12" spans="1:6" x14ac:dyDescent="0.2">
      <c r="A12" s="90" t="s">
        <v>116</v>
      </c>
      <c r="B12" s="33">
        <v>751.26793999999995</v>
      </c>
      <c r="C12" s="89" t="s">
        <v>103</v>
      </c>
      <c r="D12" s="33">
        <f>IF(446.93433="","-",446.93433/980597.75708*100)</f>
        <v>4.5577743450165548E-2</v>
      </c>
      <c r="E12" s="33">
        <f>IF(751.26794="","-",751.26794/1104707.78056*100)</f>
        <v>6.8006033199038946E-2</v>
      </c>
    </row>
    <row r="13" spans="1:6" x14ac:dyDescent="0.2">
      <c r="A13" s="90" t="s">
        <v>117</v>
      </c>
      <c r="B13" s="33">
        <v>2.31277</v>
      </c>
      <c r="C13" s="89">
        <v>71.042801938896503</v>
      </c>
      <c r="D13" s="33">
        <f>IF(3.25546="","-",3.25546/980597.75708*100)</f>
        <v>3.3198729820615021E-4</v>
      </c>
      <c r="E13" s="33">
        <f>IF(2.31277="","-",2.31277/1104707.78056*100)</f>
        <v>2.0935581704942889E-4</v>
      </c>
    </row>
    <row r="14" spans="1:6" x14ac:dyDescent="0.2">
      <c r="A14" s="90" t="s">
        <v>118</v>
      </c>
      <c r="B14" s="33">
        <v>73.384820000000005</v>
      </c>
      <c r="C14" s="89" t="s">
        <v>363</v>
      </c>
      <c r="D14" s="33">
        <f>IF(15.43433="","-",15.43433/980597.75708*100)</f>
        <v>1.5739715789234486E-3</v>
      </c>
      <c r="E14" s="33">
        <f>IF(73.38482="","-",73.38482/1104707.78056*100)</f>
        <v>6.6429169135388605E-3</v>
      </c>
    </row>
    <row r="15" spans="1:6" x14ac:dyDescent="0.2">
      <c r="A15" s="91" t="s">
        <v>219</v>
      </c>
      <c r="B15" s="30">
        <v>720430.76054000005</v>
      </c>
      <c r="C15" s="92">
        <v>116.5137907338832</v>
      </c>
      <c r="D15" s="30">
        <f>IF(618322.30846="","-",618322.30846/980597.75708*100)</f>
        <v>63.055651922070986</v>
      </c>
      <c r="E15" s="30">
        <f>IF(720430.76054="","-",720430.76054/1104707.78056*100)</f>
        <v>65.214600025248146</v>
      </c>
    </row>
    <row r="16" spans="1:6" x14ac:dyDescent="0.2">
      <c r="A16" s="87" t="s">
        <v>133</v>
      </c>
      <c r="B16" s="100"/>
      <c r="C16" s="92"/>
      <c r="D16" s="100"/>
      <c r="E16" s="100"/>
    </row>
    <row r="17" spans="1:11" x14ac:dyDescent="0.2">
      <c r="A17" s="90" t="s">
        <v>112</v>
      </c>
      <c r="B17" s="33">
        <v>32436.014370000001</v>
      </c>
      <c r="C17" s="93">
        <v>65.466080273114557</v>
      </c>
      <c r="D17" s="33">
        <f>IF(49546.29059="","-",49546.29059/980597.75708*100)</f>
        <v>5.0526620351996039</v>
      </c>
      <c r="E17" s="33">
        <f>IF(32436.01437="","-",32436.01437/1104707.78056*100)</f>
        <v>2.9361623898002684</v>
      </c>
      <c r="K17" s="101"/>
    </row>
    <row r="18" spans="1:11" x14ac:dyDescent="0.2">
      <c r="A18" s="90" t="s">
        <v>113</v>
      </c>
      <c r="B18" s="33">
        <v>2700.54324</v>
      </c>
      <c r="C18" s="93">
        <v>26.15016912642794</v>
      </c>
      <c r="D18" s="33">
        <f>IF(10327.05841="","-",10327.05841/980597.75708*100)</f>
        <v>1.053139101679333</v>
      </c>
      <c r="E18" s="33">
        <f>IF(2700.54324="","-",2700.54324/1104707.78056*100)</f>
        <v>0.24445770071711059</v>
      </c>
    </row>
    <row r="19" spans="1:11" x14ac:dyDescent="0.2">
      <c r="A19" s="90" t="s">
        <v>114</v>
      </c>
      <c r="B19" s="33">
        <v>682730.32987000002</v>
      </c>
      <c r="C19" s="93">
        <v>122.82344091840302</v>
      </c>
      <c r="D19" s="33">
        <f>IF(555863.21696="","-",555863.21696/980597.75708*100)</f>
        <v>56.686160349299172</v>
      </c>
      <c r="E19" s="33">
        <f>IF(682730.32987="","-",682730.32987/1104707.78056*100)</f>
        <v>61.80189384779289</v>
      </c>
    </row>
    <row r="20" spans="1:11" x14ac:dyDescent="0.2">
      <c r="A20" s="90" t="s">
        <v>115</v>
      </c>
      <c r="B20" s="33">
        <v>1845.8399899999999</v>
      </c>
      <c r="C20" s="93">
        <v>76.227829117775443</v>
      </c>
      <c r="D20" s="33">
        <f>IF(2421.47784="","-",2421.47784/980597.75708*100)</f>
        <v>0.24693895356344861</v>
      </c>
      <c r="E20" s="33">
        <f>IF(1845.83999="","-",1845.83999/1104707.78056*100)</f>
        <v>0.16708852987930473</v>
      </c>
    </row>
    <row r="21" spans="1:11" x14ac:dyDescent="0.2">
      <c r="A21" s="90" t="s">
        <v>116</v>
      </c>
      <c r="B21" s="33">
        <v>681.96891000000005</v>
      </c>
      <c r="C21" s="93" t="s">
        <v>339</v>
      </c>
      <c r="D21" s="33">
        <f>IF(164.26466="","-",164.26466/980597.75708*100)</f>
        <v>1.6751482329425603E-2</v>
      </c>
      <c r="E21" s="33">
        <f>IF(681.96891="","-",681.96891/1104707.78056*100)</f>
        <v>6.1732968844873649E-2</v>
      </c>
    </row>
    <row r="22" spans="1:11" x14ac:dyDescent="0.2">
      <c r="A22" s="25" t="s">
        <v>118</v>
      </c>
      <c r="B22" s="33">
        <v>36.064160000000001</v>
      </c>
      <c r="C22" s="93" t="s">
        <v>218</v>
      </c>
      <c r="D22" s="33" t="s">
        <v>218</v>
      </c>
      <c r="E22" s="33">
        <f>IF(36.06416="","-",36.06416/1104707.78056*100)</f>
        <v>3.2645882137010301E-3</v>
      </c>
    </row>
    <row r="23" spans="1:11" x14ac:dyDescent="0.2">
      <c r="A23" s="91" t="s">
        <v>220</v>
      </c>
      <c r="B23" s="30">
        <v>173373.62458</v>
      </c>
      <c r="C23" s="92">
        <v>107.30245504184828</v>
      </c>
      <c r="D23" s="30">
        <f>IF(161574.70443="","-",161574.70443/980597.75708*100)</f>
        <v>16.477164389110293</v>
      </c>
      <c r="E23" s="30">
        <f>IF(173373.62458="","-",173373.62458/1104707.78056*100)</f>
        <v>15.694071104678306</v>
      </c>
    </row>
    <row r="24" spans="1:11" x14ac:dyDescent="0.2">
      <c r="A24" s="87" t="s">
        <v>133</v>
      </c>
      <c r="B24" s="100"/>
      <c r="C24" s="92"/>
      <c r="D24" s="100"/>
      <c r="E24" s="100"/>
    </row>
    <row r="25" spans="1:11" x14ac:dyDescent="0.2">
      <c r="A25" s="90" t="s">
        <v>112</v>
      </c>
      <c r="B25" s="33">
        <v>10270.452499999999</v>
      </c>
      <c r="C25" s="93" t="s">
        <v>365</v>
      </c>
      <c r="D25" s="33">
        <f>IF(1252.01706="","-",1252.01706/980597.75708*100)</f>
        <v>0.12767896428074907</v>
      </c>
      <c r="E25" s="33">
        <f>IF(10270.4525="","-",10270.4525/1104707.78056*100)</f>
        <v>0.92969857556300417</v>
      </c>
    </row>
    <row r="26" spans="1:11" x14ac:dyDescent="0.2">
      <c r="A26" s="90" t="s">
        <v>113</v>
      </c>
      <c r="B26" s="33">
        <v>1723.3268800000001</v>
      </c>
      <c r="C26" s="93">
        <v>60.183619583880898</v>
      </c>
      <c r="D26" s="33">
        <f>IF(2863.44838="","-",2863.44838/980597.75708*100)</f>
        <v>0.29201049659002959</v>
      </c>
      <c r="E26" s="33">
        <f>IF(1723.32688="","-",1723.32688/1104707.78056*100)</f>
        <v>0.15599843780645853</v>
      </c>
      <c r="F26" s="46"/>
      <c r="G26" s="46"/>
    </row>
    <row r="27" spans="1:11" x14ac:dyDescent="0.2">
      <c r="A27" s="90" t="s">
        <v>114</v>
      </c>
      <c r="B27" s="33">
        <v>157064.53336</v>
      </c>
      <c r="C27" s="93">
        <v>101.68096066120775</v>
      </c>
      <c r="D27" s="33">
        <f>IF(154467.98726="","-",154467.98726/980597.75708*100)</f>
        <v>15.752431223172586</v>
      </c>
      <c r="E27" s="33">
        <f>IF(157064.53336="","-",157064.53336/1104707.78056*100)</f>
        <v>14.217744830255526</v>
      </c>
      <c r="F27" s="4"/>
      <c r="G27" s="4"/>
    </row>
    <row r="28" spans="1:11" x14ac:dyDescent="0.2">
      <c r="A28" s="90" t="s">
        <v>115</v>
      </c>
      <c r="B28" s="33">
        <v>4264.3487500000001</v>
      </c>
      <c r="C28" s="93">
        <v>145.63975414714048</v>
      </c>
      <c r="D28" s="33">
        <f>IF(2928.0115="","-",2928.0115/980597.75708*100)</f>
        <v>0.29859455407270774</v>
      </c>
      <c r="E28" s="33">
        <f>IF(4264.34875="","-",4264.34875/1104707.78056*100)</f>
        <v>0.38601599672252784</v>
      </c>
    </row>
    <row r="29" spans="1:11" x14ac:dyDescent="0.2">
      <c r="A29" s="90" t="s">
        <v>116</v>
      </c>
      <c r="B29" s="33">
        <v>13.471220000000001</v>
      </c>
      <c r="C29" s="93">
        <v>30.238130083563707</v>
      </c>
      <c r="D29" s="33">
        <f>IF(44.55044="","-",44.55044/980597.75708*100)</f>
        <v>4.5431921170879701E-3</v>
      </c>
      <c r="E29" s="33">
        <f>IF(13.47122="","-",13.47122/1104707.78056*100)</f>
        <v>1.2194374147678356E-3</v>
      </c>
    </row>
    <row r="30" spans="1:11" x14ac:dyDescent="0.2">
      <c r="A30" s="90" t="s">
        <v>117</v>
      </c>
      <c r="B30" s="33">
        <v>2.31277</v>
      </c>
      <c r="C30" s="93">
        <v>71.042801938896503</v>
      </c>
      <c r="D30" s="33">
        <f>IF(3.25546="","-",3.25546/980597.75708*100)</f>
        <v>3.3198729820615021E-4</v>
      </c>
      <c r="E30" s="33">
        <f>IF(2.31277="","-",2.31277/1104707.78056*100)</f>
        <v>2.0935581704942889E-4</v>
      </c>
    </row>
    <row r="31" spans="1:11" x14ac:dyDescent="0.2">
      <c r="A31" s="90" t="s">
        <v>118</v>
      </c>
      <c r="B31" s="33">
        <v>35.179099999999998</v>
      </c>
      <c r="C31" s="93" t="s">
        <v>228</v>
      </c>
      <c r="D31" s="33">
        <f>IF(15.43433="","-",15.43433/980597.75708*100)</f>
        <v>1.5739715789234486E-3</v>
      </c>
      <c r="E31" s="33">
        <f>IF(35.1791="","-",35.1791/1104707.78056*100)</f>
        <v>3.184471098969445E-3</v>
      </c>
    </row>
    <row r="32" spans="1:11" x14ac:dyDescent="0.2">
      <c r="A32" s="91" t="s">
        <v>364</v>
      </c>
      <c r="B32" s="30">
        <v>210903.39543999999</v>
      </c>
      <c r="C32" s="92">
        <v>105.08351440906534</v>
      </c>
      <c r="D32" s="30">
        <f>IF(200700.74419="","-",200700.74419/980597.75708*100)</f>
        <v>20.467183688818722</v>
      </c>
      <c r="E32" s="30">
        <f>IF(210903.39544="","-",210903.39544/1104707.78056*100)</f>
        <v>19.091328870073543</v>
      </c>
    </row>
    <row r="33" spans="1:5" x14ac:dyDescent="0.2">
      <c r="A33" s="87" t="s">
        <v>133</v>
      </c>
      <c r="B33" s="100"/>
      <c r="C33" s="92"/>
      <c r="D33" s="100"/>
      <c r="E33" s="100"/>
    </row>
    <row r="34" spans="1:5" x14ac:dyDescent="0.2">
      <c r="A34" s="90" t="s">
        <v>112</v>
      </c>
      <c r="B34" s="33">
        <v>16443.14817</v>
      </c>
      <c r="C34" s="93">
        <v>25.019987314792143</v>
      </c>
      <c r="D34" s="33">
        <f>IF(42146.50686="","-",42146.50686/980597.75708*100)</f>
        <v>4.298042347710731</v>
      </c>
      <c r="E34" s="33">
        <f>IF(16443.14817="","-",16443.14817/1104707.78056*100)</f>
        <v>1.48846133424213</v>
      </c>
    </row>
    <row r="35" spans="1:5" x14ac:dyDescent="0.2">
      <c r="A35" s="90" t="s">
        <v>113</v>
      </c>
      <c r="B35" s="33">
        <v>3685.7708499999999</v>
      </c>
      <c r="C35" s="93">
        <v>10.817343388650368</v>
      </c>
      <c r="D35" s="33">
        <f>IF(34072.79142="","-",34072.79142/980597.75708*100)</f>
        <v>3.4746960386143577</v>
      </c>
      <c r="E35" s="33">
        <f>IF(3685.77085="","-",3685.77085/1104707.78056*100)</f>
        <v>0.33364215540616571</v>
      </c>
    </row>
    <row r="36" spans="1:5" x14ac:dyDescent="0.2">
      <c r="A36" s="90" t="s">
        <v>114</v>
      </c>
      <c r="B36" s="33">
        <v>184351.05824000001</v>
      </c>
      <c r="C36" s="93">
        <v>133.70935207291345</v>
      </c>
      <c r="D36" s="33">
        <f>IF(118288.33952="","-",118288.33952/980597.75708*100)</f>
        <v>12.062880897488091</v>
      </c>
      <c r="E36" s="33">
        <f>IF(184351.05824="","-",184351.05824/1104707.78056*100)</f>
        <v>16.687766799881548</v>
      </c>
    </row>
    <row r="37" spans="1:5" x14ac:dyDescent="0.2">
      <c r="A37" s="90" t="s">
        <v>115</v>
      </c>
      <c r="B37" s="33">
        <v>6365.4488099999999</v>
      </c>
      <c r="C37" s="93">
        <v>81.379575132450839</v>
      </c>
      <c r="D37" s="33">
        <f>IF(5954.98716="","-",5954.98716/980597.75708*100)</f>
        <v>0.60728133600189083</v>
      </c>
      <c r="E37" s="33">
        <f>IF(6365.44881="","-",6365.44881/1104707.78056*100)</f>
        <v>0.57621109600343512</v>
      </c>
    </row>
    <row r="38" spans="1:5" x14ac:dyDescent="0.2">
      <c r="A38" s="25" t="s">
        <v>116</v>
      </c>
      <c r="B38" s="96">
        <v>55.827809999999999</v>
      </c>
      <c r="C38" s="97">
        <v>14.756674628924344</v>
      </c>
      <c r="D38" s="33">
        <f>IF(238.11923="","-",238.11923/980597.75708*100)</f>
        <v>2.4283069003651975E-2</v>
      </c>
      <c r="E38" s="33">
        <f>IF(55.82781="","-",55.82781/1104707.78056*100)</f>
        <v>5.0536269393974646E-3</v>
      </c>
    </row>
    <row r="39" spans="1:5" x14ac:dyDescent="0.2">
      <c r="A39" s="98" t="s">
        <v>118</v>
      </c>
      <c r="B39" s="39">
        <v>2.1415600000000001</v>
      </c>
      <c r="C39" s="102" t="s">
        <v>22</v>
      </c>
      <c r="D39" s="39" t="s">
        <v>218</v>
      </c>
      <c r="E39" s="39">
        <f>IF(2.14156="","-",2.14156/1104707.78056*100)</f>
        <v>1.9385760086838505E-4</v>
      </c>
    </row>
    <row r="40" spans="1:5" x14ac:dyDescent="0.2">
      <c r="A40" s="5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G40"/>
  <sheetViews>
    <sheetView workbookViewId="0">
      <selection sqref="A1:XFD1048576"/>
    </sheetView>
  </sheetViews>
  <sheetFormatPr defaultRowHeight="12" x14ac:dyDescent="0.2"/>
  <cols>
    <col min="1" max="1" width="31" style="7" customWidth="1"/>
    <col min="2" max="2" width="14.5" style="7" customWidth="1"/>
    <col min="3" max="3" width="13.75" style="7" customWidth="1"/>
    <col min="4" max="5" width="11.625" style="7" customWidth="1"/>
    <col min="6" max="16384" width="9" style="7"/>
  </cols>
  <sheetData>
    <row r="1" spans="1:6" x14ac:dyDescent="0.2">
      <c r="A1" s="6" t="s">
        <v>390</v>
      </c>
      <c r="B1" s="6"/>
      <c r="C1" s="6"/>
      <c r="D1" s="6"/>
      <c r="E1" s="6"/>
    </row>
    <row r="2" spans="1:6" x14ac:dyDescent="0.2">
      <c r="A2" s="36"/>
      <c r="B2" s="36"/>
      <c r="C2" s="36"/>
      <c r="D2" s="36"/>
      <c r="E2" s="36"/>
    </row>
    <row r="3" spans="1:6" ht="17.25" customHeight="1" x14ac:dyDescent="0.2">
      <c r="A3" s="8"/>
      <c r="B3" s="9" t="s">
        <v>329</v>
      </c>
      <c r="C3" s="10"/>
      <c r="D3" s="9" t="s">
        <v>108</v>
      </c>
      <c r="E3" s="83"/>
      <c r="F3" s="46"/>
    </row>
    <row r="4" spans="1:6" ht="20.25" customHeight="1" x14ac:dyDescent="0.2">
      <c r="A4" s="13"/>
      <c r="B4" s="14" t="s">
        <v>121</v>
      </c>
      <c r="C4" s="15" t="s">
        <v>384</v>
      </c>
      <c r="D4" s="16" t="s">
        <v>330</v>
      </c>
      <c r="E4" s="9"/>
      <c r="F4" s="46"/>
    </row>
    <row r="5" spans="1:6" ht="20.25" customHeight="1" x14ac:dyDescent="0.2">
      <c r="A5" s="17"/>
      <c r="B5" s="18"/>
      <c r="C5" s="19"/>
      <c r="D5" s="20">
        <v>2020</v>
      </c>
      <c r="E5" s="21">
        <v>2021</v>
      </c>
      <c r="F5" s="46"/>
    </row>
    <row r="6" spans="1:6" ht="15.75" customHeight="1" x14ac:dyDescent="0.2">
      <c r="A6" s="84" t="s">
        <v>134</v>
      </c>
      <c r="B6" s="30">
        <v>2676670.8323499998</v>
      </c>
      <c r="C6" s="85">
        <v>135.18009449333675</v>
      </c>
      <c r="D6" s="86">
        <v>100</v>
      </c>
      <c r="E6" s="86">
        <v>100</v>
      </c>
    </row>
    <row r="7" spans="1:6" ht="15.75" customHeight="1" x14ac:dyDescent="0.2">
      <c r="A7" s="87" t="s">
        <v>133</v>
      </c>
      <c r="B7" s="88"/>
      <c r="C7" s="89"/>
      <c r="D7" s="88"/>
      <c r="E7" s="88"/>
    </row>
    <row r="8" spans="1:6" x14ac:dyDescent="0.2">
      <c r="A8" s="90" t="s">
        <v>112</v>
      </c>
      <c r="B8" s="33">
        <v>56081.599289999998</v>
      </c>
      <c r="C8" s="89" t="s">
        <v>104</v>
      </c>
      <c r="D8" s="33">
        <f>IF(35611.33558="","-",35611.33558/1980077.64559*100)</f>
        <v>1.7984817746573245</v>
      </c>
      <c r="E8" s="33">
        <f>IF(56081.59929="","-",56081.59929/2676670.83235*100)</f>
        <v>2.0951997015173811</v>
      </c>
    </row>
    <row r="9" spans="1:6" x14ac:dyDescent="0.2">
      <c r="A9" s="90" t="s">
        <v>113</v>
      </c>
      <c r="B9" s="33">
        <v>119417.09682000001</v>
      </c>
      <c r="C9" s="89">
        <v>145.26322623281703</v>
      </c>
      <c r="D9" s="33">
        <f>IF(82207.38305="","-",82207.38305/1980077.64559*100)</f>
        <v>4.1517252231543083</v>
      </c>
      <c r="E9" s="33">
        <f>IF(119417.09682="","-",119417.09682/2676670.83235*100)</f>
        <v>4.4614038968384104</v>
      </c>
    </row>
    <row r="10" spans="1:6" x14ac:dyDescent="0.2">
      <c r="A10" s="90" t="s">
        <v>114</v>
      </c>
      <c r="B10" s="33">
        <v>2313176.7607499999</v>
      </c>
      <c r="C10" s="89">
        <v>136.29546240887117</v>
      </c>
      <c r="D10" s="33">
        <f>IF(1697178.11574="","-",1697178.11574/1980077.64559*100)</f>
        <v>85.712705232541282</v>
      </c>
      <c r="E10" s="33">
        <f>IF(2313176.76075="","-",2313176.76075/2676670.83235*100)</f>
        <v>86.419918833244509</v>
      </c>
    </row>
    <row r="11" spans="1:6" x14ac:dyDescent="0.2">
      <c r="A11" s="90" t="s">
        <v>115</v>
      </c>
      <c r="B11" s="33">
        <v>64654.248070000001</v>
      </c>
      <c r="C11" s="89">
        <v>134.92021983738726</v>
      </c>
      <c r="D11" s="33">
        <f>IF(47920.35482="","-",47920.35482/1980077.64559*100)</f>
        <v>2.4201250353352308</v>
      </c>
      <c r="E11" s="33">
        <f>IF(64654.24807="","-",64654.24807/2676670.83235*100)</f>
        <v>2.4154725074370242</v>
      </c>
    </row>
    <row r="12" spans="1:6" x14ac:dyDescent="0.2">
      <c r="A12" s="90" t="s">
        <v>116</v>
      </c>
      <c r="B12" s="33">
        <v>4883.5122499999998</v>
      </c>
      <c r="C12" s="89">
        <v>140.28208109213509</v>
      </c>
      <c r="D12" s="33">
        <f>IF(3481.20887="","-",3481.20887/1980077.64559*100)</f>
        <v>0.17581173535054534</v>
      </c>
      <c r="E12" s="33">
        <f>IF(4883.51225="","-",4883.51225/2676670.83235*100)</f>
        <v>0.18244724719148561</v>
      </c>
    </row>
    <row r="13" spans="1:6" x14ac:dyDescent="0.2">
      <c r="A13" s="90" t="s">
        <v>117</v>
      </c>
      <c r="B13" s="33">
        <v>104022.34053</v>
      </c>
      <c r="C13" s="89">
        <v>98.65980636055528</v>
      </c>
      <c r="D13" s="33">
        <f>IF(105435.37877="","-",105435.37877/1980077.64559*100)</f>
        <v>5.324810317657195</v>
      </c>
      <c r="E13" s="33">
        <f>IF(104022.34053="","-",104022.34053/2676670.83235*100)</f>
        <v>3.8862582306645805</v>
      </c>
    </row>
    <row r="14" spans="1:6" x14ac:dyDescent="0.2">
      <c r="A14" s="90" t="s">
        <v>118</v>
      </c>
      <c r="B14" s="33">
        <v>14435.27464</v>
      </c>
      <c r="C14" s="89" t="s">
        <v>216</v>
      </c>
      <c r="D14" s="33">
        <f>IF(8243.86876="","-",8243.86876/1980077.64559*100)</f>
        <v>0.41634068130412072</v>
      </c>
      <c r="E14" s="33">
        <f>IF(14435.27464="","-",14435.27464/2676670.83235*100)</f>
        <v>0.5392995831066183</v>
      </c>
    </row>
    <row r="15" spans="1:6" x14ac:dyDescent="0.2">
      <c r="A15" s="91" t="s">
        <v>219</v>
      </c>
      <c r="B15" s="30">
        <v>1267135.0485700001</v>
      </c>
      <c r="C15" s="92">
        <v>136.75282211524572</v>
      </c>
      <c r="D15" s="30">
        <f>IF(926587.86047="","-",926587.86047/1980077.64559*100)</f>
        <v>46.795531606231847</v>
      </c>
      <c r="E15" s="30">
        <f>IF(1267135.04857="","-",1267135.04857/2676670.83235*100)</f>
        <v>47.339965499512353</v>
      </c>
    </row>
    <row r="16" spans="1:6" x14ac:dyDescent="0.2">
      <c r="A16" s="87" t="s">
        <v>133</v>
      </c>
      <c r="B16" s="88"/>
      <c r="C16" s="92"/>
      <c r="D16" s="88"/>
      <c r="E16" s="88"/>
    </row>
    <row r="17" spans="1:7" x14ac:dyDescent="0.2">
      <c r="A17" s="90" t="s">
        <v>112</v>
      </c>
      <c r="B17" s="33">
        <v>19545.04163</v>
      </c>
      <c r="C17" s="93" t="s">
        <v>103</v>
      </c>
      <c r="D17" s="33">
        <f>IF(11224.11223="","-",11224.11223/1980077.64559*100)</f>
        <v>0.56685212597587664</v>
      </c>
      <c r="E17" s="33">
        <f>IF(19545.04163="","-",19545.04163/2676670.83235*100)</f>
        <v>0.73019967168844246</v>
      </c>
    </row>
    <row r="18" spans="1:7" x14ac:dyDescent="0.2">
      <c r="A18" s="90" t="s">
        <v>113</v>
      </c>
      <c r="B18" s="33">
        <v>38651.677609999999</v>
      </c>
      <c r="C18" s="93" t="s">
        <v>366</v>
      </c>
      <c r="D18" s="33">
        <f>IF(11315.75786="","-",11315.75786/1980077.64559*100)</f>
        <v>0.5714805116457069</v>
      </c>
      <c r="E18" s="33">
        <f>IF(38651.67761="","-",38651.67761/2676670.83235*100)</f>
        <v>1.4440205774598558</v>
      </c>
    </row>
    <row r="19" spans="1:7" x14ac:dyDescent="0.2">
      <c r="A19" s="90" t="s">
        <v>114</v>
      </c>
      <c r="B19" s="33">
        <v>1180592.7739299999</v>
      </c>
      <c r="C19" s="93">
        <v>133.69766708413641</v>
      </c>
      <c r="D19" s="33">
        <f>IF(883031.69358="","-",883031.69358/1980077.64559*100)</f>
        <v>44.595811459549338</v>
      </c>
      <c r="E19" s="33">
        <f>IF(1180592.77393="","-",1180592.77393/2676670.83235*100)</f>
        <v>44.106759772679673</v>
      </c>
    </row>
    <row r="20" spans="1:7" x14ac:dyDescent="0.2">
      <c r="A20" s="90" t="s">
        <v>115</v>
      </c>
      <c r="B20" s="33">
        <v>13876.49353</v>
      </c>
      <c r="C20" s="93">
        <v>112.39139481382132</v>
      </c>
      <c r="D20" s="33">
        <f>IF(12346.58005="","-",12346.58005/1980077.64559*100)</f>
        <v>0.62354019689571882</v>
      </c>
      <c r="E20" s="33">
        <f>IF(13876.49353="","-",13876.49353/2676670.83235*100)</f>
        <v>0.5184236089955464</v>
      </c>
    </row>
    <row r="21" spans="1:7" x14ac:dyDescent="0.2">
      <c r="A21" s="90" t="s">
        <v>116</v>
      </c>
      <c r="B21" s="33">
        <v>2354.8380400000001</v>
      </c>
      <c r="C21" s="93" t="s">
        <v>104</v>
      </c>
      <c r="D21" s="33">
        <f>IF(1436.18239="","-",1436.18239/1980077.64559*100)</f>
        <v>7.2531619817972501E-2</v>
      </c>
      <c r="E21" s="33">
        <f>IF(2354.83804="","-",2354.83804/2676670.83235*100)</f>
        <v>8.7976377653151902E-2</v>
      </c>
    </row>
    <row r="22" spans="1:7" x14ac:dyDescent="0.2">
      <c r="A22" s="90" t="s">
        <v>118</v>
      </c>
      <c r="B22" s="33">
        <v>12114.223830000001</v>
      </c>
      <c r="C22" s="93" t="s">
        <v>103</v>
      </c>
      <c r="D22" s="33">
        <f>IF(7233.53436="","-",7233.53436/1980077.64559*100)</f>
        <v>0.3653156923472381</v>
      </c>
      <c r="E22" s="33">
        <f>IF(12114.22383="","-",12114.22383/2676670.83235*100)</f>
        <v>0.45258549103567747</v>
      </c>
    </row>
    <row r="23" spans="1:7" x14ac:dyDescent="0.2">
      <c r="A23" s="91" t="s">
        <v>220</v>
      </c>
      <c r="B23" s="30">
        <v>612250.29674999998</v>
      </c>
      <c r="C23" s="85">
        <v>125.0061048659249</v>
      </c>
      <c r="D23" s="30">
        <f>IF(489776.31725="","-",489776.31725/1980077.64559*100)</f>
        <v>24.735207649095109</v>
      </c>
      <c r="E23" s="30">
        <f>IF(612250.29675="","-",612250.29675/2676670.83235*100)</f>
        <v>22.873574492253539</v>
      </c>
    </row>
    <row r="24" spans="1:7" x14ac:dyDescent="0.2">
      <c r="A24" s="90" t="s">
        <v>133</v>
      </c>
      <c r="B24" s="88"/>
      <c r="C24" s="94"/>
      <c r="D24" s="88"/>
      <c r="E24" s="88"/>
    </row>
    <row r="25" spans="1:7" x14ac:dyDescent="0.2">
      <c r="A25" s="90" t="s">
        <v>112</v>
      </c>
      <c r="B25" s="33">
        <v>24547.405139999999</v>
      </c>
      <c r="C25" s="89">
        <v>141.25652652918734</v>
      </c>
      <c r="D25" s="33">
        <f>IF(17377.89095="","-",17377.89095/1980077.64559*100)</f>
        <v>0.87763684362094518</v>
      </c>
      <c r="E25" s="33">
        <f>IF(24547.40514="","-",24547.40514/2676670.83235*100)</f>
        <v>0.91708718320244309</v>
      </c>
    </row>
    <row r="26" spans="1:7" x14ac:dyDescent="0.2">
      <c r="A26" s="90" t="s">
        <v>113</v>
      </c>
      <c r="B26" s="33">
        <v>80765.419209999993</v>
      </c>
      <c r="C26" s="89">
        <v>114.10324828235174</v>
      </c>
      <c r="D26" s="33">
        <f>IF(70782.75196="","-",70782.75196/1980077.64559*100)</f>
        <v>3.5747462791495224</v>
      </c>
      <c r="E26" s="33">
        <f>IF(80765.41921="","-",80765.41921/2676670.83235*100)</f>
        <v>3.017383319378554</v>
      </c>
      <c r="F26" s="46"/>
      <c r="G26" s="46"/>
    </row>
    <row r="27" spans="1:7" x14ac:dyDescent="0.2">
      <c r="A27" s="90" t="s">
        <v>114</v>
      </c>
      <c r="B27" s="33">
        <v>390497.83038</v>
      </c>
      <c r="C27" s="89">
        <v>134.22855033503296</v>
      </c>
      <c r="D27" s="33">
        <f>IF(290920.09815="","-",290920.09815/1980077.64559*100)</f>
        <v>14.692358089993739</v>
      </c>
      <c r="E27" s="33">
        <f>IF(390497.83038="","-",390497.83038/2676670.83235*100)</f>
        <v>14.588937334411046</v>
      </c>
      <c r="F27" s="46"/>
      <c r="G27" s="46"/>
    </row>
    <row r="28" spans="1:7" x14ac:dyDescent="0.2">
      <c r="A28" s="90" t="s">
        <v>115</v>
      </c>
      <c r="B28" s="33">
        <v>11538.34352</v>
      </c>
      <c r="C28" s="89" t="s">
        <v>228</v>
      </c>
      <c r="D28" s="33">
        <f>IF(4911.79643="","-",4911.79643/1980077.64559*100)</f>
        <v>0.24806079907722214</v>
      </c>
      <c r="E28" s="33">
        <f>IF(11538.34352="","-",11538.34352/2676670.83235*100)</f>
        <v>0.431070693510335</v>
      </c>
      <c r="F28" s="4"/>
      <c r="G28" s="4"/>
    </row>
    <row r="29" spans="1:7" x14ac:dyDescent="0.2">
      <c r="A29" s="90" t="s">
        <v>116</v>
      </c>
      <c r="B29" s="33">
        <v>135.20905999999999</v>
      </c>
      <c r="C29" s="89">
        <v>62.44997177930771</v>
      </c>
      <c r="D29" s="33">
        <f>IF(216.5078="","-",216.5078/1980077.64559*100)</f>
        <v>1.0934308585433657E-2</v>
      </c>
      <c r="E29" s="33">
        <f>IF(135.20906="","-",135.20906/2676670.83235*100)</f>
        <v>5.0513891497555698E-3</v>
      </c>
    </row>
    <row r="30" spans="1:7" x14ac:dyDescent="0.2">
      <c r="A30" s="90" t="s">
        <v>117</v>
      </c>
      <c r="B30" s="33">
        <v>104022.34053</v>
      </c>
      <c r="C30" s="89">
        <v>98.65980636055528</v>
      </c>
      <c r="D30" s="33">
        <f>IF(105435.37877="","-",105435.37877/1980077.64559*100)</f>
        <v>5.324810317657195</v>
      </c>
      <c r="E30" s="33">
        <f>IF(104022.34053="","-",104022.34053/2676670.83235*100)</f>
        <v>3.8862582306645805</v>
      </c>
    </row>
    <row r="31" spans="1:7" x14ac:dyDescent="0.2">
      <c r="A31" s="90" t="s">
        <v>118</v>
      </c>
      <c r="B31" s="33">
        <v>743.74891000000002</v>
      </c>
      <c r="C31" s="89" t="s">
        <v>218</v>
      </c>
      <c r="D31" s="33">
        <f>IF(131.89319="","-",131.89319/1980077.64559*100)</f>
        <v>6.6610110110454802E-3</v>
      </c>
      <c r="E31" s="33">
        <f>IF(743.74891="","-",743.74891/2676670.83235*100)</f>
        <v>2.7786341936823854E-2</v>
      </c>
    </row>
    <row r="32" spans="1:7" x14ac:dyDescent="0.2">
      <c r="A32" s="91" t="s">
        <v>221</v>
      </c>
      <c r="B32" s="30">
        <v>797285.48702999996</v>
      </c>
      <c r="C32" s="92">
        <v>141.43452879395545</v>
      </c>
      <c r="D32" s="30">
        <f>IF(563713.46787="","-",563713.46787/1980077.64559*100)</f>
        <v>28.469260744673043</v>
      </c>
      <c r="E32" s="85">
        <f>IF(797285.48703="","-",797285.48703/2676670.83235*100)</f>
        <v>29.786460008234116</v>
      </c>
    </row>
    <row r="33" spans="1:5" x14ac:dyDescent="0.2">
      <c r="A33" s="90" t="s">
        <v>133</v>
      </c>
      <c r="B33" s="88"/>
      <c r="C33" s="92"/>
      <c r="D33" s="95"/>
      <c r="E33" s="95"/>
    </row>
    <row r="34" spans="1:5" x14ac:dyDescent="0.2">
      <c r="A34" s="90" t="s">
        <v>112</v>
      </c>
      <c r="B34" s="96">
        <v>11989.15252</v>
      </c>
      <c r="C34" s="93" t="s">
        <v>103</v>
      </c>
      <c r="D34" s="33">
        <f>IF(7009.3324="","-",7009.3324/1980077.64559*100)</f>
        <v>0.35399280506050268</v>
      </c>
      <c r="E34" s="96">
        <f>IF(11989.15252="","-",11989.15252/2676670.83235*100)</f>
        <v>0.44791284662649572</v>
      </c>
    </row>
    <row r="35" spans="1:5" x14ac:dyDescent="0.2">
      <c r="A35" s="90" t="s">
        <v>113</v>
      </c>
      <c r="B35" s="96" t="s">
        <v>218</v>
      </c>
      <c r="C35" s="93" t="s">
        <v>22</v>
      </c>
      <c r="D35" s="33">
        <f>IF(108.87323="","-",108.87323/1980077.64559*100)</f>
        <v>5.4984323590784876E-3</v>
      </c>
      <c r="E35" s="96" t="s">
        <v>218</v>
      </c>
    </row>
    <row r="36" spans="1:5" x14ac:dyDescent="0.2">
      <c r="A36" s="90" t="s">
        <v>114</v>
      </c>
      <c r="B36" s="96">
        <v>742086.15644000005</v>
      </c>
      <c r="C36" s="93">
        <v>141.82890316998217</v>
      </c>
      <c r="D36" s="33">
        <f>IF(523226.32401="","-",523226.32401/1980077.64559*100)</f>
        <v>26.42453568299819</v>
      </c>
      <c r="E36" s="96">
        <f>IF(742086.15644="","-",742086.15644/2676670.83235*100)</f>
        <v>27.724221726153786</v>
      </c>
    </row>
    <row r="37" spans="1:5" x14ac:dyDescent="0.2">
      <c r="A37" s="90" t="s">
        <v>115</v>
      </c>
      <c r="B37" s="96">
        <v>39239.411019999898</v>
      </c>
      <c r="C37" s="93">
        <v>127.97416587047232</v>
      </c>
      <c r="D37" s="33">
        <f>IF(30661.97834="","-",30661.97834/1980077.64559*100)</f>
        <v>1.5485240393622903</v>
      </c>
      <c r="E37" s="96">
        <f>IF(39239.4110199999="","-",39239.4110199999/2676670.83235*100)</f>
        <v>1.4659782049311387</v>
      </c>
    </row>
    <row r="38" spans="1:5" x14ac:dyDescent="0.2">
      <c r="A38" s="90" t="s">
        <v>116</v>
      </c>
      <c r="B38" s="96">
        <v>2393.46515</v>
      </c>
      <c r="C38" s="97">
        <v>130.89640134275248</v>
      </c>
      <c r="D38" s="33">
        <f>IF(1828.51868="","-",1828.51868/1980077.64559*100)</f>
        <v>9.2345806947139175E-2</v>
      </c>
      <c r="E38" s="96">
        <f>IF(2393.46515="","-",2393.46515/2676670.83235*100)</f>
        <v>8.9419480388578165E-2</v>
      </c>
    </row>
    <row r="39" spans="1:5" x14ac:dyDescent="0.2">
      <c r="A39" s="98" t="s">
        <v>118</v>
      </c>
      <c r="B39" s="39">
        <v>1577.3018999999999</v>
      </c>
      <c r="C39" s="99" t="s">
        <v>216</v>
      </c>
      <c r="D39" s="39">
        <f>IF(878.44121="","-",878.44121/1980077.64559*100)</f>
        <v>4.4363977945837192E-2</v>
      </c>
      <c r="E39" s="39">
        <f>IF(1577.3019="","-",1577.3019/2676670.83235*100)</f>
        <v>5.8927750134117086E-2</v>
      </c>
    </row>
    <row r="40" spans="1:5" x14ac:dyDescent="0.2">
      <c r="A40" s="5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81"/>
  <sheetViews>
    <sheetView topLeftCell="B1" zoomScaleNormal="100" workbookViewId="0">
      <selection sqref="A1:XFD1048576"/>
    </sheetView>
  </sheetViews>
  <sheetFormatPr defaultRowHeight="12" x14ac:dyDescent="0.2"/>
  <cols>
    <col min="1" max="1" width="5.625" style="7" customWidth="1"/>
    <col min="2" max="2" width="26.75" style="7" customWidth="1"/>
    <col min="3" max="3" width="11.5" style="7" customWidth="1"/>
    <col min="4" max="4" width="10.375" style="7" customWidth="1"/>
    <col min="5" max="5" width="7.75" style="7" customWidth="1"/>
    <col min="6" max="6" width="7.875" style="7" customWidth="1"/>
    <col min="7" max="8" width="8.625" style="7" customWidth="1"/>
    <col min="9" max="9" width="9" style="7"/>
    <col min="10" max="10" width="9.125" style="7" customWidth="1"/>
    <col min="11" max="16384" width="9" style="7"/>
  </cols>
  <sheetData>
    <row r="1" spans="1:11" x14ac:dyDescent="0.2">
      <c r="B1" s="40" t="s">
        <v>389</v>
      </c>
      <c r="C1" s="40"/>
      <c r="D1" s="40"/>
      <c r="E1" s="40"/>
      <c r="F1" s="40"/>
      <c r="G1" s="40"/>
      <c r="H1" s="40"/>
    </row>
    <row r="2" spans="1:11" x14ac:dyDescent="0.2">
      <c r="B2" s="40" t="s">
        <v>312</v>
      </c>
      <c r="C2" s="40"/>
      <c r="D2" s="40"/>
      <c r="E2" s="40"/>
      <c r="F2" s="40"/>
      <c r="G2" s="40"/>
      <c r="H2" s="40"/>
    </row>
    <row r="3" spans="1:11" x14ac:dyDescent="0.2">
      <c r="B3" s="81"/>
    </row>
    <row r="4" spans="1:11" ht="57" customHeight="1" x14ac:dyDescent="0.2">
      <c r="A4" s="67" t="s">
        <v>235</v>
      </c>
      <c r="B4" s="68"/>
      <c r="C4" s="69" t="s">
        <v>329</v>
      </c>
      <c r="D4" s="44"/>
      <c r="E4" s="69" t="s">
        <v>0</v>
      </c>
      <c r="F4" s="44"/>
      <c r="G4" s="45" t="s">
        <v>106</v>
      </c>
      <c r="H4" s="70"/>
    </row>
    <row r="5" spans="1:11" ht="19.5" customHeight="1" x14ac:dyDescent="0.2">
      <c r="A5" s="71"/>
      <c r="B5" s="72"/>
      <c r="C5" s="73" t="s">
        <v>110</v>
      </c>
      <c r="D5" s="42" t="s">
        <v>334</v>
      </c>
      <c r="E5" s="74" t="s">
        <v>330</v>
      </c>
      <c r="F5" s="74"/>
      <c r="G5" s="74" t="s">
        <v>388</v>
      </c>
      <c r="H5" s="69"/>
    </row>
    <row r="6" spans="1:11" ht="22.5" customHeight="1" x14ac:dyDescent="0.2">
      <c r="A6" s="75"/>
      <c r="B6" s="76"/>
      <c r="C6" s="77"/>
      <c r="D6" s="47"/>
      <c r="E6" s="78">
        <v>2020</v>
      </c>
      <c r="F6" s="78">
        <v>2021</v>
      </c>
      <c r="G6" s="78">
        <v>2020</v>
      </c>
      <c r="H6" s="49">
        <v>2021</v>
      </c>
    </row>
    <row r="7" spans="1:11" ht="16.5" customHeight="1" x14ac:dyDescent="0.2">
      <c r="A7" s="82"/>
      <c r="B7" s="52" t="s">
        <v>100</v>
      </c>
      <c r="C7" s="23">
        <v>1104707.7805600001</v>
      </c>
      <c r="D7" s="24">
        <f>IF(980597.75708="","-",1104707.78056/980597.75708*100)</f>
        <v>112.65656815793376</v>
      </c>
      <c r="E7" s="24">
        <v>100</v>
      </c>
      <c r="F7" s="24">
        <v>100</v>
      </c>
      <c r="G7" s="24">
        <f>IF(1159001.13914="","-",(980597.75708-1159001.13914)/1159001.13914*100)</f>
        <v>-15.392856489543973</v>
      </c>
      <c r="H7" s="24">
        <f>IF(980597.75708="","-",(1104707.78056-980597.75708)/980597.75708*100)</f>
        <v>12.656568157933776</v>
      </c>
    </row>
    <row r="8" spans="1:11" ht="16.5" customHeight="1" x14ac:dyDescent="0.2">
      <c r="A8" s="57" t="s">
        <v>236</v>
      </c>
      <c r="B8" s="58" t="s">
        <v>192</v>
      </c>
      <c r="C8" s="29">
        <v>192395.11738000001</v>
      </c>
      <c r="D8" s="30">
        <f>IF(285510.58343="","-",192395.11738/285510.58343*100)</f>
        <v>67.386334709084593</v>
      </c>
      <c r="E8" s="30">
        <f>IF(285510.58343="","-",285510.58343/980597.75708*100)</f>
        <v>29.115973534366063</v>
      </c>
      <c r="F8" s="30">
        <f>IF(192395.11738="","-",192395.11738/1104707.78056*100)</f>
        <v>17.415928516631865</v>
      </c>
      <c r="G8" s="30">
        <f>IF(1159001.13914="","-",(285510.58343-251539.15568)/1159001.13914*100)</f>
        <v>2.9310952856532495</v>
      </c>
      <c r="H8" s="30">
        <f>IF(980597.75708="","-",(192395.11738-285510.58343)/980597.75708*100)</f>
        <v>-9.4957861546896609</v>
      </c>
    </row>
    <row r="9" spans="1:11" ht="13.5" customHeight="1" x14ac:dyDescent="0.2">
      <c r="A9" s="60" t="s">
        <v>237</v>
      </c>
      <c r="B9" s="61" t="s">
        <v>23</v>
      </c>
      <c r="C9" s="32">
        <v>4283.7904900000003</v>
      </c>
      <c r="D9" s="33">
        <f>IF(OR(5481.70788="",4283.79049=""),"-",4283.79049/5481.70788*100)</f>
        <v>78.147004250799299</v>
      </c>
      <c r="E9" s="33">
        <f>IF(5481.70788="","-",5481.70788/980597.75708*100)</f>
        <v>0.55901697106908499</v>
      </c>
      <c r="F9" s="33">
        <f>IF(4283.79049="","-",4283.79049/1104707.78056*100)</f>
        <v>0.38777589561544096</v>
      </c>
      <c r="G9" s="33">
        <f>IF(OR(1159001.13914="",4026.12612="",5481.70788=""),"-",(5481.70788-4026.12612)/1159001.13914*100)</f>
        <v>0.12558932953940563</v>
      </c>
      <c r="H9" s="33">
        <f>IF(OR(980597.75708="",4283.79049="",5481.70788=""),"-",(4283.79049-5481.70788)/980597.75708*100)</f>
        <v>-0.12216195492503762</v>
      </c>
      <c r="I9" s="57"/>
      <c r="J9" s="58"/>
      <c r="K9" s="29"/>
    </row>
    <row r="10" spans="1:11" x14ac:dyDescent="0.2">
      <c r="A10" s="60" t="s">
        <v>238</v>
      </c>
      <c r="B10" s="61" t="s">
        <v>193</v>
      </c>
      <c r="C10" s="32">
        <v>2397.1949599999998</v>
      </c>
      <c r="D10" s="33" t="s">
        <v>216</v>
      </c>
      <c r="E10" s="33">
        <f>IF(1297.4416="","-",1297.4416/980597.75708*100)</f>
        <v>0.13231129590419316</v>
      </c>
      <c r="F10" s="33">
        <f>IF(2397.19496="","-",2397.19496/1104707.78056*100)</f>
        <v>0.21699810594117569</v>
      </c>
      <c r="G10" s="33">
        <f>IF(OR(1159001.13914="",2282.29333="",1297.4416=""),"-",(1297.4416-2282.29333)/1159001.13914*100)</f>
        <v>-8.4974181365410711E-2</v>
      </c>
      <c r="H10" s="33">
        <f>IF(OR(980597.75708="",2397.19496="",1297.4416=""),"-",(2397.19496-1297.4416)/980597.75708*100)</f>
        <v>0.11215132321685278</v>
      </c>
      <c r="I10" s="60"/>
      <c r="J10" s="61"/>
      <c r="K10" s="32"/>
    </row>
    <row r="11" spans="1:11" s="36" customFormat="1" x14ac:dyDescent="0.2">
      <c r="A11" s="60" t="s">
        <v>239</v>
      </c>
      <c r="B11" s="61" t="s">
        <v>194</v>
      </c>
      <c r="C11" s="32">
        <v>3831.0643599999999</v>
      </c>
      <c r="D11" s="33">
        <f>IF(OR(3984.90764="",3831.06436=""),"-",3831.06436/3984.90764*100)</f>
        <v>96.139351425469926</v>
      </c>
      <c r="E11" s="33">
        <f>IF(3984.90764="","-",3984.90764/980597.75708*100)</f>
        <v>0.4063753574009959</v>
      </c>
      <c r="F11" s="33">
        <f>IF(3831.06436="","-",3831.06436/1104707.78056*100)</f>
        <v>0.34679436747136433</v>
      </c>
      <c r="G11" s="33">
        <f>IF(OR(1159001.13914="",7027.49399="",3984.90764=""),"-",(3984.90764-7027.49399)/1159001.13914*100)</f>
        <v>-0.26251797752827533</v>
      </c>
      <c r="H11" s="33">
        <f>IF(OR(980597.75708="",3831.06436="",3984.90764=""),"-",(3831.06436-3984.90764)/980597.75708*100)</f>
        <v>-1.5688724442743048E-2</v>
      </c>
      <c r="I11" s="60"/>
      <c r="J11" s="61"/>
      <c r="K11" s="32"/>
    </row>
    <row r="12" spans="1:11" s="36" customFormat="1" x14ac:dyDescent="0.2">
      <c r="A12" s="60" t="s">
        <v>240</v>
      </c>
      <c r="B12" s="61" t="s">
        <v>195</v>
      </c>
      <c r="C12" s="32">
        <v>39.305289999999999</v>
      </c>
      <c r="D12" s="33" t="s">
        <v>354</v>
      </c>
      <c r="E12" s="33">
        <f>IF(2.95359="","-",2.95359/980597.75708*100)</f>
        <v>3.0120301404677166E-4</v>
      </c>
      <c r="F12" s="33">
        <f>IF(39.30529="","-",39.30529/1104707.78056*100)</f>
        <v>3.5579807340612108E-3</v>
      </c>
      <c r="G12" s="33">
        <f>IF(OR(1159001.13914="",13.59376="",2.95359=""),"-",(2.95359-13.59376)/1159001.13914*100)</f>
        <v>-9.1804655238692857E-4</v>
      </c>
      <c r="H12" s="33">
        <f>IF(OR(980597.75708="",39.30529="",2.95359=""),"-",(39.30529-2.95359)/980597.75708*100)</f>
        <v>3.7070959766670485E-3</v>
      </c>
      <c r="I12" s="60"/>
      <c r="J12" s="61"/>
      <c r="K12" s="32"/>
    </row>
    <row r="13" spans="1:11" s="36" customFormat="1" ht="24" x14ac:dyDescent="0.2">
      <c r="A13" s="60" t="s">
        <v>241</v>
      </c>
      <c r="B13" s="61" t="s">
        <v>196</v>
      </c>
      <c r="C13" s="32">
        <v>51464.048159999998</v>
      </c>
      <c r="D13" s="33">
        <f>IF(OR(102041.44986="",51464.04816=""),"-",51464.04816/102041.44986*100)</f>
        <v>50.434454068036302</v>
      </c>
      <c r="E13" s="33">
        <f>IF(102041.44986="","-",102041.44986/980597.75708*100)</f>
        <v>10.406045610776893</v>
      </c>
      <c r="F13" s="33">
        <f>IF(51464.04816="","-",51464.04816/1104707.78056*100)</f>
        <v>4.6586119031325879</v>
      </c>
      <c r="G13" s="33">
        <f>IF(OR(1159001.13914="",99954.94924="",102041.44986=""),"-",(102041.44986-99954.94924)/1159001.13914*100)</f>
        <v>0.18002576093654341</v>
      </c>
      <c r="H13" s="33">
        <f>IF(OR(980597.75708="",51464.04816="",102041.44986=""),"-",(51464.04816-102041.44986)/980597.75708*100)</f>
        <v>-5.1578133169107119</v>
      </c>
      <c r="I13" s="60"/>
      <c r="J13" s="61"/>
      <c r="K13" s="32"/>
    </row>
    <row r="14" spans="1:11" s="36" customFormat="1" ht="15.75" customHeight="1" x14ac:dyDescent="0.2">
      <c r="A14" s="60" t="s">
        <v>242</v>
      </c>
      <c r="B14" s="61" t="s">
        <v>197</v>
      </c>
      <c r="C14" s="32">
        <v>112302.39486</v>
      </c>
      <c r="D14" s="33">
        <f>IF(OR(144995.00308="",112302.39486=""),"-",112302.39486/144995.00308*100)</f>
        <v>77.4525966236491</v>
      </c>
      <c r="E14" s="33">
        <f>IF(144995.00308="","-",144995.00308/980597.75708*100)</f>
        <v>14.786389427583698</v>
      </c>
      <c r="F14" s="33">
        <f>IF(112302.39486="","-",112302.39486/1104707.78056*100)</f>
        <v>10.165801023241777</v>
      </c>
      <c r="G14" s="33">
        <f>IF(OR(1159001.13914="",117723.33774="",144995.00308=""),"-",(144995.00308-117723.33774)/1159001.13914*100)</f>
        <v>2.353031797728522</v>
      </c>
      <c r="H14" s="33">
        <f>IF(OR(980597.75708="",112302.39486="",144995.00308=""),"-",(112302.39486-144995.00308)/980597.75708*100)</f>
        <v>-3.3339468690353979</v>
      </c>
      <c r="I14" s="60"/>
      <c r="J14" s="61"/>
      <c r="K14" s="32"/>
    </row>
    <row r="15" spans="1:11" s="36" customFormat="1" ht="24" x14ac:dyDescent="0.2">
      <c r="A15" s="60" t="s">
        <v>243</v>
      </c>
      <c r="B15" s="61" t="s">
        <v>155</v>
      </c>
      <c r="C15" s="32">
        <v>4676.5332200000003</v>
      </c>
      <c r="D15" s="33">
        <f>IF(OR(9100.55302="",4676.53322=""),"-",4676.53322/9100.55302*100)</f>
        <v>51.38735206225963</v>
      </c>
      <c r="E15" s="33">
        <f>IF(9100.55302="","-",9100.55302/980597.75708*100)</f>
        <v>0.92806178214188495</v>
      </c>
      <c r="F15" s="33">
        <f>IF(4676.53322="","-",4676.53322/1104707.78056*100)</f>
        <v>0.42332762584774819</v>
      </c>
      <c r="G15" s="33">
        <f>IF(OR(1159001.13914="",4820.59831="",9100.55302=""),"-",(9100.55302-4820.59831)/1159001.13914*100)</f>
        <v>0.36927959477035571</v>
      </c>
      <c r="H15" s="33">
        <f>IF(OR(980597.75708="",4676.53322="",9100.55302=""),"-",(4676.53322-9100.55302)/980597.75708*100)</f>
        <v>-0.45115540679735355</v>
      </c>
      <c r="I15" s="60"/>
      <c r="J15" s="61"/>
      <c r="K15" s="32"/>
    </row>
    <row r="16" spans="1:11" s="36" customFormat="1" ht="24" x14ac:dyDescent="0.2">
      <c r="A16" s="60" t="s">
        <v>244</v>
      </c>
      <c r="B16" s="61" t="s">
        <v>198</v>
      </c>
      <c r="C16" s="32">
        <v>4137.12727</v>
      </c>
      <c r="D16" s="33">
        <f>IF(OR(3373.61285="",4137.12727=""),"-",4137.12727/3373.61285*100)</f>
        <v>122.63195138114322</v>
      </c>
      <c r="E16" s="33">
        <f>IF(3373.61285="","-",3373.61285/980597.75708*100)</f>
        <v>0.34403636207019905</v>
      </c>
      <c r="F16" s="33">
        <f>IF(4137.12727="","-",4137.12727/1104707.78056*100)</f>
        <v>0.37449969510514369</v>
      </c>
      <c r="G16" s="33">
        <f>IF(OR(1159001.13914="",4128.01604="",3373.61285=""),"-",(3373.61285-4128.01604)/1159001.13914*100)</f>
        <v>-6.5090806602639009E-2</v>
      </c>
      <c r="H16" s="33">
        <f>IF(OR(980597.75708="",4137.12727="",3373.61285=""),"-",(4137.12727-3373.61285)/980597.75708*100)</f>
        <v>7.7862142197181294E-2</v>
      </c>
      <c r="I16" s="60"/>
      <c r="J16" s="61"/>
      <c r="K16" s="32"/>
    </row>
    <row r="17" spans="1:11" s="36" customFormat="1" ht="24" x14ac:dyDescent="0.2">
      <c r="A17" s="60" t="s">
        <v>245</v>
      </c>
      <c r="B17" s="61" t="s">
        <v>156</v>
      </c>
      <c r="C17" s="32">
        <v>7311.2110700000003</v>
      </c>
      <c r="D17" s="33">
        <f>IF(OR(14025.08415="",7311.21107=""),"-",7311.21107/14025.08415*100)</f>
        <v>52.129534424219479</v>
      </c>
      <c r="E17" s="33">
        <f>IF(14025.08415="","-",14025.08415/980597.75708*100)</f>
        <v>1.4302586405830207</v>
      </c>
      <c r="F17" s="33">
        <f>IF(7311.21107="","-",7311.21107/1104707.78056*100)</f>
        <v>0.66182308105893761</v>
      </c>
      <c r="G17" s="33">
        <f>IF(OR(1159001.13914="",10394.37274="",14025.08415=""),"-",(14025.08415-10394.37274)/1159001.13914*100)</f>
        <v>0.31326210884434968</v>
      </c>
      <c r="H17" s="33">
        <f>IF(OR(980597.75708="",7311.21107="",14025.08415=""),"-",(7311.21107-14025.08415)/980597.75708*100)</f>
        <v>-0.68467147018492147</v>
      </c>
      <c r="I17" s="60"/>
      <c r="J17" s="61"/>
      <c r="K17" s="32"/>
    </row>
    <row r="18" spans="1:11" s="36" customFormat="1" ht="16.5" customHeight="1" x14ac:dyDescent="0.2">
      <c r="A18" s="60" t="s">
        <v>246</v>
      </c>
      <c r="B18" s="61" t="s">
        <v>199</v>
      </c>
      <c r="C18" s="32">
        <v>1952.4476999999999</v>
      </c>
      <c r="D18" s="33" t="s">
        <v>104</v>
      </c>
      <c r="E18" s="33">
        <f>IF(1207.86976="","-",1207.86976/980597.75708*100)</f>
        <v>0.12317688382204391</v>
      </c>
      <c r="F18" s="33">
        <f>IF(1952.4477="","-",1952.4477/1104707.78056*100)</f>
        <v>0.17673883848362706</v>
      </c>
      <c r="G18" s="33">
        <f>IF(OR(1159001.13914="",1168.37441="",1207.86976=""),"-",(1207.86976-1168.37441)/1159001.13914*100)</f>
        <v>3.4077058827833777E-3</v>
      </c>
      <c r="H18" s="33">
        <f>IF(OR(980597.75708="",1952.4477="",1207.86976=""),"-",(1952.4477-1207.86976)/980597.75708*100)</f>
        <v>7.5931026215803901E-2</v>
      </c>
      <c r="I18" s="60"/>
      <c r="J18" s="61"/>
      <c r="K18" s="32"/>
    </row>
    <row r="19" spans="1:11" s="36" customFormat="1" ht="17.25" customHeight="1" x14ac:dyDescent="0.2">
      <c r="A19" s="57" t="s">
        <v>247</v>
      </c>
      <c r="B19" s="58" t="s">
        <v>200</v>
      </c>
      <c r="C19" s="29">
        <v>82315.160390000005</v>
      </c>
      <c r="D19" s="30">
        <f>IF(70852.42059="","-",82315.16039/70852.42059*100)</f>
        <v>116.17833195330216</v>
      </c>
      <c r="E19" s="30">
        <f>IF(70852.42059="","-",70852.42059/980597.75708*100)</f>
        <v>7.2254316388589954</v>
      </c>
      <c r="F19" s="30">
        <f>IF(82315.16039="","-",82315.16039/1104707.78056*100)</f>
        <v>7.4513062946178117</v>
      </c>
      <c r="G19" s="30">
        <f>IF(1159001.13914="","-",(70852.42059-84488.90186)/1159001.13914*100)</f>
        <v>-1.1765718608454967</v>
      </c>
      <c r="H19" s="30">
        <f>IF(980597.75708="","-",(82315.16039-70852.42059)/980597.75708*100)</f>
        <v>1.1689543155935291</v>
      </c>
      <c r="I19" s="60"/>
      <c r="J19" s="61"/>
      <c r="K19" s="32"/>
    </row>
    <row r="20" spans="1:11" s="36" customFormat="1" x14ac:dyDescent="0.2">
      <c r="A20" s="60" t="s">
        <v>248</v>
      </c>
      <c r="B20" s="61" t="s">
        <v>201</v>
      </c>
      <c r="C20" s="32">
        <v>77385.98371</v>
      </c>
      <c r="D20" s="33">
        <f>IF(OR(66250.31489="",77385.98371=""),"-",77385.98371/66250.31489*100)</f>
        <v>116.80847681779223</v>
      </c>
      <c r="E20" s="33">
        <f>IF(66250.31489="","-",66250.31489/980597.75708*100)</f>
        <v>6.7561152788354892</v>
      </c>
      <c r="F20" s="33">
        <f>IF(77385.98371="","-",77385.98371/1104707.78056*100)</f>
        <v>7.0051089592916043</v>
      </c>
      <c r="G20" s="33">
        <f>IF(OR(1159001.13914="",74225.67809="",66250.31489=""),"-",(66250.31489-74225.67809)/1159001.13914*100)</f>
        <v>-0.68812384480638833</v>
      </c>
      <c r="H20" s="33">
        <f>IF(OR(980597.75708="",77385.98371="",66250.31489=""),"-",(77385.98371-66250.31489)/980597.75708*100)</f>
        <v>1.1356000704263824</v>
      </c>
      <c r="I20" s="57"/>
      <c r="J20" s="58"/>
      <c r="K20" s="29"/>
    </row>
    <row r="21" spans="1:11" s="36" customFormat="1" x14ac:dyDescent="0.2">
      <c r="A21" s="60" t="s">
        <v>249</v>
      </c>
      <c r="B21" s="61" t="s">
        <v>202</v>
      </c>
      <c r="C21" s="32">
        <v>4929.1766799999996</v>
      </c>
      <c r="D21" s="33">
        <f>IF(OR(4602.1057="",4929.17668=""),"-",4929.17668/4602.1057*100)</f>
        <v>107.10698539583738</v>
      </c>
      <c r="E21" s="33">
        <f>IF(4602.1057="","-",4602.1057/980597.75708*100)</f>
        <v>0.46931636002350624</v>
      </c>
      <c r="F21" s="33">
        <f>IF(4929.17668="","-",4929.17668/1104707.78056*100)</f>
        <v>0.44619733532620676</v>
      </c>
      <c r="G21" s="33">
        <f>IF(OR(1159001.13914="",10263.22377="",4602.1057=""),"-",(4602.1057-10263.22377)/1159001.13914*100)</f>
        <v>-0.4884480160391087</v>
      </c>
      <c r="H21" s="33">
        <f>IF(OR(980597.75708="",4929.17668="",4602.1057=""),"-",(4929.17668-4602.1057)/980597.75708*100)</f>
        <v>3.3354245167146156E-2</v>
      </c>
      <c r="I21" s="60"/>
      <c r="J21" s="61"/>
      <c r="K21" s="32"/>
    </row>
    <row r="22" spans="1:11" s="36" customFormat="1" ht="24" x14ac:dyDescent="0.2">
      <c r="A22" s="57" t="s">
        <v>250</v>
      </c>
      <c r="B22" s="58" t="s">
        <v>24</v>
      </c>
      <c r="C22" s="29">
        <v>114806.32496</v>
      </c>
      <c r="D22" s="30">
        <f>IF(91879.70605="","-",114806.32496/91879.70605*100)</f>
        <v>124.95286488783886</v>
      </c>
      <c r="E22" s="30">
        <f>IF(91879.70605="","-",91879.70605/980597.75708*100)</f>
        <v>9.3697650628527995</v>
      </c>
      <c r="F22" s="30">
        <f>IF(114806.32496="","-",114806.32496/1104707.78056*100)</f>
        <v>10.392460972964471</v>
      </c>
      <c r="G22" s="30">
        <f>IF(1159001.13914="","-",(91879.70605-136146.06392)/1159001.13914*100)</f>
        <v>-3.8193541296125413</v>
      </c>
      <c r="H22" s="30">
        <f>IF(980597.75708="","-",(114806.32496-91879.70605)/980597.75708*100)</f>
        <v>2.3380248164415884</v>
      </c>
      <c r="I22" s="60"/>
      <c r="J22" s="61"/>
      <c r="K22" s="32"/>
    </row>
    <row r="23" spans="1:11" s="36" customFormat="1" ht="15" customHeight="1" x14ac:dyDescent="0.2">
      <c r="A23" s="60" t="s">
        <v>251</v>
      </c>
      <c r="B23" s="61" t="s">
        <v>209</v>
      </c>
      <c r="C23" s="32">
        <v>604.77404000000001</v>
      </c>
      <c r="D23" s="33">
        <f>IF(OR(600.94466="",604.77404=""),"-",604.77404/600.94466*100)</f>
        <v>100.63722672899698</v>
      </c>
      <c r="E23" s="33">
        <f>IF(600.94466="","-",600.94466/980597.75708*100)</f>
        <v>6.1283503420350285E-2</v>
      </c>
      <c r="F23" s="33">
        <f>IF(604.77404="","-",604.77404/1104707.78056*100)</f>
        <v>5.4745159818954753E-2</v>
      </c>
      <c r="G23" s="33">
        <f>IF(OR(1159001.13914="",699.57073="",600.94466=""),"-",(600.94466-699.57073)/1159001.13914*100)</f>
        <v>-8.5095748976728672E-3</v>
      </c>
      <c r="H23" s="33">
        <f>IF(OR(980597.75708="",604.77404="",600.94466=""),"-",(604.77404-600.94466)/980597.75708*100)</f>
        <v>3.9051486426024964E-4</v>
      </c>
      <c r="I23" s="57"/>
      <c r="J23" s="58"/>
      <c r="K23" s="29"/>
    </row>
    <row r="24" spans="1:11" s="36" customFormat="1" ht="15" customHeight="1" x14ac:dyDescent="0.2">
      <c r="A24" s="60" t="s">
        <v>252</v>
      </c>
      <c r="B24" s="61" t="s">
        <v>203</v>
      </c>
      <c r="C24" s="32">
        <v>74212.864159999997</v>
      </c>
      <c r="D24" s="33">
        <f>IF(OR(80761.44263="",74212.86416=""),"-",74212.86416/80761.44263*100)</f>
        <v>91.891454316880356</v>
      </c>
      <c r="E24" s="33">
        <f>IF(80761.44263="","-",80761.44263/980597.75708*100)</f>
        <v>8.2359399709917192</v>
      </c>
      <c r="F24" s="33">
        <f>IF(74212.86416="","-",74212.86416/1104707.78056*100)</f>
        <v>6.7178728588640793</v>
      </c>
      <c r="G24" s="33">
        <f>IF(OR(1159001.13914="",120789.15811="",80761.44263=""),"-",(80761.44263-120789.15811)/1159001.13914*100)</f>
        <v>-3.4536390110626889</v>
      </c>
      <c r="H24" s="33">
        <f>IF(OR(980597.75708="",74212.86416="",80761.44263=""),"-",(74212.86416-80761.44263)/980597.75708*100)</f>
        <v>-0.66781495498217369</v>
      </c>
      <c r="I24" s="60"/>
      <c r="J24" s="61"/>
      <c r="K24" s="32"/>
    </row>
    <row r="25" spans="1:11" s="36" customFormat="1" ht="24" x14ac:dyDescent="0.2">
      <c r="A25" s="60" t="s">
        <v>306</v>
      </c>
      <c r="B25" s="61" t="s">
        <v>204</v>
      </c>
      <c r="C25" s="32">
        <v>0.10557</v>
      </c>
      <c r="D25" s="33">
        <f>IF(OR(0.14712="",0.10557=""),"-",0.10557/0.14712*100)</f>
        <v>71.757748776508961</v>
      </c>
      <c r="E25" s="33">
        <f>IF(0.14712="","-",0.14712/980597.75708*100)</f>
        <v>1.5003093667896034E-5</v>
      </c>
      <c r="F25" s="33">
        <f>IF(0.10557="","-",0.10557/1104707.78056*100)</f>
        <v>9.5563733557198549E-6</v>
      </c>
      <c r="G25" s="33">
        <f>IF(OR(1159001.13914="",0.23836="",0.14712=""),"-",(0.14712-0.23836)/1159001.13914*100)</f>
        <v>-7.8722959726943597E-6</v>
      </c>
      <c r="H25" s="33">
        <f>IF(OR(980597.75708="",0.10557="",0.14712=""),"-",(0.10557-0.14712)/980597.75708*100)</f>
        <v>-4.2372114049828726E-6</v>
      </c>
      <c r="I25" s="60"/>
      <c r="J25" s="61"/>
      <c r="K25" s="32"/>
    </row>
    <row r="26" spans="1:11" s="36" customFormat="1" x14ac:dyDescent="0.2">
      <c r="A26" s="60" t="s">
        <v>253</v>
      </c>
      <c r="B26" s="61" t="s">
        <v>205</v>
      </c>
      <c r="C26" s="32">
        <v>760.25265000000002</v>
      </c>
      <c r="D26" s="33">
        <f>IF(OR(640.5145="",760.25265=""),"-",760.25265/640.5145*100)</f>
        <v>118.69405766770306</v>
      </c>
      <c r="E26" s="33">
        <f>IF(640.5145="","-",640.5145/980597.75708*100)</f>
        <v>6.5318780853355046E-2</v>
      </c>
      <c r="F26" s="33">
        <f>IF(760.25265="","-",760.25265/1104707.78056*100)</f>
        <v>6.8819344208349079E-2</v>
      </c>
      <c r="G26" s="33">
        <f>IF(OR(1159001.13914="",286.98806="",640.5145=""),"-",(640.5145-286.98806)/1159001.13914*100)</f>
        <v>3.0502682703342554E-2</v>
      </c>
      <c r="H26" s="33">
        <f>IF(OR(980597.75708="",760.25265="",640.5145=""),"-",(760.25265-640.5145)/980597.75708*100)</f>
        <v>1.2210730560566787E-2</v>
      </c>
      <c r="I26" s="60"/>
      <c r="J26" s="61"/>
      <c r="K26" s="32"/>
    </row>
    <row r="27" spans="1:11" s="36" customFormat="1" ht="14.25" customHeight="1" x14ac:dyDescent="0.2">
      <c r="A27" s="60" t="s">
        <v>254</v>
      </c>
      <c r="B27" s="61" t="s">
        <v>157</v>
      </c>
      <c r="C27" s="32">
        <v>1926.15372</v>
      </c>
      <c r="D27" s="33" t="s">
        <v>315</v>
      </c>
      <c r="E27" s="33">
        <f>IF(672.47869="","-",672.47869/980597.75708*100)</f>
        <v>6.8578444642020245E-2</v>
      </c>
      <c r="F27" s="33">
        <f>IF(1926.15372="","-",1926.15372/1104707.78056*100)</f>
        <v>0.17435866334023567</v>
      </c>
      <c r="G27" s="33">
        <f>IF(OR(1159001.13914="",1065.97357="",672.47869=""),"-",(672.47869-1065.97357)/1159001.13914*100)</f>
        <v>-3.3951207355324982E-2</v>
      </c>
      <c r="H27" s="33">
        <f>IF(OR(980597.75708="",1926.15372="",672.47869=""),"-",(1926.15372-672.47869)/980597.75708*100)</f>
        <v>0.12784804176313461</v>
      </c>
      <c r="I27" s="60"/>
      <c r="J27" s="61"/>
      <c r="K27" s="32"/>
    </row>
    <row r="28" spans="1:11" s="36" customFormat="1" ht="36" x14ac:dyDescent="0.2">
      <c r="A28" s="60" t="s">
        <v>255</v>
      </c>
      <c r="B28" s="61" t="s">
        <v>158</v>
      </c>
      <c r="C28" s="32">
        <v>80.650559999999999</v>
      </c>
      <c r="D28" s="33" t="s">
        <v>310</v>
      </c>
      <c r="E28" s="33">
        <f>IF(12.29931="","-",12.29931/980597.75708*100)</f>
        <v>1.2542665849679879E-3</v>
      </c>
      <c r="F28" s="33">
        <f>IF(80.65056="","-",80.65056/1104707.78056*100)</f>
        <v>7.3006238771230973E-3</v>
      </c>
      <c r="G28" s="33">
        <f>IF(OR(1159001.13914="",142.42015="",12.29931=""),"-",(12.29931-142.42015)/1159001.13914*100)</f>
        <v>-1.1226981200083379E-2</v>
      </c>
      <c r="H28" s="33">
        <f>IF(OR(980597.75708="",80.65056="",12.29931=""),"-",(80.65056-12.29931)/980597.75708*100)</f>
        <v>6.9703657291175815E-3</v>
      </c>
      <c r="I28" s="60"/>
      <c r="J28" s="61"/>
      <c r="K28" s="32"/>
    </row>
    <row r="29" spans="1:11" s="36" customFormat="1" ht="36" x14ac:dyDescent="0.2">
      <c r="A29" s="60" t="s">
        <v>256</v>
      </c>
      <c r="B29" s="61" t="s">
        <v>159</v>
      </c>
      <c r="C29" s="32">
        <v>3014.4654700000001</v>
      </c>
      <c r="D29" s="33">
        <f>IF(OR(3039.46029="",3014.46547=""),"-",3014.46547/3039.46029*100)</f>
        <v>99.177655977864418</v>
      </c>
      <c r="E29" s="33">
        <f>IF(3039.46029="","-",3039.46029/980597.75708*100)</f>
        <v>0.30995994719086761</v>
      </c>
      <c r="F29" s="33">
        <f>IF(3014.46547="","-",3014.46547/1104707.78056*100)</f>
        <v>0.27287446717102898</v>
      </c>
      <c r="G29" s="33">
        <f>IF(OR(1159001.13914="",4018.66374="",3039.46029=""),"-",(3039.46029-4018.66374)/1159001.13914*100)</f>
        <v>-8.4486841033356255E-2</v>
      </c>
      <c r="H29" s="33">
        <f>IF(OR(980597.75708="",3014.46547="",3039.46029=""),"-",(3014.46547-3039.46029)/980597.75708*100)</f>
        <v>-2.5489370967387132E-3</v>
      </c>
      <c r="I29" s="60"/>
      <c r="J29" s="61"/>
      <c r="K29" s="32"/>
    </row>
    <row r="30" spans="1:11" s="36" customFormat="1" ht="24" x14ac:dyDescent="0.2">
      <c r="A30" s="60" t="s">
        <v>257</v>
      </c>
      <c r="B30" s="61" t="s">
        <v>160</v>
      </c>
      <c r="C30" s="32">
        <v>32576.445339999998</v>
      </c>
      <c r="D30" s="33" t="s">
        <v>355</v>
      </c>
      <c r="E30" s="33">
        <f>IF(3776.25095="","-",3776.25095/980597.75708*100)</f>
        <v>0.38509683738670053</v>
      </c>
      <c r="F30" s="33">
        <f>IF(32576.44534="","-",32576.44534/1104707.78056*100)</f>
        <v>2.9488744365941097</v>
      </c>
      <c r="G30" s="33">
        <f>IF(OR(1159001.13914="",7134.51295="",3776.25095=""),"-",(3776.25095-7134.51295)/1159001.13914*100)</f>
        <v>-0.28975484894621345</v>
      </c>
      <c r="H30" s="33">
        <f>IF(OR(980597.75708="",32576.44534="",3776.25095=""),"-",(32576.44534-3776.25095)/980597.75708*100)</f>
        <v>2.9370039021668282</v>
      </c>
      <c r="I30" s="60"/>
      <c r="J30" s="61"/>
      <c r="K30" s="32"/>
    </row>
    <row r="31" spans="1:11" s="36" customFormat="1" ht="24" x14ac:dyDescent="0.2">
      <c r="A31" s="60" t="s">
        <v>258</v>
      </c>
      <c r="B31" s="61" t="s">
        <v>161</v>
      </c>
      <c r="C31" s="32">
        <v>1630.6134500000001</v>
      </c>
      <c r="D31" s="33">
        <f>IF(OR(2376.1679="",1630.61345=""),"-",1630.61345/2376.1679*100)</f>
        <v>68.623662915402576</v>
      </c>
      <c r="E31" s="33">
        <f>IF(2376.1679="","-",2376.1679/980597.75708*100)</f>
        <v>0.24231830868915041</v>
      </c>
      <c r="F31" s="33">
        <f>IF(1630.61345="","-",1630.61345/1104707.78056*100)</f>
        <v>0.14760586271723433</v>
      </c>
      <c r="G31" s="33">
        <f>IF(OR(1159001.13914="",2008.53825="",2376.1679=""),"-",(2376.1679-2008.53825)/1159001.13914*100)</f>
        <v>3.1719524475427849E-2</v>
      </c>
      <c r="H31" s="33">
        <f>IF(OR(980597.75708="",1630.61345="",2376.1679=""),"-",(1630.61345-2376.1679)/980597.75708*100)</f>
        <v>-7.6030609352003176E-2</v>
      </c>
      <c r="I31" s="60"/>
      <c r="J31" s="61"/>
      <c r="K31" s="32"/>
    </row>
    <row r="32" spans="1:11" s="36" customFormat="1" ht="24" x14ac:dyDescent="0.2">
      <c r="A32" s="57" t="s">
        <v>259</v>
      </c>
      <c r="B32" s="58" t="s">
        <v>162</v>
      </c>
      <c r="C32" s="29">
        <v>12996.6795</v>
      </c>
      <c r="D32" s="30" t="s">
        <v>356</v>
      </c>
      <c r="E32" s="30">
        <f>IF(2080.10591="","-",2080.10591/980597.75708*100)</f>
        <v>0.21212631733873111</v>
      </c>
      <c r="F32" s="30">
        <f>IF(12996.6795="","-",12996.6795/1104707.78056*100)</f>
        <v>1.1764812132862597</v>
      </c>
      <c r="G32" s="30">
        <f>IF(1159001.13914="","-",(2080.10591-5717.90991)/1159001.13914*100)</f>
        <v>-0.31387406596505307</v>
      </c>
      <c r="H32" s="30">
        <f>IF(980597.75708="","-",(12996.6795-2080.10591)/980597.75708*100)</f>
        <v>1.1132570425723904</v>
      </c>
      <c r="I32" s="60"/>
      <c r="J32" s="61"/>
      <c r="K32" s="32"/>
    </row>
    <row r="33" spans="1:11" s="36" customFormat="1" x14ac:dyDescent="0.2">
      <c r="A33" s="60" t="s">
        <v>260</v>
      </c>
      <c r="B33" s="61" t="s">
        <v>206</v>
      </c>
      <c r="C33" s="32">
        <v>373.6635</v>
      </c>
      <c r="D33" s="33" t="s">
        <v>357</v>
      </c>
      <c r="E33" s="33">
        <f>IF(47.09147="","-",47.09147/980597.75708*100)</f>
        <v>4.8023228342095976E-3</v>
      </c>
      <c r="F33" s="33">
        <f>IF(373.6635="","-",373.6635/1104707.78056*100)</f>
        <v>3.3824646352230987E-2</v>
      </c>
      <c r="G33" s="33">
        <f>IF(OR(1159001.13914="",0.09731="",47.09147=""),"-",(47.09147-0.09731)/1159001.13914*100)</f>
        <v>4.0547121493660068E-3</v>
      </c>
      <c r="H33" s="33">
        <f>IF(OR(980597.75708="",373.6635="",47.09147=""),"-",(373.6635-47.09147)/980597.75708*100)</f>
        <v>3.3303362937771572E-2</v>
      </c>
      <c r="I33" s="57"/>
      <c r="J33" s="58"/>
      <c r="K33" s="29"/>
    </row>
    <row r="34" spans="1:11" s="36" customFormat="1" ht="24" x14ac:dyDescent="0.2">
      <c r="A34" s="60" t="s">
        <v>261</v>
      </c>
      <c r="B34" s="61" t="s">
        <v>163</v>
      </c>
      <c r="C34" s="32">
        <v>12620.703229999999</v>
      </c>
      <c r="D34" s="33" t="s">
        <v>356</v>
      </c>
      <c r="E34" s="33">
        <f>IF(2029.75898="","-",2029.75898/980597.75708*100)</f>
        <v>0.20699200720631533</v>
      </c>
      <c r="F34" s="33">
        <f>IF(12620.70323="","-",12620.70323/1104707.78056*100)</f>
        <v>1.1424472111169792</v>
      </c>
      <c r="G34" s="33">
        <f>IF(OR(1159001.13914="",5714.77695="",2029.75898=""),"-",(2029.75898-5714.77695)/1159001.13914*100)</f>
        <v>-0.31794774358326783</v>
      </c>
      <c r="H34" s="33">
        <f>IF(OR(980597.75708="",12620.70323="",2029.75898=""),"-",(12620.70323-2029.75898)/980597.75708*100)</f>
        <v>1.0800498138540977</v>
      </c>
      <c r="I34" s="60"/>
      <c r="J34" s="61"/>
      <c r="K34" s="32"/>
    </row>
    <row r="35" spans="1:11" s="36" customFormat="1" x14ac:dyDescent="0.2">
      <c r="A35" s="60" t="s">
        <v>322</v>
      </c>
      <c r="B35" s="61" t="s">
        <v>323</v>
      </c>
      <c r="C35" s="32">
        <v>2.31277</v>
      </c>
      <c r="D35" s="33">
        <f>IF(OR(3.25546="",2.31277=""),"-",2.31277/3.25546*100)</f>
        <v>71.042801938896503</v>
      </c>
      <c r="E35" s="33">
        <f>IF(3.25546="","-",3.25546/980597.75708*100)</f>
        <v>3.3198729820615021E-4</v>
      </c>
      <c r="F35" s="33">
        <f>IF(2.31277="","-",2.31277/1104707.78056*100)</f>
        <v>2.0935581704942889E-4</v>
      </c>
      <c r="G35" s="33">
        <f>IF(OR(1159001.13914="",3.03565="",3.25546=""),"-",(3.25546-3.03565)/1159001.13914*100)</f>
        <v>1.8965468848728039E-5</v>
      </c>
      <c r="H35" s="33">
        <f>IF(OR(980597.75708="",2.31277="",3.25546=""),"-",(2.31277-3.25546)/980597.75708*100)</f>
        <v>-9.6134219479261207E-5</v>
      </c>
      <c r="I35" s="60"/>
      <c r="J35" s="61"/>
      <c r="K35" s="32"/>
    </row>
    <row r="36" spans="1:11" s="36" customFormat="1" ht="24" x14ac:dyDescent="0.2">
      <c r="A36" s="57" t="s">
        <v>262</v>
      </c>
      <c r="B36" s="58" t="s">
        <v>164</v>
      </c>
      <c r="C36" s="29">
        <v>32468.78615</v>
      </c>
      <c r="D36" s="30">
        <f>IF(50557.79472="","-",32468.78615/50557.79472*100)</f>
        <v>64.221128175821676</v>
      </c>
      <c r="E36" s="30">
        <f>IF(50557.79472="","-",50557.79472/980597.75708*100)</f>
        <v>5.1558138242687557</v>
      </c>
      <c r="F36" s="30">
        <f>IF(32468.78615="","-",32468.78615/1104707.78056*100)</f>
        <v>2.9391289462577039</v>
      </c>
      <c r="G36" s="30">
        <f>IF(1159001.13914="","-",(50557.79472-30793.7115)/1159001.13914*100)</f>
        <v>1.7052686621745088</v>
      </c>
      <c r="H36" s="30">
        <f>IF(980597.75708="","-",(32468.78615-50557.79472)/980597.75708*100)</f>
        <v>-1.8446920196783851</v>
      </c>
      <c r="I36" s="60"/>
      <c r="J36" s="61"/>
      <c r="K36" s="32"/>
    </row>
    <row r="37" spans="1:11" s="36" customFormat="1" x14ac:dyDescent="0.2">
      <c r="A37" s="60" t="s">
        <v>263</v>
      </c>
      <c r="B37" s="61" t="s">
        <v>210</v>
      </c>
      <c r="C37" s="32">
        <v>4.8150199999999996</v>
      </c>
      <c r="D37" s="33" t="s">
        <v>320</v>
      </c>
      <c r="E37" s="33">
        <f>IF(1.9874="","-",1.9874/980597.75708*100)</f>
        <v>2.026722971423095E-4</v>
      </c>
      <c r="F37" s="33">
        <f>IF(4.81502="","-",4.81502/1104707.78056*100)</f>
        <v>4.3586368130395199E-4</v>
      </c>
      <c r="G37" s="33" t="str">
        <f>IF(OR(1159001.13914="",""="",1.9874=""),"-",(1.9874-"")/1159001.13914*100)</f>
        <v>-</v>
      </c>
      <c r="H37" s="33">
        <f>IF(OR(980597.75708="",4.81502="",1.9874=""),"-",(4.81502-1.9874)/980597.75708*100)</f>
        <v>2.8835676806155639E-4</v>
      </c>
      <c r="I37" s="57"/>
      <c r="J37" s="58"/>
      <c r="K37" s="29"/>
    </row>
    <row r="38" spans="1:11" s="36" customFormat="1" ht="24" x14ac:dyDescent="0.2">
      <c r="A38" s="60" t="s">
        <v>264</v>
      </c>
      <c r="B38" s="61" t="s">
        <v>165</v>
      </c>
      <c r="C38" s="32">
        <v>32460.408800000001</v>
      </c>
      <c r="D38" s="33">
        <f>IF(OR(50536.87917="",32460.4088=""),"-",32460.4088/50536.87917*100)</f>
        <v>64.231130479599031</v>
      </c>
      <c r="E38" s="33">
        <f>IF(50536.87917="","-",50536.87917/980597.75708*100)</f>
        <v>5.1536808854720899</v>
      </c>
      <c r="F38" s="33">
        <f>IF(32460.4088="","-",32460.4088/1104707.78056*100)</f>
        <v>2.938370614493647</v>
      </c>
      <c r="G38" s="33">
        <f>IF(OR(1159001.13914="",30793.57574="",50536.87917=""),"-",(50536.87917-30793.57574)/1159001.13914*100)</f>
        <v>1.7034757571204711</v>
      </c>
      <c r="H38" s="33">
        <f>IF(OR(980597.75708="",32460.4088="",50536.87917=""),"-",(32460.4088-50536.87917)/980597.75708*100)</f>
        <v>-1.8434133914223574</v>
      </c>
      <c r="I38" s="60"/>
      <c r="J38" s="61"/>
      <c r="K38" s="32"/>
    </row>
    <row r="39" spans="1:11" s="36" customFormat="1" ht="60" x14ac:dyDescent="0.2">
      <c r="A39" s="60" t="s">
        <v>265</v>
      </c>
      <c r="B39" s="61" t="s">
        <v>208</v>
      </c>
      <c r="C39" s="32">
        <v>3.5623300000000002</v>
      </c>
      <c r="D39" s="33">
        <f>IF(OR(18.92815="",3.56233=""),"-",3.56233/18.92815*100)</f>
        <v>18.820275621230813</v>
      </c>
      <c r="E39" s="33">
        <f>IF(18.92815="","-",18.92815/980597.75708*100)</f>
        <v>1.9302664995241045E-3</v>
      </c>
      <c r="F39" s="33">
        <f>IF(3.56233="","-",3.56233/1104707.78056*100)</f>
        <v>3.2246808275344799E-4</v>
      </c>
      <c r="G39" s="33">
        <f>IF(OR(1159001.13914="",0.13576="",18.92815=""),"-",(18.92815-0.13576)/1159001.13914*100)</f>
        <v>1.6214298127389497E-3</v>
      </c>
      <c r="H39" s="33">
        <f>IF(OR(980597.75708="",3.56233="",18.92815=""),"-",(3.56233-18.92815)/980597.75708*100)</f>
        <v>-1.5669850240893843E-3</v>
      </c>
      <c r="I39" s="60"/>
      <c r="J39" s="61"/>
      <c r="K39" s="32"/>
    </row>
    <row r="40" spans="1:11" s="36" customFormat="1" ht="24" x14ac:dyDescent="0.2">
      <c r="A40" s="57" t="s">
        <v>266</v>
      </c>
      <c r="B40" s="58" t="s">
        <v>166</v>
      </c>
      <c r="C40" s="29">
        <v>53881.342909999999</v>
      </c>
      <c r="D40" s="30">
        <f>IF(48829.73693="","-",53881.34291/48829.73693*100)</f>
        <v>110.34534752305085</v>
      </c>
      <c r="E40" s="30">
        <f>IF(48829.73693="","-",48829.73693/980597.75708*100)</f>
        <v>4.9795888862120181</v>
      </c>
      <c r="F40" s="30">
        <f>IF(53881.34291="","-",53881.34291/1104707.78056*100)</f>
        <v>4.8774294757556964</v>
      </c>
      <c r="G40" s="30">
        <f>IF(1159001.13914="","-",(48829.73693-47629.13425)/1159001.13914*100)</f>
        <v>0.10358943054110072</v>
      </c>
      <c r="H40" s="30">
        <f>IF(980597.75708="","-",(53881.34291-48829.73693)/980597.75708*100)</f>
        <v>0.5151557754978503</v>
      </c>
      <c r="I40" s="60"/>
      <c r="J40" s="61"/>
      <c r="K40" s="32"/>
    </row>
    <row r="41" spans="1:11" s="36" customFormat="1" x14ac:dyDescent="0.2">
      <c r="A41" s="60" t="s">
        <v>267</v>
      </c>
      <c r="B41" s="61" t="s">
        <v>25</v>
      </c>
      <c r="C41" s="32">
        <v>13468.21963</v>
      </c>
      <c r="D41" s="33">
        <f>IF(OR(19739.67483="",13468.21963=""),"-",13468.21963/19739.67483*100)</f>
        <v>68.229186883723344</v>
      </c>
      <c r="E41" s="33">
        <f>IF(19739.67483="","-",19739.67483/980597.75708*100)</f>
        <v>2.0130246767828961</v>
      </c>
      <c r="F41" s="33">
        <f>IF(13468.21963="","-",13468.21963/1104707.78056*100)</f>
        <v>1.2191658162462358</v>
      </c>
      <c r="G41" s="33">
        <f>IF(OR(1159001.13914="",6652.81404="",19739.67483=""),"-",(19739.67483-6652.81404)/1159001.13914*100)</f>
        <v>1.1291499505954488</v>
      </c>
      <c r="H41" s="33">
        <f>IF(OR(980597.75708="",13468.21963="",19739.67483=""),"-",(13468.21963-19739.67483)/980597.75708*100)</f>
        <v>-0.63955430804522606</v>
      </c>
      <c r="I41" s="57"/>
      <c r="J41" s="58"/>
      <c r="K41" s="29"/>
    </row>
    <row r="42" spans="1:11" s="36" customFormat="1" x14ac:dyDescent="0.2">
      <c r="A42" s="60" t="s">
        <v>268</v>
      </c>
      <c r="B42" s="61" t="s">
        <v>26</v>
      </c>
      <c r="C42" s="32">
        <v>344.40726000000001</v>
      </c>
      <c r="D42" s="33">
        <f>IF(OR(565.33694="",344.40726=""),"-",344.40726/565.33694*100)</f>
        <v>60.920706861999854</v>
      </c>
      <c r="E42" s="33">
        <f>IF(565.33694="","-",565.33694/980597.75708*100)</f>
        <v>5.7652277492806693E-2</v>
      </c>
      <c r="F42" s="33">
        <f>IF(344.40726="","-",344.40726/1104707.78056*100)</f>
        <v>3.117632246831941E-2</v>
      </c>
      <c r="G42" s="33">
        <f>IF(OR(1159001.13914="",462.45649="",565.33694=""),"-",(565.33694-462.45649)/1159001.13914*100)</f>
        <v>8.8766478759752746E-3</v>
      </c>
      <c r="H42" s="33">
        <f>IF(OR(980597.75708="",344.40726="",565.33694=""),"-",(344.40726-565.33694)/980597.75708*100)</f>
        <v>-2.2530102522147207E-2</v>
      </c>
      <c r="I42" s="60"/>
      <c r="J42" s="61"/>
      <c r="K42" s="32"/>
    </row>
    <row r="43" spans="1:11" s="36" customFormat="1" x14ac:dyDescent="0.2">
      <c r="A43" s="60" t="s">
        <v>269</v>
      </c>
      <c r="B43" s="61" t="s">
        <v>167</v>
      </c>
      <c r="C43" s="32">
        <v>799.82651999999996</v>
      </c>
      <c r="D43" s="33" t="s">
        <v>228</v>
      </c>
      <c r="E43" s="33">
        <f>IF(349.45977="","-",349.45977/980597.75708*100)</f>
        <v>3.5637422936863811E-2</v>
      </c>
      <c r="F43" s="33">
        <f>IF(799.82652="","-",799.82652/1104707.78056*100)</f>
        <v>7.2401637254202261E-2</v>
      </c>
      <c r="G43" s="33">
        <f>IF(OR(1159001.13914="",446.81774="",349.45977=""),"-",(349.45977-446.81774)/1159001.13914*100)</f>
        <v>-8.4001617178945491E-3</v>
      </c>
      <c r="H43" s="33">
        <f>IF(OR(980597.75708="",799.82652="",349.45977=""),"-",(799.82652-349.45977)/980597.75708*100)</f>
        <v>4.5927776883876531E-2</v>
      </c>
      <c r="I43" s="60"/>
      <c r="J43" s="61"/>
      <c r="K43" s="32"/>
    </row>
    <row r="44" spans="1:11" s="36" customFormat="1" x14ac:dyDescent="0.2">
      <c r="A44" s="60" t="s">
        <v>270</v>
      </c>
      <c r="B44" s="61" t="s">
        <v>168</v>
      </c>
      <c r="C44" s="32">
        <v>29564.095659999999</v>
      </c>
      <c r="D44" s="33">
        <f>IF(OR(21044.08628="",29564.09566=""),"-",29564.09566/21044.08628*100)</f>
        <v>140.48647808528182</v>
      </c>
      <c r="E44" s="33">
        <f>IF(21044.08628="","-",21044.08628/980597.75708*100)</f>
        <v>2.1460467483287502</v>
      </c>
      <c r="F44" s="33">
        <f>IF(29564.09566="","-",29564.09566/1104707.78056*100)</f>
        <v>2.6761914942803537</v>
      </c>
      <c r="G44" s="33">
        <f>IF(OR(1159001.13914="",31913.4157899999="",21044.08628=""),"-",(21044.08628-31913.4157899999)/1159001.13914*100)</f>
        <v>-0.93781870810456158</v>
      </c>
      <c r="H44" s="33">
        <f>IF(OR(980597.75708="",29564.09566="",21044.08628=""),"-",(29564.09566-21044.08628)/980597.75708*100)</f>
        <v>0.86885874646202288</v>
      </c>
      <c r="I44" s="60"/>
      <c r="J44" s="61"/>
      <c r="K44" s="32"/>
    </row>
    <row r="45" spans="1:11" s="36" customFormat="1" ht="48" x14ac:dyDescent="0.2">
      <c r="A45" s="60" t="s">
        <v>271</v>
      </c>
      <c r="B45" s="61" t="s">
        <v>169</v>
      </c>
      <c r="C45" s="32">
        <v>4057.5753100000002</v>
      </c>
      <c r="D45" s="33">
        <f>IF(OR(4576.58416="",4057.57531=""),"-",4057.57531/4576.58416*100)</f>
        <v>88.659471084652793</v>
      </c>
      <c r="E45" s="33">
        <f>IF(4576.58416="","-",4576.58416/980597.75708*100)</f>
        <v>0.46671370875128659</v>
      </c>
      <c r="F45" s="33">
        <f>IF(4057.57531="","-",4057.57531/1104707.78056*100)</f>
        <v>0.36729851834148647</v>
      </c>
      <c r="G45" s="33">
        <f>IF(OR(1159001.13914="",5348.16993="",4576.58416=""),"-",(4576.58416-5348.16993)/1159001.13914*100)</f>
        <v>-6.6573340089426516E-2</v>
      </c>
      <c r="H45" s="33">
        <f>IF(OR(980597.75708="",4057.57531="",4576.58416=""),"-",(4057.57531-4576.58416)/980597.75708*100)</f>
        <v>-5.2927803092829011E-2</v>
      </c>
      <c r="I45" s="60"/>
      <c r="J45" s="61"/>
      <c r="K45" s="32"/>
    </row>
    <row r="46" spans="1:11" s="36" customFormat="1" x14ac:dyDescent="0.2">
      <c r="A46" s="60" t="s">
        <v>272</v>
      </c>
      <c r="B46" s="61" t="s">
        <v>170</v>
      </c>
      <c r="C46" s="32">
        <v>62.93374</v>
      </c>
      <c r="D46" s="33" t="s">
        <v>358</v>
      </c>
      <c r="E46" s="33">
        <f>IF(0.12792="","-",0.12792/980597.75708*100)</f>
        <v>1.3045104282199976E-5</v>
      </c>
      <c r="F46" s="33">
        <f>IF(62.93374="","-",62.93374/1104707.78056*100)</f>
        <v>5.6968676339092623E-3</v>
      </c>
      <c r="G46" s="33">
        <f>IF(OR(1159001.13914="",20.17404="",0.12792=""),"-",(0.12792-20.17404)/1159001.13914*100)</f>
        <v>-1.7296031317859261E-3</v>
      </c>
      <c r="H46" s="33">
        <f>IF(OR(980597.75708="",62.93374="",0.12792=""),"-",(62.93374-0.12792)/980597.75708*100)</f>
        <v>6.4048504645800568E-3</v>
      </c>
      <c r="I46" s="60"/>
      <c r="J46" s="61"/>
      <c r="K46" s="32"/>
    </row>
    <row r="47" spans="1:11" x14ac:dyDescent="0.2">
      <c r="A47" s="60" t="s">
        <v>273</v>
      </c>
      <c r="B47" s="61" t="s">
        <v>27</v>
      </c>
      <c r="C47" s="32">
        <v>768.71472000000006</v>
      </c>
      <c r="D47" s="33">
        <f>IF(OR(786.76373="",768.71472=""),"-",768.71472/786.76373*100)</f>
        <v>97.70591737877902</v>
      </c>
      <c r="E47" s="33">
        <f>IF(786.76373="","-",786.76373/980597.75708*100)</f>
        <v>8.0233074603679067E-2</v>
      </c>
      <c r="F47" s="33">
        <f>IF(768.71472="","-",768.71472/1104707.78056*100)</f>
        <v>6.9585344968813564E-2</v>
      </c>
      <c r="G47" s="33">
        <f>IF(OR(1159001.13914="",744.6458="",786.76373=""),"-",(786.76373-744.6458)/1159001.13914*100)</f>
        <v>3.6339852117187967E-3</v>
      </c>
      <c r="H47" s="33">
        <f>IF(OR(980597.75708="",768.71472="",786.76373=""),"-",(768.71472-786.76373)/980597.75708*100)</f>
        <v>-1.8406130209542651E-3</v>
      </c>
      <c r="I47" s="60"/>
      <c r="J47" s="61"/>
      <c r="K47" s="32"/>
    </row>
    <row r="48" spans="1:11" x14ac:dyDescent="0.2">
      <c r="A48" s="60" t="s">
        <v>274</v>
      </c>
      <c r="B48" s="61" t="s">
        <v>28</v>
      </c>
      <c r="C48" s="32">
        <v>1744.64915</v>
      </c>
      <c r="D48" s="33" t="s">
        <v>215</v>
      </c>
      <c r="E48" s="33">
        <f>IF(786.92507="","-",786.92507/980597.75708*100)</f>
        <v>8.0249527833235745E-2</v>
      </c>
      <c r="F48" s="33">
        <f>IF(1744.64915="","-",1744.64915/1104707.78056*100)</f>
        <v>0.15792856542710323</v>
      </c>
      <c r="G48" s="33">
        <f>IF(OR(1159001.13914="",1141.16666="",786.92507=""),"-",(786.92507-1141.16666)/1159001.13914*100)</f>
        <v>-3.0564386697915912E-2</v>
      </c>
      <c r="H48" s="33">
        <f>IF(OR(980597.75708="",1744.64915="",786.92507=""),"-",(1744.64915-786.92507)/980597.75708*100)</f>
        <v>9.7667374117995878E-2</v>
      </c>
      <c r="I48" s="60"/>
      <c r="J48" s="61"/>
      <c r="K48" s="32"/>
    </row>
    <row r="49" spans="1:11" x14ac:dyDescent="0.2">
      <c r="A49" s="60" t="s">
        <v>275</v>
      </c>
      <c r="B49" s="61" t="s">
        <v>171</v>
      </c>
      <c r="C49" s="32">
        <v>3070.92092</v>
      </c>
      <c r="D49" s="33" t="s">
        <v>359</v>
      </c>
      <c r="E49" s="33">
        <f>IF(980.77823="","-",980.77823/980597.75708*100)</f>
        <v>0.10001840437821696</v>
      </c>
      <c r="F49" s="33">
        <f>IF(3070.92092="","-",3070.92092/1104707.78056*100)</f>
        <v>0.27798490913527235</v>
      </c>
      <c r="G49" s="33">
        <f>IF(OR(1159001.13914="",899.47376="",980.77823=""),"-",(980.77823-899.47376)/1159001.13914*100)</f>
        <v>7.0150465995511817E-3</v>
      </c>
      <c r="H49" s="33">
        <f>IF(OR(980597.75708="",3070.92092="",980.77823=""),"-",(3070.92092-980.77823)/980597.75708*100)</f>
        <v>0.2131498542505314</v>
      </c>
      <c r="I49" s="60"/>
      <c r="J49" s="61"/>
      <c r="K49" s="32"/>
    </row>
    <row r="50" spans="1:11" ht="24" x14ac:dyDescent="0.2">
      <c r="A50" s="57" t="s">
        <v>276</v>
      </c>
      <c r="B50" s="58" t="s">
        <v>214</v>
      </c>
      <c r="C50" s="29">
        <v>90529.710470000005</v>
      </c>
      <c r="D50" s="30">
        <f>IF(60627.4492="","-",90529.71047/60627.4492*100)</f>
        <v>149.32132501790954</v>
      </c>
      <c r="E50" s="30">
        <f>IF(60627.4492="","-",60627.4492/980597.75708*100)</f>
        <v>6.1827032299701496</v>
      </c>
      <c r="F50" s="30">
        <f>IF(90529.71047="","-",90529.71047/1104707.78056*100)</f>
        <v>8.1949011370326872</v>
      </c>
      <c r="G50" s="30">
        <f>IF(1159001.13914="","-",(60627.4492-70793.17504)/1159001.13914*100)</f>
        <v>-0.87711094464869577</v>
      </c>
      <c r="H50" s="30">
        <f>IF(980597.75708="","-",(90529.71047-60627.4492)/980597.75708*100)</f>
        <v>3.049391154946369</v>
      </c>
      <c r="I50" s="60"/>
      <c r="J50" s="61"/>
      <c r="K50" s="32"/>
    </row>
    <row r="51" spans="1:11" x14ac:dyDescent="0.2">
      <c r="A51" s="60" t="s">
        <v>277</v>
      </c>
      <c r="B51" s="61" t="s">
        <v>172</v>
      </c>
      <c r="C51" s="32">
        <v>458.22082</v>
      </c>
      <c r="D51" s="33" t="s">
        <v>95</v>
      </c>
      <c r="E51" s="33">
        <f>IF(217.29162="","-",217.29162/980597.75708*100)</f>
        <v>2.2159098206286504E-2</v>
      </c>
      <c r="F51" s="33">
        <f>IF(458.22082="","-",458.22082/1104707.78056*100)</f>
        <v>4.1478916693038777E-2</v>
      </c>
      <c r="G51" s="33">
        <f>IF(OR(1159001.13914="",113.32322="",217.29162=""),"-",(217.29162-113.32322)/1159001.13914*100)</f>
        <v>8.9705174989859315E-3</v>
      </c>
      <c r="H51" s="33">
        <f>IF(OR(980597.75708="",458.22082="",217.29162=""),"-",(458.22082-217.29162)/980597.75708*100)</f>
        <v>2.4569625849179287E-2</v>
      </c>
      <c r="I51" s="57"/>
      <c r="J51" s="58"/>
      <c r="K51" s="29"/>
    </row>
    <row r="52" spans="1:11" x14ac:dyDescent="0.2">
      <c r="A52" s="60" t="s">
        <v>278</v>
      </c>
      <c r="B52" s="61" t="s">
        <v>29</v>
      </c>
      <c r="C52" s="32">
        <v>714.96389999999997</v>
      </c>
      <c r="D52" s="33">
        <f>IF(OR(523.95432="",714.9639=""),"-",714.9639/523.95432*100)</f>
        <v>136.45538794297946</v>
      </c>
      <c r="E52" s="33">
        <f>IF(523.95432="","-",523.95432/980597.75708*100)</f>
        <v>5.3432135268208072E-2</v>
      </c>
      <c r="F52" s="33">
        <f>IF(714.9639="","-",714.9639/1104707.78056*100)</f>
        <v>6.4719730645652673E-2</v>
      </c>
      <c r="G52" s="33">
        <f>IF(OR(1159001.13914="",734.73926="",523.95432=""),"-",(523.95432-734.73926)/1159001.13914*100)</f>
        <v>-1.8186775912610937E-2</v>
      </c>
      <c r="H52" s="33">
        <f>IF(OR(980597.75708="",714.9639="",523.95432=""),"-",(714.9639-523.95432)/980597.75708*100)</f>
        <v>1.9478892198242788E-2</v>
      </c>
      <c r="I52" s="60"/>
      <c r="J52" s="61"/>
      <c r="K52" s="32"/>
    </row>
    <row r="53" spans="1:11" x14ac:dyDescent="0.2">
      <c r="A53" s="60" t="s">
        <v>279</v>
      </c>
      <c r="B53" s="61" t="s">
        <v>173</v>
      </c>
      <c r="C53" s="32">
        <v>9812.2337599999992</v>
      </c>
      <c r="D53" s="33">
        <f>IF(OR(6843.35183="",9812.23376=""),"-",9812.23376/6843.35183*100)</f>
        <v>143.38344723100406</v>
      </c>
      <c r="E53" s="33">
        <f>IF(6843.35183="","-",6843.35183/980597.75708*100)</f>
        <v>0.69787553363144184</v>
      </c>
      <c r="F53" s="33">
        <f>IF(9812.23376="","-",9812.23376/1104707.78056*100)</f>
        <v>0.88821984715505187</v>
      </c>
      <c r="G53" s="33">
        <f>IF(OR(1159001.13914="",8527.8631="",6843.35183=""),"-",(6843.35183-8527.8631)/1159001.13914*100)</f>
        <v>-0.1453416405828504</v>
      </c>
      <c r="H53" s="33">
        <f>IF(OR(980597.75708="",9812.23376="",6843.35183=""),"-",(9812.23376-6843.35183)/980597.75708*100)</f>
        <v>0.30276246387108446</v>
      </c>
      <c r="I53" s="60"/>
      <c r="J53" s="61"/>
      <c r="K53" s="32"/>
    </row>
    <row r="54" spans="1:11" ht="24" x14ac:dyDescent="0.2">
      <c r="A54" s="60" t="s">
        <v>280</v>
      </c>
      <c r="B54" s="61" t="s">
        <v>174</v>
      </c>
      <c r="C54" s="32">
        <v>4105.7934100000002</v>
      </c>
      <c r="D54" s="33">
        <f>IF(OR(3517.53637="",4105.79341=""),"-",4105.79341/3517.53637*100)</f>
        <v>116.72355245611861</v>
      </c>
      <c r="E54" s="33">
        <f>IF(3517.53637="","-",3517.53637/980597.75708*100)</f>
        <v>0.35871348313853313</v>
      </c>
      <c r="F54" s="33">
        <f>IF(4105.79341="","-",4105.79341/1104707.78056*100)</f>
        <v>0.37166330157633953</v>
      </c>
      <c r="G54" s="33">
        <f>IF(OR(1159001.13914="",3992.39659="",3517.53637=""),"-",(3517.53637-3992.39659)/1159001.13914*100)</f>
        <v>-4.0971505891042946E-2</v>
      </c>
      <c r="H54" s="33">
        <f>IF(OR(980597.75708="",4105.79341="",3517.53637=""),"-",(4105.79341-3517.53637)/980597.75708*100)</f>
        <v>5.9989637519842778E-2</v>
      </c>
      <c r="I54" s="60"/>
      <c r="J54" s="61"/>
      <c r="K54" s="32"/>
    </row>
    <row r="55" spans="1:11" ht="26.25" customHeight="1" x14ac:dyDescent="0.2">
      <c r="A55" s="60" t="s">
        <v>281</v>
      </c>
      <c r="B55" s="61" t="s">
        <v>175</v>
      </c>
      <c r="C55" s="32">
        <v>33214.73012</v>
      </c>
      <c r="D55" s="33" t="s">
        <v>229</v>
      </c>
      <c r="E55" s="33">
        <f>IF(21651.62443="","-",21651.62443/980597.75708*100)</f>
        <v>2.2080026467196574</v>
      </c>
      <c r="F55" s="33">
        <f>IF(33214.73012="","-",33214.73012/1104707.78056*100)</f>
        <v>3.0066530447683406</v>
      </c>
      <c r="G55" s="33">
        <f>IF(OR(1159001.13914="",27167.80074="",21651.62443=""),"-",(21651.62443-27167.80074)/1159001.13914*100)</f>
        <v>-0.47594226819251467</v>
      </c>
      <c r="H55" s="33">
        <f>IF(OR(980597.75708="",33214.73012="",21651.62443=""),"-",(33214.73012-21651.62443)/980597.75708*100)</f>
        <v>1.1791894899323789</v>
      </c>
      <c r="I55" s="60"/>
      <c r="J55" s="61"/>
      <c r="K55" s="32"/>
    </row>
    <row r="56" spans="1:11" ht="14.25" customHeight="1" x14ac:dyDescent="0.2">
      <c r="A56" s="60" t="s">
        <v>282</v>
      </c>
      <c r="B56" s="61" t="s">
        <v>30</v>
      </c>
      <c r="C56" s="32">
        <v>22499.099699999999</v>
      </c>
      <c r="D56" s="33">
        <f>IF(OR(17257.04039="",22499.0997=""),"-",22499.0997/17257.04039*100)</f>
        <v>130.37635186296276</v>
      </c>
      <c r="E56" s="33">
        <f>IF(17257.04039="","-",17257.04039/980597.75708*100)</f>
        <v>1.7598490579243817</v>
      </c>
      <c r="F56" s="33">
        <f>IF(22499.0997="","-",22499.0997/1104707.78056*100)</f>
        <v>2.0366562176827179</v>
      </c>
      <c r="G56" s="33">
        <f>IF(OR(1159001.13914="",19807.01368="",17257.04039=""),"-",(17257.04039-19807.01368)/1159001.13914*100)</f>
        <v>-0.22001473543780364</v>
      </c>
      <c r="H56" s="33">
        <f>IF(OR(980597.75708="",22499.0997="",17257.04039=""),"-",(22499.0997-17257.04039)/980597.75708*100)</f>
        <v>0.5345779420921456</v>
      </c>
      <c r="I56" s="60"/>
      <c r="J56" s="61"/>
      <c r="K56" s="32"/>
    </row>
    <row r="57" spans="1:11" ht="15.75" customHeight="1" x14ac:dyDescent="0.2">
      <c r="A57" s="60" t="s">
        <v>283</v>
      </c>
      <c r="B57" s="61" t="s">
        <v>176</v>
      </c>
      <c r="C57" s="32">
        <v>2828.1161699999998</v>
      </c>
      <c r="D57" s="33" t="s">
        <v>328</v>
      </c>
      <c r="E57" s="33">
        <f>IF(640.5326="","-",640.5326/980597.75708*100)</f>
        <v>6.5320626666265508E-2</v>
      </c>
      <c r="F57" s="33">
        <f>IF(2828.11617="","-",2828.11617/1104707.78056*100)</f>
        <v>0.25600581617759288</v>
      </c>
      <c r="G57" s="33">
        <f>IF(OR(1159001.13914="",721.82272="",640.5326=""),"-",(640.5326-721.82272)/1159001.13914*100)</f>
        <v>-7.0138084644436804E-3</v>
      </c>
      <c r="H57" s="33">
        <f>IF(OR(980597.75708="",2828.11617="",640.5326=""),"-",(2828.11617-640.5326)/980597.75708*100)</f>
        <v>0.22308674012411905</v>
      </c>
      <c r="I57" s="60"/>
      <c r="J57" s="61"/>
      <c r="K57" s="32"/>
    </row>
    <row r="58" spans="1:11" x14ac:dyDescent="0.2">
      <c r="A58" s="60" t="s">
        <v>284</v>
      </c>
      <c r="B58" s="61" t="s">
        <v>31</v>
      </c>
      <c r="C58" s="32">
        <v>530.97775000000001</v>
      </c>
      <c r="D58" s="33">
        <f>IF(OR(753.45003="",530.97775=""),"-",530.97775/753.45003*100)</f>
        <v>70.472855379672623</v>
      </c>
      <c r="E58" s="33">
        <f>IF(753.45003="","-",753.45003/980597.75708*100)</f>
        <v>7.6835789655852887E-2</v>
      </c>
      <c r="F58" s="33">
        <f>IF(530.97775="","-",530.97775/1104707.78056*100)</f>
        <v>4.806499595131266E-2</v>
      </c>
      <c r="G58" s="33">
        <f>IF(OR(1159001.13914="",261.19462="",753.45003=""),"-",(753.45003-261.19462)/1159001.13914*100)</f>
        <v>4.2472383622095697E-2</v>
      </c>
      <c r="H58" s="33">
        <f>IF(OR(980597.75708="",530.97775="",753.45003=""),"-",(530.97775-753.45003)/980597.75708*100)</f>
        <v>-2.2687414731854216E-2</v>
      </c>
      <c r="I58" s="60"/>
      <c r="J58" s="61"/>
      <c r="K58" s="32"/>
    </row>
    <row r="59" spans="1:11" x14ac:dyDescent="0.2">
      <c r="A59" s="60" t="s">
        <v>285</v>
      </c>
      <c r="B59" s="61" t="s">
        <v>32</v>
      </c>
      <c r="C59" s="32">
        <v>16365.574839999999</v>
      </c>
      <c r="D59" s="33" t="s">
        <v>216</v>
      </c>
      <c r="E59" s="33">
        <f>IF(9222.66761="","-",9222.66761/980597.75708*100)</f>
        <v>0.94051485875952179</v>
      </c>
      <c r="F59" s="33">
        <f>IF(16365.57484="","-",16365.57484/1104707.78056*100)</f>
        <v>1.481439266382639</v>
      </c>
      <c r="G59" s="33">
        <f>IF(OR(1159001.13914="",9467.02111="",9222.66761=""),"-",(9222.66761-9467.02111)/1159001.13914*100)</f>
        <v>-2.1083111288511241E-2</v>
      </c>
      <c r="H59" s="33">
        <f>IF(OR(980597.75708="",16365.57484="",9222.66761=""),"-",(16365.57484-9222.66761)/980597.75708*100)</f>
        <v>0.72842377809123005</v>
      </c>
      <c r="I59" s="60"/>
      <c r="J59" s="61"/>
      <c r="K59" s="32"/>
    </row>
    <row r="60" spans="1:11" ht="24" x14ac:dyDescent="0.2">
      <c r="A60" s="57" t="s">
        <v>286</v>
      </c>
      <c r="B60" s="58" t="s">
        <v>177</v>
      </c>
      <c r="C60" s="29">
        <v>287782.43917999999</v>
      </c>
      <c r="D60" s="30" t="s">
        <v>229</v>
      </c>
      <c r="E60" s="30">
        <f>IF(191770.85652="","-",191770.85652/980597.75708*100)</f>
        <v>19.556526122500074</v>
      </c>
      <c r="F60" s="30">
        <f>IF(287782.43918="","-",287782.43918/1104707.78056*100)</f>
        <v>26.050548773551398</v>
      </c>
      <c r="G60" s="30">
        <f>IF(1159001.13914="","-",(191770.85652-297069.54358)/1159001.13914*100)</f>
        <v>-9.0852962524379848</v>
      </c>
      <c r="H60" s="30">
        <f>IF(980597.75708="","-",(287782.43918-191770.85652)/980597.75708*100)</f>
        <v>9.7911281120916414</v>
      </c>
      <c r="I60" s="60"/>
      <c r="J60" s="61"/>
      <c r="K60" s="32"/>
    </row>
    <row r="61" spans="1:11" ht="24" x14ac:dyDescent="0.2">
      <c r="A61" s="60" t="s">
        <v>287</v>
      </c>
      <c r="B61" s="61" t="s">
        <v>178</v>
      </c>
      <c r="C61" s="32">
        <v>777.76164000000006</v>
      </c>
      <c r="D61" s="33">
        <f>IF(OR(805.06489="",777.76164=""),"-",777.76164/805.06489*100)</f>
        <v>96.608565304593029</v>
      </c>
      <c r="E61" s="33">
        <f>IF(805.06489="","-",805.06489/980597.75708*100)</f>
        <v>8.2099401532112662E-2</v>
      </c>
      <c r="F61" s="33">
        <f>IF(777.76164="","-",777.76164/1104707.78056*100)</f>
        <v>7.0404287331599674E-2</v>
      </c>
      <c r="G61" s="33">
        <f>IF(OR(1159001.13914="",1493.01824="",805.06489=""),"-",(805.06489-1493.01824)/1159001.13914*100)</f>
        <v>-5.9357435188586098E-2</v>
      </c>
      <c r="H61" s="33">
        <f>IF(OR(980597.75708="",777.76164="",805.06489=""),"-",(777.76164-805.06489)/980597.75708*100)</f>
        <v>-2.784347588281548E-3</v>
      </c>
      <c r="I61" s="57"/>
      <c r="J61" s="58"/>
      <c r="K61" s="29"/>
    </row>
    <row r="62" spans="1:11" ht="24" x14ac:dyDescent="0.2">
      <c r="A62" s="60" t="s">
        <v>288</v>
      </c>
      <c r="B62" s="61" t="s">
        <v>179</v>
      </c>
      <c r="C62" s="32">
        <v>6307.9357200000004</v>
      </c>
      <c r="D62" s="33" t="s">
        <v>105</v>
      </c>
      <c r="E62" s="33">
        <f>IF(3314.01181="","-",3314.01181/980597.75708*100)</f>
        <v>0.33795833062767583</v>
      </c>
      <c r="F62" s="33">
        <f>IF(6307.93572="","-",6307.93572/1104707.78056*100)</f>
        <v>0.57100491469358283</v>
      </c>
      <c r="G62" s="33">
        <f>IF(OR(1159001.13914="",5473.62015="",3314.01181=""),"-",(3314.01181-5473.62015)/1159001.13914*100)</f>
        <v>-0.18633358217425641</v>
      </c>
      <c r="H62" s="33">
        <f>IF(OR(980597.75708="",6307.93572="",3314.01181=""),"-",(6307.93572-3314.01181)/980597.75708*100)</f>
        <v>0.30531621027925188</v>
      </c>
      <c r="I62" s="60"/>
      <c r="J62" s="61"/>
      <c r="K62" s="32"/>
    </row>
    <row r="63" spans="1:11" ht="24" x14ac:dyDescent="0.2">
      <c r="A63" s="60" t="s">
        <v>289</v>
      </c>
      <c r="B63" s="61" t="s">
        <v>180</v>
      </c>
      <c r="C63" s="32">
        <v>2063.4575199999999</v>
      </c>
      <c r="D63" s="33">
        <f>IF(OR(1478.65343="",2063.45752=""),"-",2063.45752/1478.65343*100)</f>
        <v>139.54977401296799</v>
      </c>
      <c r="E63" s="33">
        <f>IF(1478.65343="","-",1478.65343/980597.75708*100)</f>
        <v>0.15079102713870141</v>
      </c>
      <c r="F63" s="33">
        <f>IF(2063.45752="","-",2063.45752/1104707.78056*100)</f>
        <v>0.1867876334639364</v>
      </c>
      <c r="G63" s="33">
        <f>IF(OR(1159001.13914="",1024.90845="",1478.65343=""),"-",(1478.65343-1024.90845)/1159001.13914*100)</f>
        <v>3.9149657811094751E-2</v>
      </c>
      <c r="H63" s="33">
        <f>IF(OR(980597.75708="",2063.45752="",1478.65343=""),"-",(2063.45752-1478.65343)/980597.75708*100)</f>
        <v>5.9637510465189635E-2</v>
      </c>
      <c r="I63" s="60"/>
      <c r="J63" s="61"/>
      <c r="K63" s="32"/>
    </row>
    <row r="64" spans="1:11" ht="36" x14ac:dyDescent="0.2">
      <c r="A64" s="60" t="s">
        <v>290</v>
      </c>
      <c r="B64" s="61" t="s">
        <v>181</v>
      </c>
      <c r="C64" s="32">
        <v>9871.04414</v>
      </c>
      <c r="D64" s="33">
        <f>IF(OR(8057.26692="",9871.04414=""),"-",9871.04414/8057.26692*100)</f>
        <v>122.51107277453829</v>
      </c>
      <c r="E64" s="33">
        <f>IF(8057.26692="","-",8057.26692/980597.75708*100)</f>
        <v>0.82166891182708113</v>
      </c>
      <c r="F64" s="33">
        <f>IF(9871.04414="","-",9871.04414/1104707.78056*100)</f>
        <v>0.89354346133021301</v>
      </c>
      <c r="G64" s="33">
        <f>IF(OR(1159001.13914="",9673.17606="",8057.26692=""),"-",(8057.26692-9673.17606)/1159001.13914*100)</f>
        <v>-0.13942256702172301</v>
      </c>
      <c r="H64" s="33">
        <f>IF(OR(980597.75708="",9871.04414="",8057.26692=""),"-",(9871.04414-8057.26692)/980597.75708*100)</f>
        <v>0.1849664867071511</v>
      </c>
      <c r="I64" s="60"/>
      <c r="J64" s="61"/>
      <c r="K64" s="32"/>
    </row>
    <row r="65" spans="1:11" ht="26.25" customHeight="1" x14ac:dyDescent="0.2">
      <c r="A65" s="60" t="s">
        <v>291</v>
      </c>
      <c r="B65" s="61" t="s">
        <v>182</v>
      </c>
      <c r="C65" s="32">
        <v>852.45726999999999</v>
      </c>
      <c r="D65" s="33" t="s">
        <v>104</v>
      </c>
      <c r="E65" s="33">
        <f>IF(529.2491="","-",529.2491/980597.75708*100)</f>
        <v>5.3972089593187021E-2</v>
      </c>
      <c r="F65" s="33">
        <f>IF(852.45727="","-",852.45727/1104707.78056*100)</f>
        <v>7.7165860963509386E-2</v>
      </c>
      <c r="G65" s="33">
        <f>IF(OR(1159001.13914="",373.2696="",529.2491=""),"-",(529.2491-373.2696)/1159001.13914*100)</f>
        <v>1.3458097212548006E-2</v>
      </c>
      <c r="H65" s="33">
        <f>IF(OR(980597.75708="",852.45727="",529.2491=""),"-",(852.45727-529.2491)/980597.75708*100)</f>
        <v>3.2960321157825344E-2</v>
      </c>
      <c r="I65" s="60"/>
      <c r="J65" s="61"/>
      <c r="K65" s="32"/>
    </row>
    <row r="66" spans="1:11" ht="48" x14ac:dyDescent="0.2">
      <c r="A66" s="60" t="s">
        <v>292</v>
      </c>
      <c r="B66" s="61" t="s">
        <v>183</v>
      </c>
      <c r="C66" s="32">
        <v>1253.5781099999999</v>
      </c>
      <c r="D66" s="33">
        <f>IF(OR(911.90034="",1253.57811=""),"-",1253.57811/911.90034*100)</f>
        <v>137.46876221144956</v>
      </c>
      <c r="E66" s="33">
        <f>IF(911.90034="","-",911.90034/980597.75708*100)</f>
        <v>9.2994332631907553E-2</v>
      </c>
      <c r="F66" s="33">
        <f>IF(1253.57811="","-",1253.57811/1104707.78056*100)</f>
        <v>0.11347599175634794</v>
      </c>
      <c r="G66" s="33">
        <f>IF(OR(1159001.13914="",1571.2622="",911.90034=""),"-",(911.90034-1571.2622)/1159001.13914*100)</f>
        <v>-5.6890527345750355E-2</v>
      </c>
      <c r="H66" s="33">
        <f>IF(OR(980597.75708="",1253.57811="",911.90034=""),"-",(1253.57811-911.90034)/980597.75708*100)</f>
        <v>3.4843825363973867E-2</v>
      </c>
      <c r="I66" s="60"/>
      <c r="J66" s="61"/>
      <c r="K66" s="32"/>
    </row>
    <row r="67" spans="1:11" ht="48" x14ac:dyDescent="0.2">
      <c r="A67" s="60" t="s">
        <v>293</v>
      </c>
      <c r="B67" s="61" t="s">
        <v>184</v>
      </c>
      <c r="C67" s="32">
        <v>244740.63255000001</v>
      </c>
      <c r="D67" s="33">
        <f>IF(OR(166959.20555="",244740.63255=""),"-",244740.63255/166959.20555*100)</f>
        <v>146.58708499706322</v>
      </c>
      <c r="E67" s="33">
        <f>IF(166959.20555="","-",166959.20555/980597.75708*100)</f>
        <v>17.02626834953886</v>
      </c>
      <c r="F67" s="33">
        <f>IF(244740.63255="","-",244740.63255/1104707.78056*100)</f>
        <v>22.15433229101869</v>
      </c>
      <c r="G67" s="33">
        <f>IF(OR(1159001.13914="",263693.20947="",166959.20555=""),"-",(166959.20555-263693.20947)/1159001.13914*100)</f>
        <v>-8.3463251806446337</v>
      </c>
      <c r="H67" s="33">
        <f>IF(OR(980597.75708="",244740.63255="",166959.20555=""),"-",(244740.63255-166959.20555)/980597.75708*100)</f>
        <v>7.9320421078277432</v>
      </c>
      <c r="I67" s="60"/>
      <c r="J67" s="61"/>
      <c r="K67" s="32"/>
    </row>
    <row r="68" spans="1:11" ht="24" x14ac:dyDescent="0.2">
      <c r="A68" s="60" t="s">
        <v>294</v>
      </c>
      <c r="B68" s="61" t="s">
        <v>185</v>
      </c>
      <c r="C68" s="32">
        <v>21588.803980000001</v>
      </c>
      <c r="D68" s="33" t="s">
        <v>228</v>
      </c>
      <c r="E68" s="33">
        <f>IF(9577.18689="","-",9577.18689/980597.75708*100)</f>
        <v>0.97666824351288672</v>
      </c>
      <c r="F68" s="33">
        <f>IF(21588.80398="","-",21588.80398/1104707.78056*100)</f>
        <v>1.9542547232767902</v>
      </c>
      <c r="G68" s="33">
        <f>IF(OR(1159001.13914="",11023.13222="",9577.18689=""),"-",(9577.18689-11023.13222)/1159001.13914*100)</f>
        <v>-0.12475788687083744</v>
      </c>
      <c r="H68" s="33">
        <f>IF(OR(980597.75708="",21588.80398="",9577.18689=""),"-",(21588.80398-9577.18689)/980597.75708*100)</f>
        <v>1.2249280607950706</v>
      </c>
      <c r="I68" s="60"/>
      <c r="J68" s="61"/>
      <c r="K68" s="32"/>
    </row>
    <row r="69" spans="1:11" x14ac:dyDescent="0.2">
      <c r="A69" s="60" t="s">
        <v>295</v>
      </c>
      <c r="B69" s="61" t="s">
        <v>33</v>
      </c>
      <c r="C69" s="32">
        <v>326.76825000000002</v>
      </c>
      <c r="D69" s="33" t="s">
        <v>320</v>
      </c>
      <c r="E69" s="33">
        <f>IF(138.31759="","-",138.31759/980597.75708*100)</f>
        <v>1.4105436097659322E-2</v>
      </c>
      <c r="F69" s="33">
        <f>IF(326.76825="","-",326.76825/1104707.78056*100)</f>
        <v>2.9579609716730175E-2</v>
      </c>
      <c r="G69" s="33">
        <f>IF(OR(1159001.13914="",2743.94719="",138.31759=""),"-",(138.31759-2743.94719)/1159001.13914*100)</f>
        <v>-0.22481682821583973</v>
      </c>
      <c r="H69" s="33">
        <f>IF(OR(980597.75708="",326.76825="",138.31759=""),"-",(326.76825-138.31759)/980597.75708*100)</f>
        <v>1.9217937083719609E-2</v>
      </c>
      <c r="I69" s="60"/>
      <c r="J69" s="61"/>
      <c r="K69" s="32"/>
    </row>
    <row r="70" spans="1:11" x14ac:dyDescent="0.2">
      <c r="A70" s="57" t="s">
        <v>296</v>
      </c>
      <c r="B70" s="58" t="s">
        <v>34</v>
      </c>
      <c r="C70" s="29">
        <v>237532.21961999999</v>
      </c>
      <c r="D70" s="30">
        <f>IF(178301.88886="","-",237532.21962/178301.88886*100)</f>
        <v>133.21912691934898</v>
      </c>
      <c r="E70" s="30">
        <f>IF(178301.88886="","-",178301.88886/980597.75708*100)</f>
        <v>18.182979470699891</v>
      </c>
      <c r="F70" s="30">
        <f>IF(237532.21962="","-",237532.21962/1104707.78056*100)</f>
        <v>21.5018146699021</v>
      </c>
      <c r="G70" s="30">
        <f>IF(1159001.13914="","-",(178301.88886-234425.12197)/1159001.13914*100)</f>
        <v>-4.8423794606142021</v>
      </c>
      <c r="H70" s="30">
        <f>IF(980597.75708="","-",(237532.21962-178301.88886)/980597.75708*100)</f>
        <v>6.0402270280909685</v>
      </c>
      <c r="I70" s="60"/>
      <c r="J70" s="61"/>
      <c r="K70" s="32"/>
    </row>
    <row r="71" spans="1:11" ht="36" x14ac:dyDescent="0.2">
      <c r="A71" s="60" t="s">
        <v>297</v>
      </c>
      <c r="B71" s="61" t="s">
        <v>211</v>
      </c>
      <c r="C71" s="32">
        <v>7155.0264699999998</v>
      </c>
      <c r="D71" s="33" t="s">
        <v>216</v>
      </c>
      <c r="E71" s="33">
        <f>IF(4051.68481="","-",4051.68481/980597.75708*100)</f>
        <v>0.41318520063364289</v>
      </c>
      <c r="F71" s="33">
        <f>IF(7155.02647="","-",7155.02647/1104707.78056*100)</f>
        <v>0.64768498927136764</v>
      </c>
      <c r="G71" s="33">
        <f>IF(OR(1159001.13914="",3477.76051="",4051.68481=""),"-",(4051.68481-3477.76051)/1159001.13914*100)</f>
        <v>4.9518872813693902E-2</v>
      </c>
      <c r="H71" s="33">
        <f>IF(OR(980597.75708="",7155.02647="",4051.68481=""),"-",(7155.02647-4051.68481)/980597.75708*100)</f>
        <v>0.31647448075356138</v>
      </c>
      <c r="I71" s="57"/>
      <c r="J71" s="58"/>
      <c r="K71" s="29"/>
    </row>
    <row r="72" spans="1:11" x14ac:dyDescent="0.2">
      <c r="A72" s="60" t="s">
        <v>298</v>
      </c>
      <c r="B72" s="61" t="s">
        <v>186</v>
      </c>
      <c r="C72" s="32">
        <v>67675.049629999994</v>
      </c>
      <c r="D72" s="33" t="s">
        <v>104</v>
      </c>
      <c r="E72" s="33">
        <f>IF(41390.42412="","-",41390.42412/980597.75708*100)</f>
        <v>4.2209380779384391</v>
      </c>
      <c r="F72" s="33">
        <f>IF(67675.04963="","-",67675.04963/1104707.78056*100)</f>
        <v>6.1260589289679892</v>
      </c>
      <c r="G72" s="33">
        <f>IF(OR(1159001.13914="",59668.02346="",41390.42412=""),"-",(41390.42412-59668.02346)/1159001.13914*100)</f>
        <v>-1.5770130608812261</v>
      </c>
      <c r="H72" s="33">
        <f>IF(OR(980597.75708="",67675.04963="",41390.42412=""),"-",(67675.04963-41390.42412)/980597.75708*100)</f>
        <v>2.6804696747695718</v>
      </c>
      <c r="I72" s="60"/>
      <c r="J72" s="61"/>
      <c r="K72" s="32"/>
    </row>
    <row r="73" spans="1:11" x14ac:dyDescent="0.2">
      <c r="A73" s="60" t="s">
        <v>299</v>
      </c>
      <c r="B73" s="61" t="s">
        <v>187</v>
      </c>
      <c r="C73" s="32">
        <v>6396.4447200000004</v>
      </c>
      <c r="D73" s="33">
        <f>IF(OR(4774.03943="",6396.44472=""),"-",6396.44472/4774.03943*100)</f>
        <v>133.9839105602025</v>
      </c>
      <c r="E73" s="33">
        <f>IF(4774.03943="","-",4774.03943/980597.75708*100)</f>
        <v>0.48684992348096101</v>
      </c>
      <c r="F73" s="33">
        <f>IF(6396.44472="","-",6396.44472/1104707.78056*100)</f>
        <v>0.5790168977317699</v>
      </c>
      <c r="G73" s="33">
        <f>IF(OR(1159001.13914="",5135.09427="",4774.03943=""),"-",(4774.03943-5135.09427)/1159001.13914*100)</f>
        <v>-3.1152242030401199E-2</v>
      </c>
      <c r="H73" s="33">
        <f>IF(OR(980597.75708="",6396.44472="",4774.03943=""),"-",(6396.44472-4774.03943)/980597.75708*100)</f>
        <v>0.16545064255818404</v>
      </c>
      <c r="I73" s="60"/>
      <c r="J73" s="61"/>
      <c r="K73" s="32"/>
    </row>
    <row r="74" spans="1:11" x14ac:dyDescent="0.2">
      <c r="A74" s="60" t="s">
        <v>300</v>
      </c>
      <c r="B74" s="61" t="s">
        <v>188</v>
      </c>
      <c r="C74" s="32">
        <v>105401.87046999999</v>
      </c>
      <c r="D74" s="33">
        <f>IF(OR(84245.68681="",105401.87047=""),"-",105401.87047/84245.68681*100)</f>
        <v>125.11248285946522</v>
      </c>
      <c r="E74" s="33">
        <f>IF(84245.68681="","-",84245.68681/980597.75708*100)</f>
        <v>8.5912583627424102</v>
      </c>
      <c r="F74" s="33">
        <f>IF(105401.87047="","-",105401.87047/1104707.78056*100)</f>
        <v>9.5411539888466717</v>
      </c>
      <c r="G74" s="33">
        <f>IF(OR(1159001.13914="",115043.66765="",84245.68681=""),"-",(84245.68681-115043.66765)/1159001.13914*100)</f>
        <v>-2.6572865030014263</v>
      </c>
      <c r="H74" s="33">
        <f>IF(OR(980597.75708="",105401.87047="",84245.68681=""),"-",(105401.87047-84245.68681)/980597.75708*100)</f>
        <v>2.1574782837560589</v>
      </c>
      <c r="I74" s="60"/>
      <c r="J74" s="61"/>
      <c r="K74" s="32"/>
    </row>
    <row r="75" spans="1:11" x14ac:dyDescent="0.2">
      <c r="A75" s="60" t="s">
        <v>301</v>
      </c>
      <c r="B75" s="61" t="s">
        <v>189</v>
      </c>
      <c r="C75" s="32">
        <v>14500.672860000001</v>
      </c>
      <c r="D75" s="33">
        <f>IF(OR(12627.2013="",14500.67286=""),"-",14500.67286/12627.2013*100)</f>
        <v>114.83679174418484</v>
      </c>
      <c r="E75" s="33">
        <f>IF(12627.2013="","-",12627.2013/980597.75708*100)</f>
        <v>1.2877044852316377</v>
      </c>
      <c r="F75" s="33">
        <f>IF(14500.67286="","-",14500.67286/1104707.78056*100)</f>
        <v>1.3126252132169558</v>
      </c>
      <c r="G75" s="33">
        <f>IF(OR(1159001.13914="",14051.50732="",12627.2013=""),"-",(12627.2013-14051.50732)/1159001.13914*100)</f>
        <v>-0.12289082140651397</v>
      </c>
      <c r="H75" s="33">
        <f>IF(OR(980597.75708="",14500.67286="",12627.2013=""),"-",(14500.67286-12627.2013)/980597.75708*100)</f>
        <v>0.19105403275434543</v>
      </c>
      <c r="I75" s="60"/>
      <c r="J75" s="61"/>
      <c r="K75" s="32"/>
    </row>
    <row r="76" spans="1:11" ht="24" x14ac:dyDescent="0.2">
      <c r="A76" s="60" t="s">
        <v>302</v>
      </c>
      <c r="B76" s="61" t="s">
        <v>212</v>
      </c>
      <c r="C76" s="32">
        <v>10636.79837</v>
      </c>
      <c r="D76" s="33" t="s">
        <v>229</v>
      </c>
      <c r="E76" s="33">
        <f>IF(6979.50401="","-",6979.50401/980597.75708*100)</f>
        <v>0.71176014421890943</v>
      </c>
      <c r="F76" s="33">
        <f>IF(10636.79837="","-",10636.79837/1104707.78056*100)</f>
        <v>0.96286081778187338</v>
      </c>
      <c r="G76" s="33">
        <f>IF(OR(1159001.13914="",9030.14225="",6979.50401=""),"-",(6979.50401-9030.14225)/1159001.13914*100)</f>
        <v>-0.17693151203644303</v>
      </c>
      <c r="H76" s="33">
        <f>IF(OR(980597.75708="",10636.79837="",6979.50401=""),"-",(10636.79837-6979.50401)/980597.75708*100)</f>
        <v>0.3729658092315653</v>
      </c>
      <c r="I76" s="60"/>
      <c r="J76" s="61"/>
      <c r="K76" s="32"/>
    </row>
    <row r="77" spans="1:11" ht="24" x14ac:dyDescent="0.2">
      <c r="A77" s="60" t="s">
        <v>303</v>
      </c>
      <c r="B77" s="61" t="s">
        <v>190</v>
      </c>
      <c r="C77" s="32">
        <v>1350.6172799999999</v>
      </c>
      <c r="D77" s="33">
        <f>IF(OR(1242.47283="",1350.61728=""),"-",1350.61728/1242.47283*100)</f>
        <v>108.70396900349122</v>
      </c>
      <c r="E77" s="33">
        <f>IF(1242.47283="","-",1242.47283/980597.75708*100)</f>
        <v>0.12670565693519484</v>
      </c>
      <c r="F77" s="33">
        <f>IF(1350.61728="","-",1350.61728/1104707.78056*100)</f>
        <v>0.12226014008114826</v>
      </c>
      <c r="G77" s="33">
        <f>IF(OR(1159001.13914="",1658.35711="",1242.47283=""),"-",(1242.47283-1658.35711)/1159001.13914*100)</f>
        <v>-3.5882991479075997E-2</v>
      </c>
      <c r="H77" s="33">
        <f>IF(OR(980597.75708="",1350.61728="",1242.47283=""),"-",(1350.61728-1242.47283)/980597.75708*100)</f>
        <v>1.1028421105309267E-2</v>
      </c>
      <c r="I77" s="60"/>
      <c r="J77" s="61"/>
      <c r="K77" s="32"/>
    </row>
    <row r="78" spans="1:11" ht="15.75" customHeight="1" x14ac:dyDescent="0.2">
      <c r="A78" s="60" t="s">
        <v>304</v>
      </c>
      <c r="B78" s="61" t="s">
        <v>35</v>
      </c>
      <c r="C78" s="32">
        <v>24415.739819999999</v>
      </c>
      <c r="D78" s="33">
        <f>IF(OR(22990.87555="",24415.73982=""),"-",24415.73982/22990.87555*100)</f>
        <v>106.19752069424774</v>
      </c>
      <c r="E78" s="33">
        <f>IF(22990.87555="","-",22990.87555/980597.75708*100)</f>
        <v>2.3445776195186974</v>
      </c>
      <c r="F78" s="33">
        <f>IF(24415.73982="","-",24415.73982/1104707.78056*100)</f>
        <v>2.210153694004322</v>
      </c>
      <c r="G78" s="33">
        <f>IF(OR(1159001.13914="",26360.5694="",22990.87555=""),"-",(22990.87555-26360.5694)/1159001.13914*100)</f>
        <v>-0.29074120259280967</v>
      </c>
      <c r="H78" s="33">
        <f>IF(OR(980597.75708="",24415.73982="",22990.87555=""),"-",(24415.73982-22990.87555)/980597.75708*100)</f>
        <v>0.14530568316237272</v>
      </c>
      <c r="I78" s="60"/>
      <c r="J78" s="61"/>
      <c r="K78" s="32"/>
    </row>
    <row r="79" spans="1:11" ht="24" x14ac:dyDescent="0.2">
      <c r="A79" s="63" t="s">
        <v>308</v>
      </c>
      <c r="B79" s="64" t="s">
        <v>191</v>
      </c>
      <c r="C79" s="65" t="s">
        <v>317</v>
      </c>
      <c r="D79" s="80" t="s">
        <v>22</v>
      </c>
      <c r="E79" s="80">
        <f>IF(187.21487="","-",187.21487/980597.75708*100)</f>
        <v>1.9091912932524324E-2</v>
      </c>
      <c r="F79" s="80" t="s">
        <v>22</v>
      </c>
      <c r="G79" s="80">
        <f>IF(1159001.13914="","-",(187.21487-398.42143)/1159001.13914*100)</f>
        <v>-1.8223153788849519E-2</v>
      </c>
      <c r="H79" s="80" t="s">
        <v>22</v>
      </c>
      <c r="I79" s="60"/>
      <c r="J79" s="61"/>
      <c r="K79" s="32"/>
    </row>
    <row r="80" spans="1:11" x14ac:dyDescent="0.2">
      <c r="A80" s="1" t="s">
        <v>313</v>
      </c>
      <c r="B80" s="3"/>
      <c r="C80" s="3"/>
      <c r="D80" s="3"/>
      <c r="E80" s="3"/>
      <c r="I80" s="46"/>
      <c r="J80" s="46"/>
      <c r="K80" s="46"/>
    </row>
    <row r="81" spans="1:5" ht="13.5" x14ac:dyDescent="0.2">
      <c r="A81" s="2" t="s">
        <v>382</v>
      </c>
      <c r="B81" s="2"/>
      <c r="C81" s="2"/>
      <c r="D81" s="2"/>
      <c r="E81" s="2"/>
    </row>
  </sheetData>
  <mergeCells count="12">
    <mergeCell ref="A81:E81"/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H82"/>
  <sheetViews>
    <sheetView zoomScaleNormal="100" workbookViewId="0">
      <selection sqref="A1:XFD1048576"/>
    </sheetView>
  </sheetViews>
  <sheetFormatPr defaultRowHeight="12" x14ac:dyDescent="0.2"/>
  <cols>
    <col min="1" max="1" width="5.75" style="7" customWidth="1"/>
    <col min="2" max="2" width="26" style="7" customWidth="1"/>
    <col min="3" max="3" width="11.25" style="7" customWidth="1"/>
    <col min="4" max="4" width="11.125" style="7" customWidth="1"/>
    <col min="5" max="5" width="7.625" style="7" customWidth="1"/>
    <col min="6" max="6" width="7.75" style="7" customWidth="1"/>
    <col min="7" max="7" width="8.625" style="7" customWidth="1"/>
    <col min="8" max="8" width="8.375" style="7" customWidth="1"/>
    <col min="9" max="16384" width="9" style="7"/>
  </cols>
  <sheetData>
    <row r="1" spans="1:8" x14ac:dyDescent="0.2">
      <c r="B1" s="40" t="s">
        <v>387</v>
      </c>
      <c r="C1" s="40"/>
      <c r="D1" s="40"/>
      <c r="E1" s="40"/>
      <c r="F1" s="40"/>
      <c r="G1" s="40"/>
      <c r="H1" s="40"/>
    </row>
    <row r="2" spans="1:8" x14ac:dyDescent="0.2">
      <c r="B2" s="40" t="s">
        <v>312</v>
      </c>
      <c r="C2" s="40"/>
      <c r="D2" s="40"/>
      <c r="E2" s="40"/>
      <c r="F2" s="40"/>
      <c r="G2" s="40"/>
      <c r="H2" s="40"/>
    </row>
    <row r="3" spans="1:8" x14ac:dyDescent="0.2">
      <c r="B3" s="41"/>
    </row>
    <row r="4" spans="1:8" ht="57" customHeight="1" x14ac:dyDescent="0.2">
      <c r="A4" s="67" t="s">
        <v>235</v>
      </c>
      <c r="B4" s="68"/>
      <c r="C4" s="69" t="s">
        <v>329</v>
      </c>
      <c r="D4" s="44"/>
      <c r="E4" s="69" t="s">
        <v>0</v>
      </c>
      <c r="F4" s="44"/>
      <c r="G4" s="45" t="s">
        <v>119</v>
      </c>
      <c r="H4" s="70"/>
    </row>
    <row r="5" spans="1:8" ht="19.5" customHeight="1" x14ac:dyDescent="0.2">
      <c r="A5" s="71"/>
      <c r="B5" s="72"/>
      <c r="C5" s="73" t="s">
        <v>110</v>
      </c>
      <c r="D5" s="42" t="s">
        <v>334</v>
      </c>
      <c r="E5" s="74" t="s">
        <v>330</v>
      </c>
      <c r="F5" s="74"/>
      <c r="G5" s="74" t="s">
        <v>388</v>
      </c>
      <c r="H5" s="69"/>
    </row>
    <row r="6" spans="1:8" ht="25.5" customHeight="1" x14ac:dyDescent="0.2">
      <c r="A6" s="75"/>
      <c r="B6" s="76"/>
      <c r="C6" s="77"/>
      <c r="D6" s="47"/>
      <c r="E6" s="78">
        <v>2020</v>
      </c>
      <c r="F6" s="78">
        <v>2021</v>
      </c>
      <c r="G6" s="78">
        <v>2020</v>
      </c>
      <c r="H6" s="49">
        <v>2021</v>
      </c>
    </row>
    <row r="7" spans="1:8" x14ac:dyDescent="0.2">
      <c r="A7" s="79"/>
      <c r="B7" s="52" t="s">
        <v>129</v>
      </c>
      <c r="C7" s="23">
        <f>IF(2676670.83235="","-",2676670.83235)</f>
        <v>2676670.8323499998</v>
      </c>
      <c r="D7" s="24">
        <f>IF(1980077.64559="","-",2676670.83235/1980077.64559*100)</f>
        <v>135.18009449333675</v>
      </c>
      <c r="E7" s="24">
        <v>100</v>
      </c>
      <c r="F7" s="24">
        <v>100</v>
      </c>
      <c r="G7" s="24">
        <f>IF(2362843.47408="","-",(1980077.64559-2362843.47408)/2362843.47408*100)</f>
        <v>-16.199373030371138</v>
      </c>
      <c r="H7" s="24">
        <f>IF(1980077.64559="","-",(2676670.83235-1980077.64559)/1980077.64559*100)</f>
        <v>35.180094493336753</v>
      </c>
    </row>
    <row r="8" spans="1:8" ht="12" customHeight="1" x14ac:dyDescent="0.2">
      <c r="A8" s="57" t="s">
        <v>236</v>
      </c>
      <c r="B8" s="58" t="s">
        <v>192</v>
      </c>
      <c r="C8" s="29">
        <f>IF(319630.35324="","-",319630.35324)</f>
        <v>319630.35324000003</v>
      </c>
      <c r="D8" s="30">
        <f>IF(271298.23095="","-",319630.35324/271298.23095*100)</f>
        <v>117.81512622502414</v>
      </c>
      <c r="E8" s="30">
        <f>IF(271298.23095="","-",271298.23095/1980077.64559*100)</f>
        <v>13.701393556673469</v>
      </c>
      <c r="F8" s="30">
        <f>IF(319630.35324="","-",319630.35324/2676670.83235*100)</f>
        <v>11.941339569175884</v>
      </c>
      <c r="G8" s="30">
        <f>IF(2362843.47408="","-",(271298.23095-258102.22142)/2362843.47408*100)</f>
        <v>0.55848005484739216</v>
      </c>
      <c r="H8" s="30">
        <f>IF(1980077.64559="","-",(319630.35324-271298.23095)/1980077.64559*100)</f>
        <v>2.4409205567087042</v>
      </c>
    </row>
    <row r="9" spans="1:8" x14ac:dyDescent="0.2">
      <c r="A9" s="60" t="s">
        <v>237</v>
      </c>
      <c r="B9" s="61" t="s">
        <v>23</v>
      </c>
      <c r="C9" s="32">
        <f>IF(2071.68156="","-",2071.68156)</f>
        <v>2071.68156</v>
      </c>
      <c r="D9" s="33">
        <f>IF(OR(3176.2409="",2071.68156=""),"-",2071.68156/3176.2409*100)</f>
        <v>65.224320989003076</v>
      </c>
      <c r="E9" s="33">
        <f>IF(3176.2409="","-",3176.2409/1980077.64559*100)</f>
        <v>0.16040991660473905</v>
      </c>
      <c r="F9" s="33">
        <f>IF(2071.68156="","-",2071.68156/2676670.83235*100)</f>
        <v>7.7397696233763427E-2</v>
      </c>
      <c r="G9" s="33">
        <f>IF(OR(2362843.47408="",2136.57268="",3176.2409=""),"-",(3176.2409-2136.57268)/2362843.47408*100)</f>
        <v>4.4000723340542315E-2</v>
      </c>
      <c r="H9" s="33">
        <f>IF(OR(1980077.64559="",2071.68156="",3176.2409=""),"-",(2071.68156-3176.2409)/1980077.64559*100)</f>
        <v>-5.5783637700271914E-2</v>
      </c>
    </row>
    <row r="10" spans="1:8" ht="14.25" customHeight="1" x14ac:dyDescent="0.2">
      <c r="A10" s="60" t="s">
        <v>238</v>
      </c>
      <c r="B10" s="61" t="s">
        <v>193</v>
      </c>
      <c r="C10" s="32">
        <f>IF(21958.34901="","-",21958.34901)</f>
        <v>21958.349010000002</v>
      </c>
      <c r="D10" s="33">
        <f>IF(OR(14679.95537="",21958.34901=""),"-",21958.34901/14679.95537*100)</f>
        <v>149.58048888128195</v>
      </c>
      <c r="E10" s="33">
        <f>IF(14679.95537="","-",14679.95537/1980077.64559*100)</f>
        <v>0.74138281408787077</v>
      </c>
      <c r="F10" s="33">
        <f>IF(21958.34901="","-",21958.34901/2676670.83235*100)</f>
        <v>0.82036045465932517</v>
      </c>
      <c r="G10" s="33">
        <f>IF(OR(2362843.47408="",17557.57685="",14679.95537=""),"-",(14679.95537-17557.57685)/2362843.47408*100)</f>
        <v>-0.12178637779298675</v>
      </c>
      <c r="H10" s="33">
        <f>IF(OR(1980077.64559="",21958.34901="",14679.95537=""),"-",(21958.34901-14679.95537)/1980077.64559*100)</f>
        <v>0.36758122370657198</v>
      </c>
    </row>
    <row r="11" spans="1:8" s="36" customFormat="1" x14ac:dyDescent="0.2">
      <c r="A11" s="60" t="s">
        <v>239</v>
      </c>
      <c r="B11" s="61" t="s">
        <v>194</v>
      </c>
      <c r="C11" s="32">
        <f>IF(36464.31252="","-",36464.31252)</f>
        <v>36464.312519999999</v>
      </c>
      <c r="D11" s="33">
        <f>IF(OR(32770.64762="",36464.31252=""),"-",36464.31252/32770.64762*100)</f>
        <v>111.27126000935587</v>
      </c>
      <c r="E11" s="33">
        <f>IF(32770.64762="","-",32770.64762/1980077.64559*100)</f>
        <v>1.6550183116801662</v>
      </c>
      <c r="F11" s="33">
        <f>IF(36464.31252="","-",36464.31252/2676670.83235*100)</f>
        <v>1.362300962796607</v>
      </c>
      <c r="G11" s="33">
        <f>IF(OR(2362843.47408="",25498.20543="",32770.64762=""),"-",(32770.64762-25498.20543)/2362843.47408*100)</f>
        <v>0.30778349348052392</v>
      </c>
      <c r="H11" s="33">
        <f>IF(OR(1980077.64559="",36464.31252="",32770.64762=""),"-",(36464.31252-32770.64762)/1980077.64559*100)</f>
        <v>0.18654141711192349</v>
      </c>
    </row>
    <row r="12" spans="1:8" s="36" customFormat="1" x14ac:dyDescent="0.2">
      <c r="A12" s="60" t="s">
        <v>240</v>
      </c>
      <c r="B12" s="61" t="s">
        <v>195</v>
      </c>
      <c r="C12" s="32">
        <f>IF(28585.21737="","-",28585.21737)</f>
        <v>28585.217369999998</v>
      </c>
      <c r="D12" s="33">
        <f>IF(OR(22030.14428="",28585.21737=""),"-",28585.21737/22030.14428*100)</f>
        <v>129.7550166112666</v>
      </c>
      <c r="E12" s="33">
        <f>IF(22030.14428="","-",22030.14428/1980077.64559*100)</f>
        <v>1.1125899193430731</v>
      </c>
      <c r="F12" s="33">
        <f>IF(28585.21737="","-",28585.21737/2676670.83235*100)</f>
        <v>1.0679392110722643</v>
      </c>
      <c r="G12" s="33">
        <f>IF(OR(2362843.47408="",21632.92878="",22030.14428=""),"-",(22030.14428-21632.92878)/2362843.47408*100)</f>
        <v>1.6810910428785911E-2</v>
      </c>
      <c r="H12" s="33">
        <f>IF(OR(1980077.64559="",28585.21737="",22030.14428=""),"-",(28585.21737-22030.14428)/1980077.64559*100)</f>
        <v>0.331051315315809</v>
      </c>
    </row>
    <row r="13" spans="1:8" s="36" customFormat="1" ht="24" x14ac:dyDescent="0.2">
      <c r="A13" s="60" t="s">
        <v>241</v>
      </c>
      <c r="B13" s="61" t="s">
        <v>196</v>
      </c>
      <c r="C13" s="32">
        <f>IF(48958.1797="","-",48958.1797)</f>
        <v>48958.179700000001</v>
      </c>
      <c r="D13" s="33">
        <f>IF(OR(45101.08169="",48958.1797=""),"-",48958.1797/45101.08169*100)</f>
        <v>108.55211863101547</v>
      </c>
      <c r="E13" s="33">
        <f>IF(45101.08169="","-",45101.08169/1980077.64559*100)</f>
        <v>2.2777430870172424</v>
      </c>
      <c r="F13" s="33">
        <f>IF(48958.1797="","-",48958.1797/2676670.83235*100)</f>
        <v>1.8290698694922027</v>
      </c>
      <c r="G13" s="33">
        <f>IF(OR(2362843.47408="",39441.26775="",45101.08169=""),"-",(45101.08169-39441.26775)/2362843.47408*100)</f>
        <v>0.23953401916323352</v>
      </c>
      <c r="H13" s="33">
        <f>IF(OR(1980077.64559="",48958.1797="",45101.08169=""),"-",(48958.1797-45101.08169)/1980077.64559*100)</f>
        <v>0.19479529091146874</v>
      </c>
    </row>
    <row r="14" spans="1:8" s="36" customFormat="1" ht="14.25" customHeight="1" x14ac:dyDescent="0.2">
      <c r="A14" s="60" t="s">
        <v>242</v>
      </c>
      <c r="B14" s="61" t="s">
        <v>197</v>
      </c>
      <c r="C14" s="32">
        <f>IF(88004.67197="","-",88004.67197)</f>
        <v>88004.671969999996</v>
      </c>
      <c r="D14" s="33">
        <f>IF(OR(79631.40685="",88004.67197=""),"-",88004.67197/79631.40685*100)</f>
        <v>110.51502849343417</v>
      </c>
      <c r="E14" s="33">
        <f>IF(79631.40685="","-",79631.40685/1980077.64559*100)</f>
        <v>4.0216305167301849</v>
      </c>
      <c r="F14" s="33">
        <f>IF(88004.67197="","-",88004.67197/2676670.83235*100)</f>
        <v>3.2878406603600094</v>
      </c>
      <c r="G14" s="33">
        <f>IF(OR(2362843.47408="",82147.33764="",79631.40685=""),"-",(79631.40685-82147.33764)/2362843.47408*100)</f>
        <v>-0.10647894444127767</v>
      </c>
      <c r="H14" s="33">
        <f>IF(OR(1980077.64559="",88004.67197="",79631.40685=""),"-",(88004.67197-79631.40685)/1980077.64559*100)</f>
        <v>0.42287559473482317</v>
      </c>
    </row>
    <row r="15" spans="1:8" s="36" customFormat="1" ht="24" x14ac:dyDescent="0.2">
      <c r="A15" s="60" t="s">
        <v>243</v>
      </c>
      <c r="B15" s="61" t="s">
        <v>155</v>
      </c>
      <c r="C15" s="32">
        <f>IF(8442.6546="","-",8442.6546)</f>
        <v>8442.6545999999998</v>
      </c>
      <c r="D15" s="33">
        <f>IF(OR(7761.51157="",8442.6546=""),"-",8442.6546/7761.51157*100)</f>
        <v>108.77590690752524</v>
      </c>
      <c r="E15" s="33">
        <f>IF(7761.51157="","-",7761.51157/1980077.64559*100)</f>
        <v>0.39198016235809358</v>
      </c>
      <c r="F15" s="33">
        <f>IF(8442.6546="","-",8442.6546/2676670.83235*100)</f>
        <v>0.31541624386393896</v>
      </c>
      <c r="G15" s="33">
        <f>IF(OR(2362843.47408="",6888.87857="",7761.51157=""),"-",(7761.51157-6888.87857)/2362843.47408*100)</f>
        <v>3.6931477246488764E-2</v>
      </c>
      <c r="H15" s="33">
        <f>IF(OR(1980077.64559="",8442.6546="",7761.51157=""),"-",(8442.6546-7761.51157)/1980077.64559*100)</f>
        <v>3.4399814144512562E-2</v>
      </c>
    </row>
    <row r="16" spans="1:8" s="36" customFormat="1" ht="24" x14ac:dyDescent="0.2">
      <c r="A16" s="60" t="s">
        <v>244</v>
      </c>
      <c r="B16" s="61" t="s">
        <v>198</v>
      </c>
      <c r="C16" s="32">
        <f>IF(24682.80669="","-",24682.80669)</f>
        <v>24682.806690000001</v>
      </c>
      <c r="D16" s="33">
        <f>IF(OR(19847.57323="",24682.80669=""),"-",24682.80669/19847.57323*100)</f>
        <v>124.36183710707486</v>
      </c>
      <c r="E16" s="33">
        <f>IF(19847.57323="","-",19847.57323/1980077.64559*100)</f>
        <v>1.0023633807595487</v>
      </c>
      <c r="F16" s="33">
        <f>IF(24682.80669="","-",24682.80669/2676670.83235*100)</f>
        <v>0.92214576374822965</v>
      </c>
      <c r="G16" s="33">
        <f>IF(OR(2362843.47408="",20300.94035="",19847.57323=""),"-",(19847.57323-20300.94035)/2362843.47408*100)</f>
        <v>-1.9187353075790288E-2</v>
      </c>
      <c r="H16" s="33">
        <f>IF(OR(1980077.64559="",24682.80669="",19847.57323=""),"-",(24682.80669-19847.57323)/1980077.64559*100)</f>
        <v>0.24419413404160997</v>
      </c>
    </row>
    <row r="17" spans="1:8" s="36" customFormat="1" ht="24" x14ac:dyDescent="0.2">
      <c r="A17" s="60" t="s">
        <v>245</v>
      </c>
      <c r="B17" s="61" t="s">
        <v>156</v>
      </c>
      <c r="C17" s="32">
        <f>IF(20065.01386="","-",20065.01386)</f>
        <v>20065.013859999999</v>
      </c>
      <c r="D17" s="33">
        <f>IF(OR(14911.63105="",20065.01386=""),"-",20065.01386/14911.63105*100)</f>
        <v>134.55948442340249</v>
      </c>
      <c r="E17" s="33">
        <f>IF(14911.63105="","-",14911.63105/1980077.64559*100)</f>
        <v>0.75308314717915059</v>
      </c>
      <c r="F17" s="33">
        <f>IF(20065.01386="","-",20065.01386/2676670.83235*100)</f>
        <v>0.74962575216556593</v>
      </c>
      <c r="G17" s="33">
        <f>IF(OR(2362843.47408="",13765.99812="",14911.63105=""),"-",(14911.63105-13765.99812)/2362843.47408*100)</f>
        <v>4.8485350069414353E-2</v>
      </c>
      <c r="H17" s="33">
        <f>IF(OR(1980077.64559="",20065.01386="",14911.63105=""),"-",(20065.01386-14911.63105)/1980077.64559*100)</f>
        <v>0.26026165294464776</v>
      </c>
    </row>
    <row r="18" spans="1:8" s="36" customFormat="1" ht="24" x14ac:dyDescent="0.2">
      <c r="A18" s="60" t="s">
        <v>246</v>
      </c>
      <c r="B18" s="61" t="s">
        <v>199</v>
      </c>
      <c r="C18" s="32">
        <f>IF(40397.46596="","-",40397.46596)</f>
        <v>40397.465960000001</v>
      </c>
      <c r="D18" s="33">
        <f>IF(OR(31388.03839="",40397.46596=""),"-",40397.46596/31388.03839*100)</f>
        <v>128.70337884150905</v>
      </c>
      <c r="E18" s="33">
        <f>IF(31388.03839="","-",31388.03839/1980077.64559*100)</f>
        <v>1.5851923009133999</v>
      </c>
      <c r="F18" s="33">
        <f>IF(40397.46596="","-",40397.46596/2676670.83235*100)</f>
        <v>1.5092429547839767</v>
      </c>
      <c r="G18" s="33">
        <f>IF(OR(2362843.47408="",28732.51525="",31388.03839=""),"-",(31388.03839-28732.51525)/2362843.47408*100)</f>
        <v>0.11238675642845784</v>
      </c>
      <c r="H18" s="33">
        <f>IF(OR(1980077.64559="",40397.46596="",31388.03839=""),"-",(40397.46596-31388.03839)/1980077.64559*100)</f>
        <v>0.45500375149760747</v>
      </c>
    </row>
    <row r="19" spans="1:8" s="36" customFormat="1" x14ac:dyDescent="0.2">
      <c r="A19" s="57" t="s">
        <v>247</v>
      </c>
      <c r="B19" s="58" t="s">
        <v>200</v>
      </c>
      <c r="C19" s="29">
        <f>IF(44372.34464="","-",44372.34464)</f>
        <v>44372.344640000003</v>
      </c>
      <c r="D19" s="30">
        <f>IF(38718.75195="","-",44372.34464/38718.75195*100)</f>
        <v>114.60169144217471</v>
      </c>
      <c r="E19" s="30">
        <f>IF(38718.75195="","-",38718.75195/1980077.64559*100)</f>
        <v>1.9554158412036937</v>
      </c>
      <c r="F19" s="30">
        <f>IF(44372.34464="","-",44372.34464/2676670.83235*100)</f>
        <v>1.6577437951547831</v>
      </c>
      <c r="G19" s="30">
        <f>IF(2362843.47408="","-",(38718.75195-44283.92714)/2362843.47408*100)</f>
        <v>-0.23552872845996986</v>
      </c>
      <c r="H19" s="30">
        <f>IF(1980077.64559="","-",(44372.34464-38718.75195)/1980077.64559*100)</f>
        <v>0.28552378754396845</v>
      </c>
    </row>
    <row r="20" spans="1:8" s="36" customFormat="1" x14ac:dyDescent="0.2">
      <c r="A20" s="60" t="s">
        <v>248</v>
      </c>
      <c r="B20" s="61" t="s">
        <v>201</v>
      </c>
      <c r="C20" s="32">
        <f>IF(27592.60854="","-",27592.60854)</f>
        <v>27592.608540000001</v>
      </c>
      <c r="D20" s="33">
        <f>IF(OR(19253.06046="",27592.60854=""),"-",27592.60854/19253.06046*100)</f>
        <v>143.31544118570747</v>
      </c>
      <c r="E20" s="33">
        <f>IF(19253.06046="","-",19253.06046/1980077.64559*100)</f>
        <v>0.97233866070253017</v>
      </c>
      <c r="F20" s="33">
        <f>IF(27592.60854="","-",27592.60854/2676670.83235*100)</f>
        <v>1.0308555017867065</v>
      </c>
      <c r="G20" s="33">
        <f>IF(OR(2362843.47408="",22376.49886="",19253.06046=""),"-",(19253.06046-22376.49886)/2362843.47408*100)</f>
        <v>-0.13218981427519846</v>
      </c>
      <c r="H20" s="33">
        <f>IF(OR(1980077.64559="",27592.60854="",19253.06046=""),"-",(27592.60854-19253.06046)/1980077.64559*100)</f>
        <v>0.42117278070250025</v>
      </c>
    </row>
    <row r="21" spans="1:8" s="36" customFormat="1" x14ac:dyDescent="0.2">
      <c r="A21" s="60" t="s">
        <v>249</v>
      </c>
      <c r="B21" s="61" t="s">
        <v>202</v>
      </c>
      <c r="C21" s="32">
        <f>IF(16779.7361="","-",16779.7361)</f>
        <v>16779.736099999998</v>
      </c>
      <c r="D21" s="33">
        <f>IF(OR(19465.69149="",16779.7361=""),"-",16779.7361/19465.69149*100)</f>
        <v>86.201592728520097</v>
      </c>
      <c r="E21" s="33">
        <f>IF(19465.69149="","-",19465.69149/1980077.64559*100)</f>
        <v>0.98307718050116388</v>
      </c>
      <c r="F21" s="33">
        <f>IF(16779.7361="","-",16779.7361/2676670.83235*100)</f>
        <v>0.62688829336807639</v>
      </c>
      <c r="G21" s="33">
        <f>IF(OR(2362843.47408="",21907.42828="",19465.69149=""),"-",(19465.69149-21907.42828)/2362843.47408*100)</f>
        <v>-0.10333891418477124</v>
      </c>
      <c r="H21" s="33">
        <f>IF(OR(1980077.64559="",16779.7361="",19465.69149=""),"-",(16779.7361-19465.69149)/1980077.64559*100)</f>
        <v>-0.1356489931585321</v>
      </c>
    </row>
    <row r="22" spans="1:8" s="36" customFormat="1" ht="24" x14ac:dyDescent="0.2">
      <c r="A22" s="57" t="s">
        <v>250</v>
      </c>
      <c r="B22" s="58" t="s">
        <v>24</v>
      </c>
      <c r="C22" s="29">
        <f>IF(93892.75821="","-",93892.75821)</f>
        <v>93892.75821</v>
      </c>
      <c r="D22" s="30">
        <f>IF(67180.53564="","-",93892.75821/67180.53564*100)</f>
        <v>139.76184815367154</v>
      </c>
      <c r="E22" s="30">
        <f>IF(67180.53564="","-",67180.53564/1980077.64559*100)</f>
        <v>3.3928232960774798</v>
      </c>
      <c r="F22" s="30">
        <f>IF(93892.75821="","-",93892.75821/2676670.83235*100)</f>
        <v>3.5078186333269179</v>
      </c>
      <c r="G22" s="30">
        <f>IF(2362843.47408="","-",(67180.53564-71949.93256)/2362843.47408*100)</f>
        <v>-0.20184988859056852</v>
      </c>
      <c r="H22" s="30">
        <f>IF(1980077.64559="","-",(93892.75821-67180.53564)/1980077.64559*100)</f>
        <v>1.3490492471087216</v>
      </c>
    </row>
    <row r="23" spans="1:8" s="36" customFormat="1" ht="24" x14ac:dyDescent="0.2">
      <c r="A23" s="60" t="s">
        <v>251</v>
      </c>
      <c r="B23" s="61" t="s">
        <v>209</v>
      </c>
      <c r="C23" s="32">
        <f>IF(14.63442="","-",14.63442)</f>
        <v>14.63442</v>
      </c>
      <c r="D23" s="33" t="str">
        <f>IF(OR(""="",14.63442=""),"-",14.63442/""*100)</f>
        <v>-</v>
      </c>
      <c r="E23" s="33" t="str">
        <f>IF(""="","-",""/1980077.64559*100)</f>
        <v>-</v>
      </c>
      <c r="F23" s="33">
        <f>IF(14.63442="","-",14.63442/2676670.83235*100)</f>
        <v>5.4673962233718588E-4</v>
      </c>
      <c r="G23" s="33" t="str">
        <f>IF(OR(2362843.47408="",""="",""=""),"-",(""-"")/2362843.47408*100)</f>
        <v>-</v>
      </c>
      <c r="H23" s="33" t="str">
        <f>IF(OR(1980077.64559="",14.63442="",""=""),"-",(14.63442-"")/1980077.64559*100)</f>
        <v>-</v>
      </c>
    </row>
    <row r="24" spans="1:8" s="36" customFormat="1" x14ac:dyDescent="0.2">
      <c r="A24" s="60" t="s">
        <v>252</v>
      </c>
      <c r="B24" s="61" t="s">
        <v>203</v>
      </c>
      <c r="C24" s="32">
        <f>IF(38470.44922="","-",38470.44922)</f>
        <v>38470.449220000002</v>
      </c>
      <c r="D24" s="33">
        <f>IF(OR(26805.93794="",38470.44922=""),"-",38470.44922/26805.93794*100)</f>
        <v>143.51465449971869</v>
      </c>
      <c r="E24" s="33">
        <f>IF(26805.93794="","-",26805.93794/1980077.64559*100)</f>
        <v>1.3537821610027156</v>
      </c>
      <c r="F24" s="33">
        <f>IF(38470.44922="","-",38470.44922/2676670.83235*100)</f>
        <v>1.4372499134017398</v>
      </c>
      <c r="G24" s="33">
        <f>IF(OR(2362843.47408="",23364.97613="",26805.93794=""),"-",(26805.93794-23364.97613)/2362843.47408*100)</f>
        <v>0.14562800489100439</v>
      </c>
      <c r="H24" s="33">
        <f>IF(OR(1980077.64559="",38470.44922="",26805.93794=""),"-",(38470.44922-26805.93794)/1980077.64559*100)</f>
        <v>0.58909363003915682</v>
      </c>
    </row>
    <row r="25" spans="1:8" s="36" customFormat="1" ht="24" x14ac:dyDescent="0.2">
      <c r="A25" s="60" t="s">
        <v>306</v>
      </c>
      <c r="B25" s="61" t="s">
        <v>204</v>
      </c>
      <c r="C25" s="32">
        <f>IF(861.08716="","-",861.08716)</f>
        <v>861.08716000000004</v>
      </c>
      <c r="D25" s="33" t="s">
        <v>105</v>
      </c>
      <c r="E25" s="33">
        <f>IF(447.79256="","-",447.79256/1980077.64559*100)</f>
        <v>2.2614899016577303E-2</v>
      </c>
      <c r="F25" s="33">
        <f>IF(861.08716="","-",861.08716/2676670.83235*100)</f>
        <v>3.2170080444445352E-2</v>
      </c>
      <c r="G25" s="33">
        <f>IF(OR(2362843.47408="",544.70663="",447.79256=""),"-",(447.79256-544.70663)/2362843.47408*100)</f>
        <v>-4.101586544480465E-3</v>
      </c>
      <c r="H25" s="33">
        <f>IF(OR(1980077.64559="",861.08716="",447.79256=""),"-",(861.08716-447.79256)/1980077.64559*100)</f>
        <v>2.0872646126806376E-2</v>
      </c>
    </row>
    <row r="26" spans="1:8" s="36" customFormat="1" x14ac:dyDescent="0.2">
      <c r="A26" s="60" t="s">
        <v>253</v>
      </c>
      <c r="B26" s="61" t="s">
        <v>205</v>
      </c>
      <c r="C26" s="32">
        <f>IF(14159.65403="","-",14159.65403)</f>
        <v>14159.65403</v>
      </c>
      <c r="D26" s="33">
        <f>IF(OR(12117.61419="",14159.65403=""),"-",14159.65403/12117.61419*100)</f>
        <v>116.85183079756065</v>
      </c>
      <c r="E26" s="33">
        <f>IF(12117.61419="","-",12117.61419/1980077.64559*100)</f>
        <v>0.61197671803366771</v>
      </c>
      <c r="F26" s="33">
        <f>IF(14159.65403="","-",14159.65403/2676670.83235*100)</f>
        <v>0.52900244060150059</v>
      </c>
      <c r="G26" s="33">
        <f>IF(OR(2362843.47408="",13899.6797="",12117.61419=""),"-",(12117.61419-13899.6797)/2362843.47408*100)</f>
        <v>-7.5420379282375771E-2</v>
      </c>
      <c r="H26" s="33">
        <f>IF(OR(1980077.64559="",14159.65403="",12117.61419=""),"-",(14159.65403-12117.61419)/1980077.64559*100)</f>
        <v>0.1031292810434985</v>
      </c>
    </row>
    <row r="27" spans="1:8" s="36" customFormat="1" ht="14.25" customHeight="1" x14ac:dyDescent="0.2">
      <c r="A27" s="60" t="s">
        <v>254</v>
      </c>
      <c r="B27" s="61" t="s">
        <v>157</v>
      </c>
      <c r="C27" s="32">
        <f>IF(194.64029="","-",194.64029)</f>
        <v>194.64028999999999</v>
      </c>
      <c r="D27" s="33">
        <f>IF(OR(133.91558="",194.64029=""),"-",194.64029/133.91558*100)</f>
        <v>145.34551543591866</v>
      </c>
      <c r="E27" s="33">
        <f>IF(133.91558="","-",133.91558/1980077.64559*100)</f>
        <v>6.7631479148433813E-3</v>
      </c>
      <c r="F27" s="33">
        <f>IF(194.64029="","-",194.64029/2676670.83235*100)</f>
        <v>7.2717305261295181E-3</v>
      </c>
      <c r="G27" s="33">
        <f>IF(OR(2362843.47408="",180.4349="",133.91558=""),"-",(133.91558-180.4349)/2362843.47408*100)</f>
        <v>-1.9687855124687352E-3</v>
      </c>
      <c r="H27" s="33">
        <f>IF(OR(1980077.64559="",194.64029="",133.91558=""),"-",(194.64029-133.91558)/1980077.64559*100)</f>
        <v>3.0667842816793152E-3</v>
      </c>
    </row>
    <row r="28" spans="1:8" s="36" customFormat="1" ht="36" x14ac:dyDescent="0.2">
      <c r="A28" s="60" t="s">
        <v>255</v>
      </c>
      <c r="B28" s="61" t="s">
        <v>158</v>
      </c>
      <c r="C28" s="32">
        <f>IF(3873.87639="","-",3873.87639)</f>
        <v>3873.8763899999999</v>
      </c>
      <c r="D28" s="33" t="s">
        <v>229</v>
      </c>
      <c r="E28" s="33">
        <f>IF(2510.14877="","-",2510.14877/1980077.64559*100)</f>
        <v>0.1267702191169405</v>
      </c>
      <c r="F28" s="33">
        <f>IF(3873.87639="","-",3873.87639/2676670.83235*100)</f>
        <v>0.14472741075147094</v>
      </c>
      <c r="G28" s="33">
        <f>IF(OR(2362843.47408="",3221.18374="",2510.14877=""),"-",(2510.14877-3221.18374)/2362843.47408*100)</f>
        <v>-3.0092343305848885E-2</v>
      </c>
      <c r="H28" s="33">
        <f>IF(OR(1980077.64559="",3873.87639="",2510.14877=""),"-",(3873.87639-2510.14877)/1980077.64559*100)</f>
        <v>6.8872431494657507E-2</v>
      </c>
    </row>
    <row r="29" spans="1:8" s="36" customFormat="1" ht="36" x14ac:dyDescent="0.2">
      <c r="A29" s="60" t="s">
        <v>256</v>
      </c>
      <c r="B29" s="61" t="s">
        <v>159</v>
      </c>
      <c r="C29" s="32">
        <f>IF(7652.45054="","-",7652.45054)</f>
        <v>7652.4505399999998</v>
      </c>
      <c r="D29" s="33">
        <f>IF(OR(5454.5746="",7652.45054=""),"-",7652.45054/5454.5746*100)</f>
        <v>140.29417692811461</v>
      </c>
      <c r="E29" s="33">
        <f>IF(5454.5746="","-",5454.5746/1980077.64559*100)</f>
        <v>0.27547276300746837</v>
      </c>
      <c r="F29" s="33">
        <f>IF(7652.45054="","-",7652.45054/2676670.83235*100)</f>
        <v>0.28589434485231352</v>
      </c>
      <c r="G29" s="33">
        <f>IF(OR(2362843.47408="",10973.05071="",5454.5746=""),"-",(5454.5746-10973.05071)/2362843.47408*100)</f>
        <v>-0.23355233516467616</v>
      </c>
      <c r="H29" s="33">
        <f>IF(OR(1980077.64559="",7652.45054="",5454.5746=""),"-",(7652.45054-5454.5746)/1980077.64559*100)</f>
        <v>0.11099948251499517</v>
      </c>
    </row>
    <row r="30" spans="1:8" s="36" customFormat="1" ht="24" x14ac:dyDescent="0.2">
      <c r="A30" s="60" t="s">
        <v>257</v>
      </c>
      <c r="B30" s="61" t="s">
        <v>160</v>
      </c>
      <c r="C30" s="32">
        <f>IF(589.70277="","-",589.70277)</f>
        <v>589.70276999999999</v>
      </c>
      <c r="D30" s="33">
        <f>IF(OR(563.30575="",589.70277=""),"-",589.70277/563.30575*100)</f>
        <v>104.68609099054997</v>
      </c>
      <c r="E30" s="33">
        <f>IF(563.30575="","-",563.30575/1980077.64559*100)</f>
        <v>2.8448669740531961E-2</v>
      </c>
      <c r="F30" s="33">
        <f>IF(589.70277="","-",589.70277/2676670.83235*100)</f>
        <v>2.2031202450181996E-2</v>
      </c>
      <c r="G30" s="33">
        <f>IF(OR(2362843.47408="",545.744="",563.30575=""),"-",(563.30575-545.744)/2362843.47408*100)</f>
        <v>7.432464398361312E-4</v>
      </c>
      <c r="H30" s="33">
        <f>IF(OR(1980077.64559="",589.70277="",563.30575=""),"-",(589.70277-563.30575)/1980077.64559*100)</f>
        <v>1.3331305496423866E-3</v>
      </c>
    </row>
    <row r="31" spans="1:8" s="36" customFormat="1" ht="24" x14ac:dyDescent="0.2">
      <c r="A31" s="60" t="s">
        <v>258</v>
      </c>
      <c r="B31" s="61" t="s">
        <v>161</v>
      </c>
      <c r="C31" s="32">
        <f>IF(28076.26339="","-",28076.26339)</f>
        <v>28076.26339</v>
      </c>
      <c r="D31" s="33">
        <f>IF(OR(19147.24625="",28076.26339=""),"-",28076.26339/19147.24625*100)</f>
        <v>146.6334271958298</v>
      </c>
      <c r="E31" s="33">
        <f>IF(19147.24625="","-",19147.24625/1980077.64559*100)</f>
        <v>0.96699471824473493</v>
      </c>
      <c r="F31" s="33">
        <f>IF(28076.26339="","-",28076.26339/2676670.83235*100)</f>
        <v>1.048924770676799</v>
      </c>
      <c r="G31" s="33">
        <f>IF(OR(2362843.47408="",19220.15675="",19147.24625=""),"-",(19147.24625-19220.15675)/2362843.47408*100)</f>
        <v>-3.085710111558984E-3</v>
      </c>
      <c r="H31" s="33">
        <f>IF(OR(1980077.64559="",28076.26339="",19147.24625=""),"-",(28076.26339-19147.24625)/1980077.64559*100)</f>
        <v>0.45094277792017784</v>
      </c>
    </row>
    <row r="32" spans="1:8" s="36" customFormat="1" ht="24" x14ac:dyDescent="0.2">
      <c r="A32" s="57" t="s">
        <v>259</v>
      </c>
      <c r="B32" s="58" t="s">
        <v>162</v>
      </c>
      <c r="C32" s="29">
        <f>IF(318807.30199="","-",318807.30199)</f>
        <v>318807.30199000001</v>
      </c>
      <c r="D32" s="30">
        <f>IF(270032.45358="","-",318807.30199/270032.45358*100)</f>
        <v>118.06258757544117</v>
      </c>
      <c r="E32" s="30">
        <f>IF(270032.45358="","-",270032.45358/1980077.64559*100)</f>
        <v>13.637467913514012</v>
      </c>
      <c r="F32" s="30">
        <f>IF(318807.30199="","-",318807.30199/2676670.83235*100)</f>
        <v>11.910590504328137</v>
      </c>
      <c r="G32" s="30">
        <f>IF(2362843.47408="","-",(270032.45358-396480.67327)/2362843.47408*100)</f>
        <v>-5.3515275589397264</v>
      </c>
      <c r="H32" s="30">
        <f>IF(1980077.64559="","-",(318807.30199-270032.45358)/1980077.64559*100)</f>
        <v>2.4632795849511591</v>
      </c>
    </row>
    <row r="33" spans="1:8" s="36" customFormat="1" x14ac:dyDescent="0.2">
      <c r="A33" s="60" t="s">
        <v>260</v>
      </c>
      <c r="B33" s="61" t="s">
        <v>206</v>
      </c>
      <c r="C33" s="32">
        <f>IF(3842.19495="","-",3842.19495)</f>
        <v>3842.1949500000001</v>
      </c>
      <c r="D33" s="33">
        <f>IF(OR(4893.2484="",3842.19495=""),"-",3842.19495/4893.2484*100)</f>
        <v>78.520333241206387</v>
      </c>
      <c r="E33" s="33">
        <f>IF(4893.2484="","-",4893.2484/1980077.64559*100)</f>
        <v>0.24712406661921421</v>
      </c>
      <c r="F33" s="33">
        <f>IF(3842.19495="","-",3842.19495/2676670.83235*100)</f>
        <v>0.14354379715143087</v>
      </c>
      <c r="G33" s="33">
        <f>IF(OR(2362843.47408="",7222.92693="",4893.2484=""),"-",(4893.2484-7222.92693)/2362843.47408*100)</f>
        <v>-9.8596396907208853E-2</v>
      </c>
      <c r="H33" s="33">
        <f>IF(OR(1980077.64559="",3842.19495="",4893.2484=""),"-",(3842.19495-4893.2484)/1980077.64559*100)</f>
        <v>-5.308142599058633E-2</v>
      </c>
    </row>
    <row r="34" spans="1:8" s="36" customFormat="1" ht="24" x14ac:dyDescent="0.2">
      <c r="A34" s="60" t="s">
        <v>261</v>
      </c>
      <c r="B34" s="61" t="s">
        <v>163</v>
      </c>
      <c r="C34" s="32">
        <f>IF(198137.39069="","-",198137.39069)</f>
        <v>198137.39069</v>
      </c>
      <c r="D34" s="33">
        <f>IF(OR(151472.70071="",198137.39069=""),"-",198137.39069/151472.70071*100)</f>
        <v>130.8073268392707</v>
      </c>
      <c r="E34" s="33">
        <f>IF(151472.70071="","-",151472.70071/1980077.64559*100)</f>
        <v>7.6498364115850608</v>
      </c>
      <c r="F34" s="33">
        <f>IF(198137.39069="","-",198137.39069/2676670.83235*100)</f>
        <v>7.4023816561726434</v>
      </c>
      <c r="G34" s="33">
        <f>IF(OR(2362843.47408="",219735.58473="",151472.70071=""),"-",(151472.70071-219735.58473)/2362843.47408*100)</f>
        <v>-2.8890142224329494</v>
      </c>
      <c r="H34" s="33">
        <f>IF(OR(1980077.64559="",198137.39069="",151472.70071=""),"-",(198137.39069-151472.70071)/1980077.64559*100)</f>
        <v>2.3567101059865458</v>
      </c>
    </row>
    <row r="35" spans="1:8" s="36" customFormat="1" ht="24" x14ac:dyDescent="0.2">
      <c r="A35" s="60" t="s">
        <v>307</v>
      </c>
      <c r="B35" s="61" t="s">
        <v>207</v>
      </c>
      <c r="C35" s="32">
        <f>IF(114553.11591="","-",114553.11591)</f>
        <v>114553.11590999999</v>
      </c>
      <c r="D35" s="33">
        <f>IF(OR(105556.27147="",114553.11591=""),"-",114553.11591/105556.27147*100)</f>
        <v>108.52326850381122</v>
      </c>
      <c r="E35" s="33">
        <f>IF(105556.27147="","-",105556.27147/1980077.64559*100)</f>
        <v>5.3309157701514076</v>
      </c>
      <c r="F35" s="33">
        <f>IF(114553.11591="","-",114553.11591/2676670.83235*100)</f>
        <v>4.2796863374278775</v>
      </c>
      <c r="G35" s="33">
        <f>IF(OR(2362843.47408="",150788.67396="",105556.27147=""),"-",(105556.27147-150788.67396)/2362843.47408*100)</f>
        <v>-1.9143207320413691</v>
      </c>
      <c r="H35" s="33">
        <f>IF(OR(1980077.64559="",114553.11591="",105556.27147=""),"-",(114553.11591-105556.27147)/1980077.64559*100)</f>
        <v>0.45436826480202053</v>
      </c>
    </row>
    <row r="36" spans="1:8" s="36" customFormat="1" x14ac:dyDescent="0.2">
      <c r="A36" s="60" t="s">
        <v>322</v>
      </c>
      <c r="B36" s="61" t="s">
        <v>325</v>
      </c>
      <c r="C36" s="32">
        <f>IF(2274.60044="","-",2274.60044)</f>
        <v>2274.6004400000002</v>
      </c>
      <c r="D36" s="33">
        <f>IF(OR(8110.233="",2274.60044=""),"-",2274.60044/8110.233*100)</f>
        <v>28.046055396928793</v>
      </c>
      <c r="E36" s="33">
        <f>IF(8110.233="","-",8110.233/1980077.64559*100)</f>
        <v>0.40959166515833312</v>
      </c>
      <c r="F36" s="33">
        <f>IF(2274.60044="","-",2274.60044/2676670.83235*100)</f>
        <v>8.497871357618525E-2</v>
      </c>
      <c r="G36" s="33">
        <f>IF(OR(2362843.47408="",18733.48765="",8110.233=""),"-",(8110.233-18733.48765)/2362843.47408*100)</f>
        <v>-0.44959620755819563</v>
      </c>
      <c r="H36" s="33">
        <f>IF(OR(1980077.64559="",2274.60044="",8110.233=""),"-",(2274.60044-8110.233)/1980077.64559*100)</f>
        <v>-0.29471735984682396</v>
      </c>
    </row>
    <row r="37" spans="1:8" s="36" customFormat="1" ht="24" x14ac:dyDescent="0.2">
      <c r="A37" s="57" t="s">
        <v>262</v>
      </c>
      <c r="B37" s="58" t="s">
        <v>164</v>
      </c>
      <c r="C37" s="29">
        <f>IF(5928.43222="","-",5928.43222)</f>
        <v>5928.4322199999997</v>
      </c>
      <c r="D37" s="30" t="s">
        <v>229</v>
      </c>
      <c r="E37" s="30">
        <f>IF(3897.69416="","-",3897.69416/1980077.64559*100)</f>
        <v>0.19684552111786563</v>
      </c>
      <c r="F37" s="30">
        <f>IF(5928.43222="","-",5928.43222/2676670.83235*100)</f>
        <v>0.2214852924143495</v>
      </c>
      <c r="G37" s="30">
        <f>IF(2362843.47408="","-",(3897.69416-4571.09119)/2362843.47408*100)</f>
        <v>-2.8499434574784724E-2</v>
      </c>
      <c r="H37" s="30">
        <f>IF(1980077.64559="","-",(5928.43222-3897.69416)/1980077.64559*100)</f>
        <v>0.10255850645669526</v>
      </c>
    </row>
    <row r="38" spans="1:8" s="36" customFormat="1" ht="24" x14ac:dyDescent="0.2">
      <c r="A38" s="60" t="s">
        <v>263</v>
      </c>
      <c r="B38" s="61" t="s">
        <v>210</v>
      </c>
      <c r="C38" s="32">
        <f>IF(654.91192="","-",654.91192)</f>
        <v>654.91192000000001</v>
      </c>
      <c r="D38" s="33">
        <f>IF(OR(640.43414="",654.91192=""),"-",654.91192/640.43414*100)</f>
        <v>102.2606196477908</v>
      </c>
      <c r="E38" s="33">
        <f>IF(640.43414="","-",640.43414/1980077.64559*100)</f>
        <v>3.2343890222000411E-2</v>
      </c>
      <c r="F38" s="33">
        <f>IF(654.91192="","-",654.91192/2676670.83235*100)</f>
        <v>2.4467406006177313E-2</v>
      </c>
      <c r="G38" s="33">
        <f>IF(OR(2362843.47408="",594.91025="",640.43414=""),"-",(640.43414-594.91025)/2362843.47408*100)</f>
        <v>1.9266570341789219E-3</v>
      </c>
      <c r="H38" s="33">
        <f>IF(OR(1980077.64559="",654.91192="",640.43414=""),"-",(654.91192-640.43414)/1980077.64559*100)</f>
        <v>7.3117233721842938E-4</v>
      </c>
    </row>
    <row r="39" spans="1:8" s="36" customFormat="1" ht="24" x14ac:dyDescent="0.2">
      <c r="A39" s="60" t="s">
        <v>264</v>
      </c>
      <c r="B39" s="61" t="s">
        <v>165</v>
      </c>
      <c r="C39" s="32">
        <f>IF(4449.74381="","-",4449.74381)</f>
        <v>4449.7438099999999</v>
      </c>
      <c r="D39" s="33" t="s">
        <v>103</v>
      </c>
      <c r="E39" s="33">
        <f>IF(2585.32237="","-",2585.32237/1980077.64559*100)</f>
        <v>0.13056671670214509</v>
      </c>
      <c r="F39" s="33">
        <f>IF(4449.74381="","-",4449.74381/2676670.83235*100)</f>
        <v>0.16624172670844697</v>
      </c>
      <c r="G39" s="33">
        <f>IF(OR(2362843.47408="",2775.78728="",2585.32237=""),"-",(2585.32237-2775.78728)/2362843.47408*100)</f>
        <v>-8.0608348411297034E-3</v>
      </c>
      <c r="H39" s="33">
        <f>IF(OR(1980077.64559="",4449.74381="",2585.32237=""),"-",(4449.74381-2585.32237)/1980077.64559*100)</f>
        <v>9.4159006549688201E-2</v>
      </c>
    </row>
    <row r="40" spans="1:8" s="36" customFormat="1" ht="72" x14ac:dyDescent="0.2">
      <c r="A40" s="60" t="s">
        <v>265</v>
      </c>
      <c r="B40" s="61" t="s">
        <v>208</v>
      </c>
      <c r="C40" s="32">
        <f>IF(823.77649="","-",823.77649)</f>
        <v>823.77648999999997</v>
      </c>
      <c r="D40" s="33">
        <f>IF(OR(671.93765="",823.77649=""),"-",823.77649/671.93765*100)</f>
        <v>122.59716210276355</v>
      </c>
      <c r="E40" s="33">
        <f>IF(671.93765="","-",671.93765/1980077.64559*100)</f>
        <v>3.3934914193720113E-2</v>
      </c>
      <c r="F40" s="33">
        <f>IF(823.77649="","-",823.77649/2676670.83235*100)</f>
        <v>3.0776159699725206E-2</v>
      </c>
      <c r="G40" s="33">
        <f>IF(OR(2362843.47408="",1200.39366="",671.93765=""),"-",(671.93765-1200.39366)/2362843.47408*100)</f>
        <v>-2.2365256767833946E-2</v>
      </c>
      <c r="H40" s="33">
        <f>IF(OR(1980077.64559="",823.77649="",671.93765=""),"-",(823.77649-671.93765)/1980077.64559*100)</f>
        <v>7.6683275697886511E-3</v>
      </c>
    </row>
    <row r="41" spans="1:8" s="36" customFormat="1" ht="24" x14ac:dyDescent="0.2">
      <c r="A41" s="57" t="s">
        <v>266</v>
      </c>
      <c r="B41" s="58" t="s">
        <v>166</v>
      </c>
      <c r="C41" s="29">
        <f>IF(415220.84748="","-",415220.84748)</f>
        <v>415220.84748</v>
      </c>
      <c r="D41" s="30">
        <f>IF(346143.96327="","-",415220.84748/346143.96327*100)</f>
        <v>119.95611408543286</v>
      </c>
      <c r="E41" s="30">
        <f>IF(346143.96327="","-",346143.96327/1980077.64559*100)</f>
        <v>17.481332817474442</v>
      </c>
      <c r="F41" s="30">
        <f>IF(415220.84748="","-",415220.84748/2676670.83235*100)</f>
        <v>15.512585352732906</v>
      </c>
      <c r="G41" s="30">
        <f>IF(2362843.47408="","-",(346143.96327-359847.77262)/2362843.47408*100)</f>
        <v>-0.57997110262818952</v>
      </c>
      <c r="H41" s="30">
        <f>IF(1980077.64559="","-",(415220.84748-346143.96327)/1980077.64559*100)</f>
        <v>3.4885947207094135</v>
      </c>
    </row>
    <row r="42" spans="1:8" s="36" customFormat="1" x14ac:dyDescent="0.2">
      <c r="A42" s="60" t="s">
        <v>267</v>
      </c>
      <c r="B42" s="61" t="s">
        <v>25</v>
      </c>
      <c r="C42" s="32">
        <f>IF(4906.59565="","-",4906.59565)</f>
        <v>4906.5956500000002</v>
      </c>
      <c r="D42" s="33">
        <f>IF(OR(4786.70578="",4906.59565=""),"-",4906.59565/4786.70578*100)</f>
        <v>102.50464255607538</v>
      </c>
      <c r="E42" s="33">
        <f>IF(4786.70578="","-",4786.70578/1980077.64559*100)</f>
        <v>0.24174333722017824</v>
      </c>
      <c r="F42" s="33">
        <f>IF(4906.59565="","-",4906.59565/2676670.83235*100)</f>
        <v>0.18330963937363282</v>
      </c>
      <c r="G42" s="33">
        <f>IF(OR(2362843.47408="",9055.6409="",4786.70578=""),"-",(4786.70578-9055.6409)/2362843.47408*100)</f>
        <v>-0.18066939968006804</v>
      </c>
      <c r="H42" s="33">
        <f>IF(OR(1980077.64559="",4906.59565="",4786.70578=""),"-",(4906.59565-4786.70578)/1980077.64559*100)</f>
        <v>6.0548065004933987E-3</v>
      </c>
    </row>
    <row r="43" spans="1:8" s="36" customFormat="1" x14ac:dyDescent="0.2">
      <c r="A43" s="60" t="s">
        <v>268</v>
      </c>
      <c r="B43" s="61" t="s">
        <v>26</v>
      </c>
      <c r="C43" s="32">
        <f>IF(6035.43308="","-",6035.43308)</f>
        <v>6035.4330799999998</v>
      </c>
      <c r="D43" s="33">
        <f>IF(OR(7091.15905="",6035.43308=""),"-",6035.43308/7091.15905*100)</f>
        <v>85.112081641998984</v>
      </c>
      <c r="E43" s="33">
        <f>IF(7091.15905="","-",7091.15905/1980077.64559*100)</f>
        <v>0.35812530209577015</v>
      </c>
      <c r="F43" s="33">
        <f>IF(6035.43308="","-",6035.43308/2676670.83235*100)</f>
        <v>0.22548282766249422</v>
      </c>
      <c r="G43" s="33">
        <f>IF(OR(2362843.47408="",6787.66523="",7091.15905=""),"-",(7091.15905-6787.66523)/2362843.47408*100)</f>
        <v>1.2844431860564498E-2</v>
      </c>
      <c r="H43" s="33">
        <f>IF(OR(1980077.64559="",6035.43308="",7091.15905=""),"-",(6035.43308-7091.15905)/1980077.64559*100)</f>
        <v>-5.3317402595362759E-2</v>
      </c>
    </row>
    <row r="44" spans="1:8" s="36" customFormat="1" x14ac:dyDescent="0.2">
      <c r="A44" s="60" t="s">
        <v>269</v>
      </c>
      <c r="B44" s="61" t="s">
        <v>167</v>
      </c>
      <c r="C44" s="32">
        <f>IF(17676.83231="","-",17676.83231)</f>
        <v>17676.832310000002</v>
      </c>
      <c r="D44" s="33">
        <f>IF(OR(12583.3767="",17676.83231=""),"-",17676.83231/12583.3767*100)</f>
        <v>140.47765342668316</v>
      </c>
      <c r="E44" s="33">
        <f>IF(12583.3767="","-",12583.3767/1980077.64559*100)</f>
        <v>0.63549915469353002</v>
      </c>
      <c r="F44" s="33">
        <f>IF(17676.83231="","-",17676.83231/2676670.83235*100)</f>
        <v>0.66040366623939772</v>
      </c>
      <c r="G44" s="33">
        <f>IF(OR(2362843.47408="",13621.26119="",12583.3767=""),"-",(12583.3767-13621.26119)/2362843.47408*100)</f>
        <v>-4.3925232516898338E-2</v>
      </c>
      <c r="H44" s="33">
        <f>IF(OR(1980077.64559="",17676.83231="",12583.3767=""),"-",(17676.83231-12583.3767)/1980077.64559*100)</f>
        <v>0.25723514536634812</v>
      </c>
    </row>
    <row r="45" spans="1:8" s="36" customFormat="1" ht="24" x14ac:dyDescent="0.2">
      <c r="A45" s="60" t="s">
        <v>270</v>
      </c>
      <c r="B45" s="61" t="s">
        <v>168</v>
      </c>
      <c r="C45" s="32">
        <f>IF(121678.76473="","-",121678.76473)</f>
        <v>121678.76473</v>
      </c>
      <c r="D45" s="33">
        <f>IF(OR(97492.66202="",121678.76473=""),"-",121678.76473/97492.66202*100)</f>
        <v>124.8081262824051</v>
      </c>
      <c r="E45" s="33">
        <f>IF(97492.66202="","-",97492.66202/1980077.64559*100)</f>
        <v>4.9236787374037689</v>
      </c>
      <c r="F45" s="33">
        <f>IF(121678.76473="","-",121678.76473/2676670.83235*100)</f>
        <v>4.5458994531341519</v>
      </c>
      <c r="G45" s="33">
        <f>IF(OR(2362843.47408="",102677.96644="",97492.66202=""),"-",(97492.66202-102677.96644)/2362843.47408*100)</f>
        <v>-0.21945187977459901</v>
      </c>
      <c r="H45" s="33">
        <f>IF(OR(1980077.64559="",121678.76473="",97492.66202=""),"-",(121678.76473-97492.66202)/1980077.64559*100)</f>
        <v>1.221472438915056</v>
      </c>
    </row>
    <row r="46" spans="1:8" s="36" customFormat="1" ht="39.75" customHeight="1" x14ac:dyDescent="0.2">
      <c r="A46" s="60" t="s">
        <v>271</v>
      </c>
      <c r="B46" s="61" t="s">
        <v>169</v>
      </c>
      <c r="C46" s="32">
        <f>IF(54011.71292="","-",54011.71292)</f>
        <v>54011.712919999998</v>
      </c>
      <c r="D46" s="33">
        <f>IF(OR(42034.36345="",54011.71292=""),"-",54011.71292/42034.36345*100)</f>
        <v>128.49418544007952</v>
      </c>
      <c r="E46" s="33">
        <f>IF(42034.36345="","-",42034.36345/1980077.64559*100)</f>
        <v>2.1228644009803515</v>
      </c>
      <c r="F46" s="33">
        <f>IF(54011.71292="","-",54011.71292/2676670.83235*100)</f>
        <v>2.0178690732987921</v>
      </c>
      <c r="G46" s="33">
        <f>IF(OR(2362843.47408="",44694.78562="",42034.36345=""),"-",(42034.36345-44694.78562)/2362843.47408*100)</f>
        <v>-0.11259409263391308</v>
      </c>
      <c r="H46" s="33">
        <f>IF(OR(1980077.64559="",54011.71292="",42034.36345=""),"-",(54011.71292-42034.36345)/1980077.64559*100)</f>
        <v>0.60489291905677423</v>
      </c>
    </row>
    <row r="47" spans="1:8" s="36" customFormat="1" x14ac:dyDescent="0.2">
      <c r="A47" s="60" t="s">
        <v>272</v>
      </c>
      <c r="B47" s="61" t="s">
        <v>170</v>
      </c>
      <c r="C47" s="32">
        <f>IF(36115.08074="","-",36115.08074)</f>
        <v>36115.080739999998</v>
      </c>
      <c r="D47" s="33">
        <f>IF(OR(45321.85465="",36115.08074=""),"-",36115.08074/45321.85465*100)</f>
        <v>79.685796221051149</v>
      </c>
      <c r="E47" s="33">
        <f>IF(45321.85465="","-",45321.85465/1980077.64559*100)</f>
        <v>2.2888927992768449</v>
      </c>
      <c r="F47" s="33">
        <f>IF(36115.08074="","-",36115.08074/2676670.83235*100)</f>
        <v>1.3492537185938749</v>
      </c>
      <c r="G47" s="33">
        <f>IF(OR(2362843.47408="",41700.46964="",45321.85465=""),"-",(45321.85465-41700.46964)/2362843.47408*100)</f>
        <v>0.15326385559289005</v>
      </c>
      <c r="H47" s="33">
        <f>IF(OR(1980077.64559="",36115.08074="",45321.85465=""),"-",(36115.08074-45321.85465)/1980077.64559*100)</f>
        <v>-0.4649703475267849</v>
      </c>
    </row>
    <row r="48" spans="1:8" s="36" customFormat="1" ht="24" x14ac:dyDescent="0.2">
      <c r="A48" s="60" t="s">
        <v>273</v>
      </c>
      <c r="B48" s="61" t="s">
        <v>27</v>
      </c>
      <c r="C48" s="32">
        <f>IF(24528.60362="","-",24528.60362)</f>
        <v>24528.603620000002</v>
      </c>
      <c r="D48" s="33">
        <f>IF(OR(17879.88654="",24528.60362=""),"-",24528.60362/17879.88654*100)</f>
        <v>137.18545453365053</v>
      </c>
      <c r="E48" s="33">
        <f>IF(17879.88654="","-",17879.88654/1980077.64559*100)</f>
        <v>0.90298916205744861</v>
      </c>
      <c r="F48" s="33">
        <f>IF(24528.60362="","-",24528.60362/2676670.83235*100)</f>
        <v>0.91638476138154645</v>
      </c>
      <c r="G48" s="33">
        <f>IF(OR(2362843.47408="",20477.46639="",17879.88654=""),"-",(17879.88654-20477.46639)/2362843.47408*100)</f>
        <v>-0.10993448692200819</v>
      </c>
      <c r="H48" s="33">
        <f>IF(OR(1980077.64559="",24528.60362="",17879.88654=""),"-",(24528.60362-17879.88654)/1980077.64559*100)</f>
        <v>0.33578062430066452</v>
      </c>
    </row>
    <row r="49" spans="1:8" s="36" customFormat="1" x14ac:dyDescent="0.2">
      <c r="A49" s="60" t="s">
        <v>274</v>
      </c>
      <c r="B49" s="61" t="s">
        <v>28</v>
      </c>
      <c r="C49" s="32">
        <f>IF(58903.13639="","-",58903.13639)</f>
        <v>58903.13639</v>
      </c>
      <c r="D49" s="33" t="s">
        <v>229</v>
      </c>
      <c r="E49" s="33">
        <f>IF(38925.47377="","-",38925.47377/1980077.64559*100)</f>
        <v>1.9658559277558756</v>
      </c>
      <c r="F49" s="33">
        <f>IF(58903.13639="","-",58903.13639/2676670.83235*100)</f>
        <v>2.2006118824213297</v>
      </c>
      <c r="G49" s="33">
        <f>IF(OR(2362843.47408="",42925.17299="",38925.47377=""),"-",(38925.47377-42925.17299)/2362843.47408*100)</f>
        <v>-0.16927482771821484</v>
      </c>
      <c r="H49" s="33">
        <f>IF(OR(1980077.64559="",58903.13639="",38925.47377=""),"-",(58903.13639-38925.47377)/1980077.64559*100)</f>
        <v>1.0089332943328744</v>
      </c>
    </row>
    <row r="50" spans="1:8" s="36" customFormat="1" x14ac:dyDescent="0.2">
      <c r="A50" s="60" t="s">
        <v>275</v>
      </c>
      <c r="B50" s="61" t="s">
        <v>171</v>
      </c>
      <c r="C50" s="32">
        <f>IF(91364.68804="","-",91364.68804)</f>
        <v>91364.688039999994</v>
      </c>
      <c r="D50" s="33">
        <f>IF(OR(80028.48131="",91364.68804=""),"-",91364.68804/80028.48131*100)</f>
        <v>114.16521536387505</v>
      </c>
      <c r="E50" s="33">
        <f>IF(80028.48131="","-",80028.48131/1980077.64559*100)</f>
        <v>4.0416839959906756</v>
      </c>
      <c r="F50" s="33">
        <f>IF(91364.68804="","-",91364.68804/2676670.83235*100)</f>
        <v>3.4133703306276844</v>
      </c>
      <c r="G50" s="33">
        <f>IF(OR(2362843.47408="",77907.34422="",80028.48131=""),"-",(80028.48131-77907.34422)/2362843.47408*100)</f>
        <v>8.9770529164056992E-2</v>
      </c>
      <c r="H50" s="33">
        <f>IF(OR(1980077.64559="",91364.68804="",80028.48131=""),"-",(91364.68804-80028.48131)/1980077.64559*100)</f>
        <v>0.57251324235935019</v>
      </c>
    </row>
    <row r="51" spans="1:8" s="36" customFormat="1" ht="24" x14ac:dyDescent="0.2">
      <c r="A51" s="57" t="s">
        <v>276</v>
      </c>
      <c r="B51" s="58" t="s">
        <v>214</v>
      </c>
      <c r="C51" s="29">
        <f>IF(489363.73513="","-",489363.73513)</f>
        <v>489363.73512999999</v>
      </c>
      <c r="D51" s="30">
        <f>IF(359049.5138="","-",489363.73513/359049.5138*100)</f>
        <v>136.29422024578716</v>
      </c>
      <c r="E51" s="30">
        <f>IF(359049.5138="","-",359049.5138/1980077.64559*100)</f>
        <v>18.133102739666288</v>
      </c>
      <c r="F51" s="30">
        <f>IF(489363.73513="","-",489363.73513/2676670.83235*100)</f>
        <v>18.282551937862305</v>
      </c>
      <c r="G51" s="30">
        <f>IF(2362843.47408="","-",(359049.5138-432757.42424)/2362843.47408*100)</f>
        <v>-3.1194580279465622</v>
      </c>
      <c r="H51" s="30">
        <f>IF(1980077.64559="","-",(489363.73513-359049.5138)/1980077.64559*100)</f>
        <v>6.5812682457293477</v>
      </c>
    </row>
    <row r="52" spans="1:8" s="36" customFormat="1" x14ac:dyDescent="0.2">
      <c r="A52" s="60" t="s">
        <v>277</v>
      </c>
      <c r="B52" s="61" t="s">
        <v>172</v>
      </c>
      <c r="C52" s="32">
        <f>IF(24232.80555="","-",24232.80555)</f>
        <v>24232.805550000001</v>
      </c>
      <c r="D52" s="33" t="s">
        <v>104</v>
      </c>
      <c r="E52" s="33">
        <f>IF(15132.62171="","-",15132.62171/1980077.64559*100)</f>
        <v>0.76424385395709871</v>
      </c>
      <c r="F52" s="33">
        <f>IF(24232.80555="","-",24232.80555/2676670.83235*100)</f>
        <v>0.90533379215421339</v>
      </c>
      <c r="G52" s="33">
        <f>IF(OR(2362843.47408="",20724.39933="",15132.62171=""),"-",(15132.62171-20724.39933)/2362843.47408*100)</f>
        <v>-0.23665459355817986</v>
      </c>
      <c r="H52" s="33">
        <f>IF(OR(1980077.64559="",24232.80555="",15132.62171=""),"-",(24232.80555-15132.62171)/1980077.64559*100)</f>
        <v>0.45958722175707589</v>
      </c>
    </row>
    <row r="53" spans="1:8" s="36" customFormat="1" x14ac:dyDescent="0.2">
      <c r="A53" s="60" t="s">
        <v>278</v>
      </c>
      <c r="B53" s="61" t="s">
        <v>29</v>
      </c>
      <c r="C53" s="32">
        <f>IF(25792.58246="","-",25792.58246)</f>
        <v>25792.582460000001</v>
      </c>
      <c r="D53" s="33">
        <f>IF(OR(21232.52553="",25792.58246=""),"-",25792.58246/21232.52553*100)</f>
        <v>121.47675237011714</v>
      </c>
      <c r="E53" s="33">
        <f>IF(21232.52553="","-",21232.52553/1980077.64559*100)</f>
        <v>1.0723077237546099</v>
      </c>
      <c r="F53" s="33">
        <f>IF(25792.58246="","-",25792.58246/2676670.83235*100)</f>
        <v>0.96360681142683668</v>
      </c>
      <c r="G53" s="33">
        <f>IF(OR(2362843.47408="",24547.81449="",21232.52553=""),"-",(21232.52553-24547.81449)/2362843.47408*100)</f>
        <v>-0.14030929244227011</v>
      </c>
      <c r="H53" s="33">
        <f>IF(OR(1980077.64559="",25792.58246="",21232.52553=""),"-",(25792.58246-21232.52553)/1980077.64559*100)</f>
        <v>0.23029687447641733</v>
      </c>
    </row>
    <row r="54" spans="1:8" s="36" customFormat="1" x14ac:dyDescent="0.2">
      <c r="A54" s="60" t="s">
        <v>279</v>
      </c>
      <c r="B54" s="61" t="s">
        <v>173</v>
      </c>
      <c r="C54" s="32">
        <f>IF(39858.9251="","-",39858.9251)</f>
        <v>39858.9251</v>
      </c>
      <c r="D54" s="33" t="s">
        <v>104</v>
      </c>
      <c r="E54" s="33">
        <f>IF(24869.11474="","-",24869.11474/1980077.64559*100)</f>
        <v>1.255966643297455</v>
      </c>
      <c r="F54" s="33">
        <f>IF(39858.9251="","-",39858.9251/2676670.83235*100)</f>
        <v>1.4891231532196136</v>
      </c>
      <c r="G54" s="33">
        <f>IF(OR(2362843.47408="",32125.17025="",24869.11474=""),"-",(24869.11474-32125.17025)/2362843.47408*100)</f>
        <v>-0.30708997822317563</v>
      </c>
      <c r="H54" s="33">
        <f>IF(OR(1980077.64559="",39858.9251="",24869.11474=""),"-",(39858.9251-24869.11474)/1980077.64559*100)</f>
        <v>0.75703144234697484</v>
      </c>
    </row>
    <row r="55" spans="1:8" s="36" customFormat="1" ht="36" x14ac:dyDescent="0.2">
      <c r="A55" s="60" t="s">
        <v>280</v>
      </c>
      <c r="B55" s="61" t="s">
        <v>174</v>
      </c>
      <c r="C55" s="32">
        <f>IF(42062.88539="","-",42062.88539)</f>
        <v>42062.885390000003</v>
      </c>
      <c r="D55" s="33">
        <f>IF(OR(35698.98041="",42062.88539=""),"-",42062.88539/35698.98041*100)</f>
        <v>117.82657349568825</v>
      </c>
      <c r="E55" s="33">
        <f>IF(35698.98041="","-",35698.98041/1980077.64559*100)</f>
        <v>1.8029081076445785</v>
      </c>
      <c r="F55" s="33">
        <f>IF(42062.88539="","-",42062.88539/2676670.83235*100)</f>
        <v>1.571462761936649</v>
      </c>
      <c r="G55" s="33">
        <f>IF(OR(2362843.47408="",41981.75334="",35698.98041=""),"-",(35698.98041-41981.75334)/2362843.47408*100)</f>
        <v>-0.26589882059141795</v>
      </c>
      <c r="H55" s="33">
        <f>IF(OR(1980077.64559="",42062.88539="",35698.98041=""),"-",(42062.88539-35698.98041)/1980077.64559*100)</f>
        <v>0.32139673886898334</v>
      </c>
    </row>
    <row r="56" spans="1:8" s="36" customFormat="1" ht="16.5" customHeight="1" x14ac:dyDescent="0.2">
      <c r="A56" s="60" t="s">
        <v>281</v>
      </c>
      <c r="B56" s="61" t="s">
        <v>175</v>
      </c>
      <c r="C56" s="32">
        <f>IF(126392.07087="","-",126392.07087)</f>
        <v>126392.07087</v>
      </c>
      <c r="D56" s="33">
        <f>IF(OR(94256.65415="",126392.07087=""),"-",126392.07087/94256.65415*100)</f>
        <v>134.09352582032002</v>
      </c>
      <c r="E56" s="33">
        <f>IF(94256.65415="","-",94256.65415/1980077.64559*100)</f>
        <v>4.7602504053276418</v>
      </c>
      <c r="F56" s="33">
        <f>IF(126392.07087="","-",126392.07087/2676670.83235*100)</f>
        <v>4.7219878269093432</v>
      </c>
      <c r="G56" s="33">
        <f>IF(OR(2362843.47408="",115536.39623="",94256.65415=""),"-",(94256.65415-115536.39623)/2362843.47408*100)</f>
        <v>-0.90059888915348085</v>
      </c>
      <c r="H56" s="33">
        <f>IF(OR(1980077.64559="",126392.07087="",94256.65415=""),"-",(126392.07087-94256.65415)/1980077.64559*100)</f>
        <v>1.6229372010522678</v>
      </c>
    </row>
    <row r="57" spans="1:8" s="36" customFormat="1" ht="16.5" customHeight="1" x14ac:dyDescent="0.2">
      <c r="A57" s="60" t="s">
        <v>282</v>
      </c>
      <c r="B57" s="61" t="s">
        <v>30</v>
      </c>
      <c r="C57" s="32">
        <f>IF(59845.60626="","-",59845.60626)</f>
        <v>59845.60626</v>
      </c>
      <c r="D57" s="33">
        <f>IF(OR(44256.7499="",59845.60626=""),"-",59845.60626/44256.7499*100)</f>
        <v>135.22368089663991</v>
      </c>
      <c r="E57" s="33">
        <f>IF(44256.7499="","-",44256.7499/1980077.64559*100)</f>
        <v>2.2351017394983468</v>
      </c>
      <c r="F57" s="33">
        <f>IF(59845.60626="","-",59845.60626/2676670.83235*100)</f>
        <v>2.2358224080716784</v>
      </c>
      <c r="G57" s="33">
        <f>IF(OR(2362843.47408="",48030.05893="",44256.7499=""),"-",(44256.7499-48030.05893)/2362843.47408*100)</f>
        <v>-0.15969356715299043</v>
      </c>
      <c r="H57" s="33">
        <f>IF(OR(1980077.64559="",59845.60626="",44256.7499=""),"-",(59845.60626-44256.7499)/1980077.64559*100)</f>
        <v>0.78728510443614519</v>
      </c>
    </row>
    <row r="58" spans="1:8" s="36" customFormat="1" ht="16.5" customHeight="1" x14ac:dyDescent="0.2">
      <c r="A58" s="60" t="s">
        <v>283</v>
      </c>
      <c r="B58" s="61" t="s">
        <v>176</v>
      </c>
      <c r="C58" s="32">
        <f>IF(62868.56144="","-",62868.56144)</f>
        <v>62868.561439999998</v>
      </c>
      <c r="D58" s="33">
        <f>IF(OR(47768.16835="",62868.56144=""),"-",62868.56144/47768.16835*100)</f>
        <v>131.61183191986467</v>
      </c>
      <c r="E58" s="33">
        <f>IF(47768.16835="","-",47768.16835/1980077.64559*100)</f>
        <v>2.4124391513832077</v>
      </c>
      <c r="F58" s="33">
        <f>IF(62868.56144="","-",62868.56144/2676670.83235*100)</f>
        <v>2.3487595366668286</v>
      </c>
      <c r="G58" s="33">
        <f>IF(OR(2362843.47408="",50261.65125="",47768.16835=""),"-",(47768.16835-50261.65125)/2362843.47408*100)</f>
        <v>-0.10552890732514005</v>
      </c>
      <c r="H58" s="33">
        <f>IF(OR(1980077.64559="",62868.56144="",47768.16835=""),"-",(62868.56144-47768.16835)/1980077.64559*100)</f>
        <v>0.76261620970426958</v>
      </c>
    </row>
    <row r="59" spans="1:8" s="36" customFormat="1" ht="15.75" customHeight="1" x14ac:dyDescent="0.2">
      <c r="A59" s="60" t="s">
        <v>284</v>
      </c>
      <c r="B59" s="61" t="s">
        <v>31</v>
      </c>
      <c r="C59" s="32">
        <f>IF(30427.53847="","-",30427.53847)</f>
        <v>30427.53847</v>
      </c>
      <c r="D59" s="33">
        <f>IF(OR(24683.14935="",30427.53847=""),"-",30427.53847/24683.14935*100)</f>
        <v>123.27251291375426</v>
      </c>
      <c r="E59" s="33">
        <f>IF(24683.14935="","-",24683.14935/1980077.64559*100)</f>
        <v>1.246574820183135</v>
      </c>
      <c r="F59" s="33">
        <f>IF(30427.53847="","-",30427.53847/2676670.83235*100)</f>
        <v>1.1367680367064765</v>
      </c>
      <c r="G59" s="33">
        <f>IF(OR(2362843.47408="",37822.78043="",24683.14935=""),"-",(24683.14935-37822.78043)/2362843.47408*100)</f>
        <v>-0.55609401232623179</v>
      </c>
      <c r="H59" s="33">
        <f>IF(OR(1980077.64559="",30427.53847="",24683.14935=""),"-",(30427.53847-24683.14935)/1980077.64559*100)</f>
        <v>0.29010928600672903</v>
      </c>
    </row>
    <row r="60" spans="1:8" s="36" customFormat="1" x14ac:dyDescent="0.2">
      <c r="A60" s="60" t="s">
        <v>285</v>
      </c>
      <c r="B60" s="61" t="s">
        <v>32</v>
      </c>
      <c r="C60" s="32">
        <f>IF(77882.75959="","-",77882.75959)</f>
        <v>77882.759590000001</v>
      </c>
      <c r="D60" s="33" t="s">
        <v>229</v>
      </c>
      <c r="E60" s="33">
        <f>IF(51151.54966="","-",51151.54966/1980077.64559*100)</f>
        <v>2.5833102946202122</v>
      </c>
      <c r="F60" s="33">
        <f>IF(77882.75959="","-",77882.75959/2676670.83235*100)</f>
        <v>2.9096876107706655</v>
      </c>
      <c r="G60" s="33">
        <f>IF(OR(2362843.47408="",61727.39999="",51151.54966=""),"-",(51151.54966-61727.39999)/2362843.47408*100)</f>
        <v>-0.44758996717367533</v>
      </c>
      <c r="H60" s="33">
        <f>IF(OR(1980077.64559="",77882.75959="",51151.54966=""),"-",(77882.75959-51151.54966)/1980077.64559*100)</f>
        <v>1.3500081670804862</v>
      </c>
    </row>
    <row r="61" spans="1:8" s="36" customFormat="1" ht="24" x14ac:dyDescent="0.2">
      <c r="A61" s="57" t="s">
        <v>286</v>
      </c>
      <c r="B61" s="58" t="s">
        <v>177</v>
      </c>
      <c r="C61" s="29">
        <f>IF(679858.47148="","-",679858.47148)</f>
        <v>679858.47147999995</v>
      </c>
      <c r="D61" s="30" t="s">
        <v>104</v>
      </c>
      <c r="E61" s="30">
        <f>IF(432830.31903="","-",432830.31903/1980077.64559*100)</f>
        <v>21.859259913064186</v>
      </c>
      <c r="F61" s="30">
        <f>IF(679858.47148="","-",679858.47148/2676670.83235*100)</f>
        <v>25.399405233669093</v>
      </c>
      <c r="G61" s="30">
        <f>IF(2362843.47408="","-",(432830.31903-550308.23143)/2362843.47408*100)</f>
        <v>-4.9718872066098836</v>
      </c>
      <c r="H61" s="30">
        <f>IF(1980077.64559="","-",(679858.47148-432830.31903)/1980077.64559*100)</f>
        <v>12.475680082555218</v>
      </c>
    </row>
    <row r="62" spans="1:8" s="36" customFormat="1" ht="24" x14ac:dyDescent="0.2">
      <c r="A62" s="60" t="s">
        <v>287</v>
      </c>
      <c r="B62" s="61" t="s">
        <v>178</v>
      </c>
      <c r="C62" s="32">
        <f>IF(11750.93853="","-",11750.93853)</f>
        <v>11750.938529999999</v>
      </c>
      <c r="D62" s="33" t="s">
        <v>105</v>
      </c>
      <c r="E62" s="33">
        <f>IF(6345.44979="","-",6345.44979/1980077.64559*100)</f>
        <v>0.32046469511599668</v>
      </c>
      <c r="F62" s="33">
        <f>IF(11750.93853="","-",11750.93853/2676670.83235*100)</f>
        <v>0.43901320954296014</v>
      </c>
      <c r="G62" s="33">
        <f>IF(OR(2362843.47408="",6095.68299="",6345.44979=""),"-",(6345.44979-6095.68299)/2362843.47408*100)</f>
        <v>1.0570602866414964E-2</v>
      </c>
      <c r="H62" s="33">
        <f>IF(OR(1980077.64559="",11750.93853="",6345.44979=""),"-",(11750.93853-6345.44979)/1980077.64559*100)</f>
        <v>0.27299377638240729</v>
      </c>
    </row>
    <row r="63" spans="1:8" s="36" customFormat="1" ht="27" customHeight="1" x14ac:dyDescent="0.2">
      <c r="A63" s="60" t="s">
        <v>288</v>
      </c>
      <c r="B63" s="61" t="s">
        <v>179</v>
      </c>
      <c r="C63" s="32">
        <f>IF(75189.70481="","-",75189.70481)</f>
        <v>75189.704809999996</v>
      </c>
      <c r="D63" s="33">
        <f>IF(OR(61944.98728="",75189.70481=""),"-",75189.70481/61944.98728*100)</f>
        <v>121.38141940385268</v>
      </c>
      <c r="E63" s="33">
        <f>IF(61944.98728="","-",61944.98728/1980077.64559*100)</f>
        <v>3.1284120306071315</v>
      </c>
      <c r="F63" s="33">
        <f>IF(75189.70481="","-",75189.70481/2676670.83235*100)</f>
        <v>2.8090755090713464</v>
      </c>
      <c r="G63" s="33">
        <f>IF(OR(2362843.47408="",82222.56632="",61944.98728=""),"-",(61944.98728-82222.56632)/2362843.47408*100)</f>
        <v>-0.85818545588997619</v>
      </c>
      <c r="H63" s="33">
        <f>IF(OR(1980077.64559="",75189.70481="",61944.98728=""),"-",(75189.70481-61944.98728)/1980077.64559*100)</f>
        <v>0.66889889694469484</v>
      </c>
    </row>
    <row r="64" spans="1:8" s="36" customFormat="1" ht="24" x14ac:dyDescent="0.2">
      <c r="A64" s="60" t="s">
        <v>289</v>
      </c>
      <c r="B64" s="61" t="s">
        <v>180</v>
      </c>
      <c r="C64" s="32">
        <f>IF(6483.14341="","-",6483.14341)</f>
        <v>6483.1434099999997</v>
      </c>
      <c r="D64" s="33">
        <f>IF(OR(5125.04165="",6483.14341=""),"-",6483.14341/5125.04165*100)</f>
        <v>126.49933118104512</v>
      </c>
      <c r="E64" s="33">
        <f>IF(5125.04165="","-",5125.04165/1980077.64559*100)</f>
        <v>0.2588303373564374</v>
      </c>
      <c r="F64" s="33">
        <f>IF(6483.14341="","-",6483.14341/2676670.83235*100)</f>
        <v>0.24220921495633005</v>
      </c>
      <c r="G64" s="33">
        <f>IF(OR(2362843.47408="",4118.20217="",5125.04165=""),"-",(5125.04165-4118.20217)/2362843.47408*100)</f>
        <v>4.261134903961529E-2</v>
      </c>
      <c r="H64" s="33">
        <f>IF(OR(1980077.64559="",6483.14341="",5125.04165=""),"-",(6483.14341-5125.04165)/1980077.64559*100)</f>
        <v>6.8588308293098699E-2</v>
      </c>
    </row>
    <row r="65" spans="1:8" s="36" customFormat="1" ht="27.75" customHeight="1" x14ac:dyDescent="0.2">
      <c r="A65" s="60" t="s">
        <v>290</v>
      </c>
      <c r="B65" s="61" t="s">
        <v>181</v>
      </c>
      <c r="C65" s="32">
        <f>IF(94930.82833="","-",94930.82833)</f>
        <v>94930.828330000004</v>
      </c>
      <c r="D65" s="33">
        <f>IF(OR(69514.5114="",94930.82833=""),"-",94930.82833/69514.5114*100)</f>
        <v>136.56260602012949</v>
      </c>
      <c r="E65" s="33">
        <f>IF(69514.5114="","-",69514.5114/1980077.64559*100)</f>
        <v>3.5106962373330006</v>
      </c>
      <c r="F65" s="33">
        <f>IF(94930.82833="","-",94930.82833/2676670.83235*100)</f>
        <v>3.5466007692344781</v>
      </c>
      <c r="G65" s="33">
        <f>IF(OR(2362843.47408="",74663.13772="",69514.5114=""),"-",(69514.5114-74663.13772)/2362843.47408*100)</f>
        <v>-0.21789959328578343</v>
      </c>
      <c r="H65" s="33">
        <f>IF(OR(1980077.64559="",94930.82833="",69514.5114=""),"-",(94930.82833-69514.5114)/1980077.64559*100)</f>
        <v>1.2836020338195751</v>
      </c>
    </row>
    <row r="66" spans="1:8" s="36" customFormat="1" ht="27" customHeight="1" x14ac:dyDescent="0.2">
      <c r="A66" s="60" t="s">
        <v>291</v>
      </c>
      <c r="B66" s="61" t="s">
        <v>182</v>
      </c>
      <c r="C66" s="32">
        <f>IF(32055.01057="","-",32055.01057)</f>
        <v>32055.010569999999</v>
      </c>
      <c r="D66" s="33" t="s">
        <v>20</v>
      </c>
      <c r="E66" s="33">
        <f>IF(16069.35376="","-",16069.35376/1980077.64559*100)</f>
        <v>0.81155169827756146</v>
      </c>
      <c r="F66" s="33">
        <f>IF(32055.01057="","-",32055.01057/2676670.83235*100)</f>
        <v>1.1975701375972743</v>
      </c>
      <c r="G66" s="33">
        <f>IF(OR(2362843.47408="",18632.05379="",16069.35376=""),"-",(16069.35376-18632.05379)/2362843.47408*100)</f>
        <v>-0.1084583070403264</v>
      </c>
      <c r="H66" s="33">
        <f>IF(OR(1980077.64559="",32055.01057="",16069.35376=""),"-",(32055.01057-16069.35376)/1980077.64559*100)</f>
        <v>0.80732474535041687</v>
      </c>
    </row>
    <row r="67" spans="1:8" s="36" customFormat="1" ht="41.25" customHeight="1" x14ac:dyDescent="0.2">
      <c r="A67" s="60" t="s">
        <v>292</v>
      </c>
      <c r="B67" s="61" t="s">
        <v>183</v>
      </c>
      <c r="C67" s="32">
        <f>IF(71380.6153="","-",71380.6153)</f>
        <v>71380.615300000005</v>
      </c>
      <c r="D67" s="33">
        <f>IF(OR(49458.51304="",71380.6153=""),"-",71380.6153/49458.51304*100)</f>
        <v>144.32422430951434</v>
      </c>
      <c r="E67" s="33">
        <f>IF(49458.51304="","-",49458.51304/1980077.64559*100)</f>
        <v>2.4978067476370569</v>
      </c>
      <c r="F67" s="33">
        <f>IF(71380.6153="","-",71380.6153/2676670.83235*100)</f>
        <v>2.666768525935292</v>
      </c>
      <c r="G67" s="33">
        <f>IF(OR(2362843.47408="",58393.75695="",49458.51304=""),"-",(49458.51304-58393.75695)/2362843.47408*100)</f>
        <v>-0.37815640384215649</v>
      </c>
      <c r="H67" s="33">
        <f>IF(OR(1980077.64559="",71380.6153="",49458.51304=""),"-",(71380.6153-49458.51304)/1980077.64559*100)</f>
        <v>1.1071334656408345</v>
      </c>
    </row>
    <row r="68" spans="1:8" s="36" customFormat="1" ht="48" x14ac:dyDescent="0.2">
      <c r="A68" s="60" t="s">
        <v>293</v>
      </c>
      <c r="B68" s="61" t="s">
        <v>184</v>
      </c>
      <c r="C68" s="32">
        <f>IF(217015.39852="","-",217015.39852)</f>
        <v>217015.39851999999</v>
      </c>
      <c r="D68" s="33" t="s">
        <v>103</v>
      </c>
      <c r="E68" s="33">
        <f>IF(128646.51066="","-",128646.51066/1980077.64559*100)</f>
        <v>6.4970437369726204</v>
      </c>
      <c r="F68" s="33">
        <f>IF(217015.39852="","-",217015.39852/2676670.83235*100)</f>
        <v>8.1076610503305702</v>
      </c>
      <c r="G68" s="33">
        <f>IF(OR(2362843.47408="",171528.20035="",128646.51066=""),"-",(128646.51066-171528.20035)/2362843.47408*100)</f>
        <v>-1.8148341250872095</v>
      </c>
      <c r="H68" s="33">
        <f>IF(OR(1980077.64559="",217015.39852="",128646.51066=""),"-",(217015.39852-128646.51066)/1980077.64559*100)</f>
        <v>4.4629001320637043</v>
      </c>
    </row>
    <row r="69" spans="1:8" s="36" customFormat="1" ht="24" x14ac:dyDescent="0.2">
      <c r="A69" s="60" t="s">
        <v>294</v>
      </c>
      <c r="B69" s="61" t="s">
        <v>185</v>
      </c>
      <c r="C69" s="32">
        <f>IF(170185.86677="","-",170185.86677)</f>
        <v>170185.86676999999</v>
      </c>
      <c r="D69" s="33" t="s">
        <v>216</v>
      </c>
      <c r="E69" s="33">
        <f>IF(92270.62342="","-",92270.62342/1980077.64559*100)</f>
        <v>4.659949756288789</v>
      </c>
      <c r="F69" s="33">
        <f>IF(170185.86677="","-",170185.86677/2676670.83235*100)</f>
        <v>6.3581171324149812</v>
      </c>
      <c r="G69" s="33">
        <f>IF(OR(2362843.47408="",131864.09462="",92270.62342=""),"-",(92270.62342-131864.09462)/2362843.47408*100)</f>
        <v>-1.6756705060802284</v>
      </c>
      <c r="H69" s="33">
        <f>IF(OR(1980077.64559="",170185.86677="",92270.62342=""),"-",(170185.86677-92270.62342)/1980077.64559*100)</f>
        <v>3.9349589913068148</v>
      </c>
    </row>
    <row r="70" spans="1:8" s="36" customFormat="1" x14ac:dyDescent="0.2">
      <c r="A70" s="60" t="s">
        <v>295</v>
      </c>
      <c r="B70" s="61" t="s">
        <v>33</v>
      </c>
      <c r="C70" s="32">
        <f>IF(866.96524="","-",866.96524)</f>
        <v>866.96523999999999</v>
      </c>
      <c r="D70" s="33">
        <f>IF(OR(3455.32803="",866.96524=""),"-",866.96524/3455.32803*100)</f>
        <v>25.090678293719048</v>
      </c>
      <c r="E70" s="33">
        <f>IF(3455.32803="","-",3455.32803/1980077.64559*100)</f>
        <v>0.17450467347559104</v>
      </c>
      <c r="F70" s="33">
        <f>IF(866.96524="","-",866.96524/2676670.83235*100)</f>
        <v>3.2389684585864539E-2</v>
      </c>
      <c r="G70" s="33">
        <f>IF(OR(2362843.47408="",2790.53652="",3455.32803=""),"-",(3455.32803-2790.53652)/2362843.47408*100)</f>
        <v>2.813523270976907E-2</v>
      </c>
      <c r="H70" s="33">
        <f>IF(OR(1980077.64559="",866.96524="",3455.32803=""),"-",(866.96524-3455.32803)/1980077.64559*100)</f>
        <v>-0.1307202672463256</v>
      </c>
    </row>
    <row r="71" spans="1:8" s="36" customFormat="1" x14ac:dyDescent="0.2">
      <c r="A71" s="57" t="s">
        <v>296</v>
      </c>
      <c r="B71" s="58" t="s">
        <v>34</v>
      </c>
      <c r="C71" s="29">
        <f>IF(309517.13391="","-",309517.13391)</f>
        <v>309517.13390999998</v>
      </c>
      <c r="D71" s="30" t="s">
        <v>104</v>
      </c>
      <c r="E71" s="30">
        <f>IF(190751.91203="","-",190751.91203/1980077.64559*100)</f>
        <v>9.6335571716008133</v>
      </c>
      <c r="F71" s="30">
        <f>IF(309517.13391="","-",309517.13391/2676670.83235*100)</f>
        <v>11.563511290563042</v>
      </c>
      <c r="G71" s="30">
        <f>IF(2362843.47408="","-",(190751.91203-244409.17131)/2362843.47408*100)</f>
        <v>-2.2708765886784805</v>
      </c>
      <c r="H71" s="30">
        <f>IF(1980077.64559="","-",(309517.13391-190751.91203)/1980077.64559*100)</f>
        <v>5.9980083177299708</v>
      </c>
    </row>
    <row r="72" spans="1:8" ht="48" x14ac:dyDescent="0.2">
      <c r="A72" s="60" t="s">
        <v>297</v>
      </c>
      <c r="B72" s="61" t="s">
        <v>211</v>
      </c>
      <c r="C72" s="32">
        <f>IF(23124.91889="","-",23124.91889)</f>
        <v>23124.918890000001</v>
      </c>
      <c r="D72" s="33" t="s">
        <v>103</v>
      </c>
      <c r="E72" s="33">
        <f>IF(13304.13546="","-",13304.13546/1980077.64559*100)</f>
        <v>0.67189968482452067</v>
      </c>
      <c r="F72" s="33">
        <f>IF(23124.91889="","-",23124.91889/2676670.83235*100)</f>
        <v>0.86394332132716278</v>
      </c>
      <c r="G72" s="33">
        <f>IF(OR(2362843.47408="",15535.49527="",13304.13546=""),"-",(13304.13546-15535.49527)/2362843.47408*100)</f>
        <v>-9.4435362920889429E-2</v>
      </c>
      <c r="H72" s="33">
        <f>IF(OR(1980077.64559="",23124.91889="",13304.13546=""),"-",(23124.91889-13304.13546)/1980077.64559*100)</f>
        <v>0.49597971331440999</v>
      </c>
    </row>
    <row r="73" spans="1:8" x14ac:dyDescent="0.2">
      <c r="A73" s="60" t="s">
        <v>298</v>
      </c>
      <c r="B73" s="61" t="s">
        <v>186</v>
      </c>
      <c r="C73" s="32">
        <f>IF(27408.76613="","-",27408.76613)</f>
        <v>27408.76613</v>
      </c>
      <c r="D73" s="33" t="s">
        <v>104</v>
      </c>
      <c r="E73" s="33">
        <f>IF(16652.92735="","-",16652.92735/1980077.64559*100)</f>
        <v>0.84102395616096959</v>
      </c>
      <c r="F73" s="33">
        <f>IF(27408.76613="","-",27408.76613/2676670.83235*100)</f>
        <v>1.0239871783538024</v>
      </c>
      <c r="G73" s="33">
        <f>IF(OR(2362843.47408="",20495.61609="",16652.92735=""),"-",(16652.92735-20495.61609)/2362843.47408*100)</f>
        <v>-0.16262984756094315</v>
      </c>
      <c r="H73" s="33">
        <f>IF(OR(1980077.64559="",27408.76613="",16652.92735=""),"-",(27408.76613-16652.92735)/1980077.64559*100)</f>
        <v>0.54320287913735332</v>
      </c>
    </row>
    <row r="74" spans="1:8" x14ac:dyDescent="0.2">
      <c r="A74" s="60" t="s">
        <v>299</v>
      </c>
      <c r="B74" s="61" t="s">
        <v>187</v>
      </c>
      <c r="C74" s="32">
        <f>IF(4604.87451="","-",4604.87451)</f>
        <v>4604.8745099999996</v>
      </c>
      <c r="D74" s="33" t="s">
        <v>229</v>
      </c>
      <c r="E74" s="33">
        <f>IF(2983.04621="","-",2983.04621/1980077.64559*100)</f>
        <v>0.1506529916462517</v>
      </c>
      <c r="F74" s="33">
        <f>IF(4604.87451="","-",4604.87451/2676670.83235*100)</f>
        <v>0.17203738518557851</v>
      </c>
      <c r="G74" s="33">
        <f>IF(OR(2362843.47408="",4133.41874="",2983.04621=""),"-",(2983.04621-4133.41874)/2362843.47408*100)</f>
        <v>-4.8685938896054493E-2</v>
      </c>
      <c r="H74" s="33">
        <f>IF(OR(1980077.64559="",4604.87451="",2983.04621=""),"-",(4604.87451-2983.04621)/1980077.64559*100)</f>
        <v>8.1907308211479082E-2</v>
      </c>
    </row>
    <row r="75" spans="1:8" x14ac:dyDescent="0.2">
      <c r="A75" s="60" t="s">
        <v>300</v>
      </c>
      <c r="B75" s="61" t="s">
        <v>188</v>
      </c>
      <c r="C75" s="32">
        <f>IF(72869.50604="","-",72869.50604)</f>
        <v>72869.506039999993</v>
      </c>
      <c r="D75" s="33" t="s">
        <v>103</v>
      </c>
      <c r="E75" s="33">
        <f>IF(43152.30617="","-",43152.30617/1980077.64559*100)</f>
        <v>2.1793239404580009</v>
      </c>
      <c r="F75" s="33">
        <f>IF(72869.50604="","-",72869.50604/2676670.83235*100)</f>
        <v>2.7223932490803793</v>
      </c>
      <c r="G75" s="33">
        <f>IF(OR(2362843.47408="",56896.13905="",43152.30617=""),"-",(43152.30617-56896.13905)/2362843.47408*100)</f>
        <v>-0.58166497403520612</v>
      </c>
      <c r="H75" s="33">
        <f>IF(OR(1980077.64559="",72869.50604="",43152.30617=""),"-",(72869.50604-43152.30617)/1980077.64559*100)</f>
        <v>1.5008098261290765</v>
      </c>
    </row>
    <row r="76" spans="1:8" x14ac:dyDescent="0.2">
      <c r="A76" s="60" t="s">
        <v>301</v>
      </c>
      <c r="B76" s="61" t="s">
        <v>189</v>
      </c>
      <c r="C76" s="32">
        <f>IF(21027.85223="","-",21027.85223)</f>
        <v>21027.85223</v>
      </c>
      <c r="D76" s="33">
        <f>IF(OR(15140.64353="",21027.85223=""),"-",21027.85223/15140.64353*100)</f>
        <v>138.88347736564143</v>
      </c>
      <c r="E76" s="33">
        <f>IF(15140.64353="","-",15140.64353/1980077.64559*100)</f>
        <v>0.7646489804943265</v>
      </c>
      <c r="F76" s="33">
        <f>IF(21027.85223="","-",21027.85223/2676670.83235*100)</f>
        <v>0.78559724176238988</v>
      </c>
      <c r="G76" s="33">
        <f>IF(OR(2362843.47408="",21057.52587="",15140.64353=""),"-",(15140.64353-21057.52587)/2362843.47408*100)</f>
        <v>-0.2504136395367369</v>
      </c>
      <c r="H76" s="33">
        <f>IF(OR(1980077.64559="",21027.85223="",15140.64353=""),"-",(21027.85223-15140.64353)/1980077.64559*100)</f>
        <v>0.29732211325711932</v>
      </c>
    </row>
    <row r="77" spans="1:8" ht="24" x14ac:dyDescent="0.2">
      <c r="A77" s="60" t="s">
        <v>302</v>
      </c>
      <c r="B77" s="61" t="s">
        <v>212</v>
      </c>
      <c r="C77" s="32">
        <f>IF(40045.55478="","-",40045.55478)</f>
        <v>40045.554779999999</v>
      </c>
      <c r="D77" s="33" t="s">
        <v>20</v>
      </c>
      <c r="E77" s="33">
        <f>IF(20512.68612="","-",20512.68612/1980077.64559*100)</f>
        <v>1.0359536236210509</v>
      </c>
      <c r="F77" s="33">
        <f>IF(40045.55478="","-",40045.55478/2676670.83235*100)</f>
        <v>1.4960956086199719</v>
      </c>
      <c r="G77" s="33">
        <f>IF(OR(2362843.47408="",23791.41991="",20512.68612=""),"-",(20512.68612-23791.41991)/2362843.47408*100)</f>
        <v>-0.13876220858330932</v>
      </c>
      <c r="H77" s="33">
        <f>IF(OR(1980077.64559="",40045.55478="",20512.68612=""),"-",(40045.55478-20512.68612)/1980077.64559*100)</f>
        <v>0.98646983382208875</v>
      </c>
    </row>
    <row r="78" spans="1:8" ht="36" x14ac:dyDescent="0.2">
      <c r="A78" s="60" t="s">
        <v>303</v>
      </c>
      <c r="B78" s="61" t="s">
        <v>190</v>
      </c>
      <c r="C78" s="32">
        <f>IF(8099.24219="","-",8099.24219)</f>
        <v>8099.2421899999999</v>
      </c>
      <c r="D78" s="33" t="s">
        <v>20</v>
      </c>
      <c r="E78" s="33">
        <f>IF(4117.50658="","-",4117.50658/1980077.64559*100)</f>
        <v>0.2079467231585817</v>
      </c>
      <c r="F78" s="33">
        <f>IF(8099.24219="","-",8099.24219/2676670.83235*100)</f>
        <v>0.30258641040628892</v>
      </c>
      <c r="G78" s="33">
        <f>IF(OR(2362843.47408="",4966.26944="",4117.50658=""),"-",(4117.50658-4966.26944)/2362843.47408*100)</f>
        <v>-3.5921247823259866E-2</v>
      </c>
      <c r="H78" s="33">
        <f>IF(OR(1980077.64559="",8099.24219="",4117.50658=""),"-",(8099.24219-4117.50658)/1980077.64559*100)</f>
        <v>0.2010898723526354</v>
      </c>
    </row>
    <row r="79" spans="1:8" x14ac:dyDescent="0.2">
      <c r="A79" s="60" t="s">
        <v>304</v>
      </c>
      <c r="B79" s="61" t="s">
        <v>35</v>
      </c>
      <c r="C79" s="32">
        <f>IF(112336.41914="","-",112336.41914)</f>
        <v>112336.41914</v>
      </c>
      <c r="D79" s="33" t="s">
        <v>229</v>
      </c>
      <c r="E79" s="33">
        <f>IF(74888.66061="","-",74888.66061/1980077.64559*100)</f>
        <v>3.7821072712371118</v>
      </c>
      <c r="F79" s="33">
        <f>IF(112336.41914="","-",112336.41914/2676670.83235*100)</f>
        <v>4.1968708958274688</v>
      </c>
      <c r="G79" s="33">
        <f>IF(OR(2362843.47408="",97533.28694="",74888.66061=""),"-",(74888.66061-97533.28694)/2362843.47408*100)</f>
        <v>-0.95836336932208099</v>
      </c>
      <c r="H79" s="33">
        <f>IF(OR(1980077.64559="",112336.41914="",74888.66061=""),"-",(112336.41914-74888.66061)/1980077.64559*100)</f>
        <v>1.8912267715058089</v>
      </c>
    </row>
    <row r="80" spans="1:8" ht="15.75" customHeight="1" x14ac:dyDescent="0.2">
      <c r="A80" s="63" t="s">
        <v>308</v>
      </c>
      <c r="B80" s="64" t="s">
        <v>191</v>
      </c>
      <c r="C80" s="65">
        <f>IF(79.45405="","-",79.45405)</f>
        <v>79.454049999999995</v>
      </c>
      <c r="D80" s="80">
        <f>IF(174.27118="","-",79.45405/174.27118*100)</f>
        <v>45.592191434062705</v>
      </c>
      <c r="E80" s="80">
        <f>IF(174.27118="","-",174.27118/1980077.64559*100)</f>
        <v>8.8012296077446366E-3</v>
      </c>
      <c r="F80" s="80">
        <f>IF(79.45405="","-",79.45405/2676670.83235*100)</f>
        <v>2.9683907725868114E-3</v>
      </c>
      <c r="G80" s="80">
        <f>IF(2362843.47408="","-",(174.27118-133.0289)/2362843.47408*100)</f>
        <v>1.745451209630301E-3</v>
      </c>
      <c r="H80" s="80">
        <f>IF(1980077.64559="","-",(79.45405-174.27118)/1980077.64559*100)</f>
        <v>-4.7885561564302952E-3</v>
      </c>
    </row>
    <row r="81" spans="1:5" x14ac:dyDescent="0.2">
      <c r="A81" s="1" t="s">
        <v>313</v>
      </c>
      <c r="B81" s="3"/>
      <c r="C81" s="3"/>
      <c r="D81" s="3"/>
      <c r="E81" s="3"/>
    </row>
    <row r="82" spans="1:5" ht="13.5" x14ac:dyDescent="0.2">
      <c r="A82" s="2" t="s">
        <v>382</v>
      </c>
      <c r="B82" s="2"/>
      <c r="C82" s="2"/>
      <c r="D82" s="2"/>
      <c r="E82" s="2"/>
    </row>
  </sheetData>
  <mergeCells count="12">
    <mergeCell ref="A82:E82"/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G81"/>
  <sheetViews>
    <sheetView zoomScale="99" zoomScaleNormal="99" workbookViewId="0">
      <selection sqref="A1:XFD1048576"/>
    </sheetView>
  </sheetViews>
  <sheetFormatPr defaultRowHeight="12" x14ac:dyDescent="0.2"/>
  <cols>
    <col min="1" max="1" width="7" style="7" customWidth="1"/>
    <col min="2" max="2" width="36" style="7" customWidth="1"/>
    <col min="3" max="3" width="13.875" style="7" customWidth="1"/>
    <col min="4" max="4" width="14.125" style="7" customWidth="1"/>
    <col min="5" max="5" width="15.75" style="7" customWidth="1"/>
    <col min="6" max="6" width="9" style="7"/>
    <col min="7" max="7" width="12.125" style="7" bestFit="1" customWidth="1"/>
    <col min="8" max="16384" width="9" style="7"/>
  </cols>
  <sheetData>
    <row r="1" spans="1:7" x14ac:dyDescent="0.2">
      <c r="B1" s="40" t="s">
        <v>386</v>
      </c>
      <c r="C1" s="40"/>
      <c r="D1" s="40"/>
      <c r="E1" s="40"/>
    </row>
    <row r="2" spans="1:7" x14ac:dyDescent="0.2">
      <c r="B2" s="40" t="s">
        <v>312</v>
      </c>
      <c r="C2" s="40"/>
      <c r="D2" s="40"/>
      <c r="E2" s="40"/>
    </row>
    <row r="3" spans="1:7" x14ac:dyDescent="0.2">
      <c r="B3" s="41"/>
    </row>
    <row r="4" spans="1:7" x14ac:dyDescent="0.2">
      <c r="A4" s="42" t="s">
        <v>309</v>
      </c>
      <c r="B4" s="42"/>
      <c r="C4" s="43" t="s">
        <v>331</v>
      </c>
      <c r="D4" s="44"/>
      <c r="E4" s="45" t="s">
        <v>332</v>
      </c>
      <c r="F4" s="46"/>
    </row>
    <row r="5" spans="1:7" ht="21.75" customHeight="1" x14ac:dyDescent="0.2">
      <c r="A5" s="47"/>
      <c r="B5" s="47"/>
      <c r="C5" s="48">
        <v>2020</v>
      </c>
      <c r="D5" s="49">
        <v>2021</v>
      </c>
      <c r="E5" s="50"/>
      <c r="F5" s="46"/>
    </row>
    <row r="6" spans="1:7" x14ac:dyDescent="0.2">
      <c r="A6" s="51"/>
      <c r="B6" s="52" t="s">
        <v>326</v>
      </c>
      <c r="C6" s="23">
        <v>-999479.88850999996</v>
      </c>
      <c r="D6" s="23">
        <f>IF(-1571963.05179="","-",-1571963.05179)</f>
        <v>-1571963.0517899999</v>
      </c>
      <c r="E6" s="53" t="s">
        <v>104</v>
      </c>
      <c r="G6" s="54"/>
    </row>
    <row r="7" spans="1:7" x14ac:dyDescent="0.2">
      <c r="A7" s="51"/>
      <c r="B7" s="25" t="s">
        <v>133</v>
      </c>
      <c r="C7" s="26"/>
      <c r="D7" s="55"/>
      <c r="E7" s="56"/>
    </row>
    <row r="8" spans="1:7" x14ac:dyDescent="0.2">
      <c r="A8" s="57" t="s">
        <v>236</v>
      </c>
      <c r="B8" s="58" t="s">
        <v>192</v>
      </c>
      <c r="C8" s="29">
        <f>IF(14212.35248="","-",14212.35248)</f>
        <v>14212.35248</v>
      </c>
      <c r="D8" s="29">
        <v>-127235.23586</v>
      </c>
      <c r="E8" s="59" t="s">
        <v>22</v>
      </c>
    </row>
    <row r="9" spans="1:7" x14ac:dyDescent="0.2">
      <c r="A9" s="60" t="s">
        <v>237</v>
      </c>
      <c r="B9" s="61" t="s">
        <v>23</v>
      </c>
      <c r="C9" s="32">
        <f>IF(OR(2305.46698="",2305.46698=0),"-",2305.46698)</f>
        <v>2305.4669800000001</v>
      </c>
      <c r="D9" s="32">
        <v>2212.1089299999999</v>
      </c>
      <c r="E9" s="62">
        <f>IF(OR(2305.46698="",2212.10893="",2305.46698=0,2212.10893=0),"-",2212.10893/2305.46698*100)</f>
        <v>95.950579608821798</v>
      </c>
    </row>
    <row r="10" spans="1:7" x14ac:dyDescent="0.2">
      <c r="A10" s="60" t="s">
        <v>238</v>
      </c>
      <c r="B10" s="61" t="s">
        <v>193</v>
      </c>
      <c r="C10" s="32">
        <f>IF(OR(-13382.51377="",-13382.51377=0),"-",-13382.51377)</f>
        <v>-13382.51377</v>
      </c>
      <c r="D10" s="32">
        <v>-19561.154050000001</v>
      </c>
      <c r="E10" s="62">
        <f>IF(OR(-13382.51377="",-19561.15405="",-13382.51377=0,-19561.15405=0),"-",-19561.15405/-13382.51377*100)</f>
        <v>146.16950437107604</v>
      </c>
    </row>
    <row r="11" spans="1:7" x14ac:dyDescent="0.2">
      <c r="A11" s="60" t="s">
        <v>239</v>
      </c>
      <c r="B11" s="61" t="s">
        <v>194</v>
      </c>
      <c r="C11" s="32">
        <f>IF(OR(-28785.73998="",-28785.73998=0),"-",-28785.73998)</f>
        <v>-28785.739979999998</v>
      </c>
      <c r="D11" s="32">
        <v>-32633.248159999999</v>
      </c>
      <c r="E11" s="62">
        <f>IF(OR(-28785.73998="",-32633.24816="",-28785.73998=0,-32633.24816=0),"-",-32633.24816/-28785.73998*100)</f>
        <v>113.36602144906888</v>
      </c>
    </row>
    <row r="12" spans="1:7" x14ac:dyDescent="0.2">
      <c r="A12" s="60" t="s">
        <v>240</v>
      </c>
      <c r="B12" s="61" t="s">
        <v>195</v>
      </c>
      <c r="C12" s="32">
        <f>IF(OR(-22027.19069="",-22027.19069=0),"-",-22027.19069)</f>
        <v>-22027.190689999999</v>
      </c>
      <c r="D12" s="32">
        <v>-28545.912079999998</v>
      </c>
      <c r="E12" s="62">
        <f>IF(OR(-22027.19069="",-28545.91208="",-22027.19069=0,-28545.91208=0),"-",-28545.91208/-22027.19069*100)</f>
        <v>129.59397538134266</v>
      </c>
    </row>
    <row r="13" spans="1:7" x14ac:dyDescent="0.2">
      <c r="A13" s="60" t="s">
        <v>241</v>
      </c>
      <c r="B13" s="61" t="s">
        <v>196</v>
      </c>
      <c r="C13" s="32">
        <f>IF(OR(56940.36817="",56940.36817=0),"-",56940.36817)</f>
        <v>56940.368170000002</v>
      </c>
      <c r="D13" s="32">
        <v>2505.8684600000001</v>
      </c>
      <c r="E13" s="62">
        <f>IF(OR(56940.36817="",2505.86846="",56940.36817=0,2505.86846=0),"-",2505.86846/56940.36817*100)</f>
        <v>4.4008645193837355</v>
      </c>
    </row>
    <row r="14" spans="1:7" x14ac:dyDescent="0.2">
      <c r="A14" s="60" t="s">
        <v>242</v>
      </c>
      <c r="B14" s="61" t="s">
        <v>197</v>
      </c>
      <c r="C14" s="32">
        <f>IF(OR(65363.59623="",65363.59623=0),"-",65363.59623)</f>
        <v>65363.596230000003</v>
      </c>
      <c r="D14" s="32">
        <v>24297.722890000001</v>
      </c>
      <c r="E14" s="62">
        <f>IF(OR(65363.59623="",24297.72289="",65363.59623=0,24297.72289=0),"-",24297.72289/65363.59623*100)</f>
        <v>37.173173282115172</v>
      </c>
    </row>
    <row r="15" spans="1:7" x14ac:dyDescent="0.2">
      <c r="A15" s="60" t="s">
        <v>243</v>
      </c>
      <c r="B15" s="61" t="s">
        <v>155</v>
      </c>
      <c r="C15" s="32">
        <f>IF(OR(1339.04145="",1339.04145=0),"-",1339.04145)</f>
        <v>1339.0414499999999</v>
      </c>
      <c r="D15" s="32">
        <v>-3766.12138</v>
      </c>
      <c r="E15" s="62" t="s">
        <v>22</v>
      </c>
    </row>
    <row r="16" spans="1:7" ht="24" x14ac:dyDescent="0.2">
      <c r="A16" s="60" t="s">
        <v>244</v>
      </c>
      <c r="B16" s="61" t="s">
        <v>198</v>
      </c>
      <c r="C16" s="32">
        <f>IF(OR(-16473.96038="",-16473.96038=0),"-",-16473.96038)</f>
        <v>-16473.96038</v>
      </c>
      <c r="D16" s="32">
        <v>-20545.67942</v>
      </c>
      <c r="E16" s="62">
        <f>IF(OR(-16473.96038="",-20545.67942="",-16473.96038=0,-20545.67942=0),"-",-20545.67942/-16473.96038*100)</f>
        <v>124.71609100713401</v>
      </c>
    </row>
    <row r="17" spans="1:5" ht="24" x14ac:dyDescent="0.2">
      <c r="A17" s="60" t="s">
        <v>245</v>
      </c>
      <c r="B17" s="61" t="s">
        <v>156</v>
      </c>
      <c r="C17" s="32">
        <f>IF(OR(-886.5469="",-886.5469=0),"-",-886.5469)</f>
        <v>-886.54690000000005</v>
      </c>
      <c r="D17" s="32">
        <v>-12753.80279</v>
      </c>
      <c r="E17" s="62" t="s">
        <v>360</v>
      </c>
    </row>
    <row r="18" spans="1:5" x14ac:dyDescent="0.2">
      <c r="A18" s="60" t="s">
        <v>246</v>
      </c>
      <c r="B18" s="61" t="s">
        <v>199</v>
      </c>
      <c r="C18" s="32">
        <f>IF(OR(-30180.16863="",-30180.16863=0),"-",-30180.16863)</f>
        <v>-30180.16863</v>
      </c>
      <c r="D18" s="32">
        <v>-38445.018259999997</v>
      </c>
      <c r="E18" s="62">
        <f>IF(OR(-30180.16863="",-38445.01826="",-30180.16863=0,-38445.01826=0),"-",-38445.01826/-30180.16863*100)</f>
        <v>127.38503462762129</v>
      </c>
    </row>
    <row r="19" spans="1:5" x14ac:dyDescent="0.2">
      <c r="A19" s="57" t="s">
        <v>247</v>
      </c>
      <c r="B19" s="58" t="s">
        <v>200</v>
      </c>
      <c r="C19" s="29">
        <f>IF(32133.66864="","-",32133.66864)</f>
        <v>32133.66864</v>
      </c>
      <c r="D19" s="29">
        <v>37942.815750000002</v>
      </c>
      <c r="E19" s="59">
        <f>IF(32133.66864="","-",37942.81575/32133.66864*100)</f>
        <v>118.07806999904385</v>
      </c>
    </row>
    <row r="20" spans="1:5" x14ac:dyDescent="0.2">
      <c r="A20" s="60" t="s">
        <v>248</v>
      </c>
      <c r="B20" s="61" t="s">
        <v>201</v>
      </c>
      <c r="C20" s="32">
        <f>IF(OR(46997.25443="",46997.25443=0),"-",46997.25443)</f>
        <v>46997.254430000001</v>
      </c>
      <c r="D20" s="32">
        <v>49793.375169999999</v>
      </c>
      <c r="E20" s="62">
        <f>IF(OR(46997.25443="",49793.37517="",46997.25443=0,49793.37517=0),"-",49793.37517/46997.25443*100)</f>
        <v>105.94954061447285</v>
      </c>
    </row>
    <row r="21" spans="1:5" x14ac:dyDescent="0.2">
      <c r="A21" s="60" t="s">
        <v>249</v>
      </c>
      <c r="B21" s="61" t="s">
        <v>202</v>
      </c>
      <c r="C21" s="32">
        <f>IF(OR(-14863.58579="",-14863.58579=0),"-",-14863.58579)</f>
        <v>-14863.585789999999</v>
      </c>
      <c r="D21" s="32">
        <v>-11850.55942</v>
      </c>
      <c r="E21" s="62">
        <f>IF(OR(-14863.58579="",-11850.55942="",-14863.58579=0,-11850.55942=0),"-",-11850.55942/-14863.58579*100)</f>
        <v>79.728805602029624</v>
      </c>
    </row>
    <row r="22" spans="1:5" ht="24" x14ac:dyDescent="0.2">
      <c r="A22" s="57" t="s">
        <v>250</v>
      </c>
      <c r="B22" s="58" t="s">
        <v>24</v>
      </c>
      <c r="C22" s="29">
        <f>IF(24699.17041="","-",24699.17041)</f>
        <v>24699.170409999999</v>
      </c>
      <c r="D22" s="29">
        <v>20913.566750000002</v>
      </c>
      <c r="E22" s="59">
        <f>IF(24699.17041="","-",20913.56675/24699.17041*100)</f>
        <v>84.673154615479262</v>
      </c>
    </row>
    <row r="23" spans="1:5" x14ac:dyDescent="0.2">
      <c r="A23" s="60" t="s">
        <v>251</v>
      </c>
      <c r="B23" s="61" t="s">
        <v>209</v>
      </c>
      <c r="C23" s="32">
        <f>IF(OR(600.94466="",600.94466=0),"-",600.94466)</f>
        <v>600.94466</v>
      </c>
      <c r="D23" s="32">
        <v>590.13962000000004</v>
      </c>
      <c r="E23" s="62">
        <f>IF(OR(600.94466="",590.13962="",600.94466=0,590.13962=0),"-",590.13962/600.94466*100)</f>
        <v>98.201990845546419</v>
      </c>
    </row>
    <row r="24" spans="1:5" x14ac:dyDescent="0.2">
      <c r="A24" s="60" t="s">
        <v>252</v>
      </c>
      <c r="B24" s="61" t="s">
        <v>203</v>
      </c>
      <c r="C24" s="32">
        <f>IF(OR(53955.50469="",53955.50469=0),"-",53955.50469)</f>
        <v>53955.504690000002</v>
      </c>
      <c r="D24" s="32">
        <v>35742.414940000002</v>
      </c>
      <c r="E24" s="62">
        <f>IF(OR(53955.50469="",35742.41494="",53955.50469=0,35742.41494=0),"-",35742.41494/53955.50469*100)</f>
        <v>66.244241705007028</v>
      </c>
    </row>
    <row r="25" spans="1:5" ht="17.25" customHeight="1" x14ac:dyDescent="0.2">
      <c r="A25" s="60" t="s">
        <v>306</v>
      </c>
      <c r="B25" s="61" t="s">
        <v>204</v>
      </c>
      <c r="C25" s="32">
        <f>IF(OR(-447.64544="",-447.64544=0),"-",-447.64544)</f>
        <v>-447.64544000000001</v>
      </c>
      <c r="D25" s="32">
        <v>-860.98158999999998</v>
      </c>
      <c r="E25" s="62">
        <f>IF(OR(-447.64544="",-860.98159="",-447.64544=0,-860.98159=0),"-",-860.98159/-447.64544*100)</f>
        <v>192.33561052247063</v>
      </c>
    </row>
    <row r="26" spans="1:5" x14ac:dyDescent="0.2">
      <c r="A26" s="60" t="s">
        <v>253</v>
      </c>
      <c r="B26" s="61" t="s">
        <v>205</v>
      </c>
      <c r="C26" s="32">
        <f>IF(OR(-11477.09969="",-11477.09969=0),"-",-11477.09969)</f>
        <v>-11477.099689999999</v>
      </c>
      <c r="D26" s="32">
        <v>-13399.401379999999</v>
      </c>
      <c r="E26" s="62">
        <f>IF(OR(-11477.09969="",-13399.40138="",-11477.09969=0,-13399.40138=0),"-",-13399.40138/-11477.09969*100)</f>
        <v>116.7490197168445</v>
      </c>
    </row>
    <row r="27" spans="1:5" x14ac:dyDescent="0.2">
      <c r="A27" s="60" t="s">
        <v>254</v>
      </c>
      <c r="B27" s="61" t="s">
        <v>157</v>
      </c>
      <c r="C27" s="32">
        <f>IF(OR(538.56311="",538.56311=0),"-",538.56311)</f>
        <v>538.56311000000005</v>
      </c>
      <c r="D27" s="32">
        <v>1731.51343</v>
      </c>
      <c r="E27" s="62" t="s">
        <v>230</v>
      </c>
    </row>
    <row r="28" spans="1:5" ht="36" x14ac:dyDescent="0.2">
      <c r="A28" s="60" t="s">
        <v>255</v>
      </c>
      <c r="B28" s="61" t="s">
        <v>158</v>
      </c>
      <c r="C28" s="32">
        <f>IF(OR(-2497.84946="",-2497.84946=0),"-",-2497.84946)</f>
        <v>-2497.8494599999999</v>
      </c>
      <c r="D28" s="32">
        <v>-3793.2258299999999</v>
      </c>
      <c r="E28" s="62" t="s">
        <v>229</v>
      </c>
    </row>
    <row r="29" spans="1:5" ht="24" x14ac:dyDescent="0.2">
      <c r="A29" s="60" t="s">
        <v>256</v>
      </c>
      <c r="B29" s="61" t="s">
        <v>159</v>
      </c>
      <c r="C29" s="32">
        <f>IF(OR(-2415.11431="",-2415.11431=0),"-",-2415.11431)</f>
        <v>-2415.1143099999999</v>
      </c>
      <c r="D29" s="32">
        <v>-4637.9850699999997</v>
      </c>
      <c r="E29" s="62" t="s">
        <v>105</v>
      </c>
    </row>
    <row r="30" spans="1:5" x14ac:dyDescent="0.2">
      <c r="A30" s="60" t="s">
        <v>257</v>
      </c>
      <c r="B30" s="61" t="s">
        <v>160</v>
      </c>
      <c r="C30" s="32">
        <f>IF(OR(3212.9452="",3212.9452=0),"-",3212.9452)</f>
        <v>3212.9452000000001</v>
      </c>
      <c r="D30" s="32">
        <v>31986.742569999999</v>
      </c>
      <c r="E30" s="62" t="s">
        <v>361</v>
      </c>
    </row>
    <row r="31" spans="1:5" x14ac:dyDescent="0.2">
      <c r="A31" s="60" t="s">
        <v>258</v>
      </c>
      <c r="B31" s="61" t="s">
        <v>161</v>
      </c>
      <c r="C31" s="32">
        <f>IF(OR(-16771.07835="",-16771.07835=0),"-",-16771.07835)</f>
        <v>-16771.07835</v>
      </c>
      <c r="D31" s="32">
        <v>-26445.649939999999</v>
      </c>
      <c r="E31" s="62" t="s">
        <v>104</v>
      </c>
    </row>
    <row r="32" spans="1:5" ht="15.75" customHeight="1" x14ac:dyDescent="0.2">
      <c r="A32" s="57" t="s">
        <v>259</v>
      </c>
      <c r="B32" s="58" t="s">
        <v>162</v>
      </c>
      <c r="C32" s="29">
        <f>IF(-267952.34767="","-",-267952.34767)</f>
        <v>-267952.34766999999</v>
      </c>
      <c r="D32" s="29">
        <v>-305810.62248999998</v>
      </c>
      <c r="E32" s="59">
        <f>IF(-267952.34767="","-",-305810.62249/-267952.34767*100)</f>
        <v>114.12873413843899</v>
      </c>
    </row>
    <row r="33" spans="1:5" x14ac:dyDescent="0.2">
      <c r="A33" s="60" t="s">
        <v>260</v>
      </c>
      <c r="B33" s="61" t="s">
        <v>206</v>
      </c>
      <c r="C33" s="32">
        <f>IF(OR(-4846.15693="",-4846.15693=0),"-",-4846.15693)</f>
        <v>-4846.1569300000001</v>
      </c>
      <c r="D33" s="32">
        <v>-3468.5314499999999</v>
      </c>
      <c r="E33" s="62">
        <f>IF(OR(-4846.15693="",-3468.53145="",-4846.15693=0,-3468.53145=0),"-",-3468.53145/-4846.15693*100)</f>
        <v>71.572825645165395</v>
      </c>
    </row>
    <row r="34" spans="1:5" x14ac:dyDescent="0.2">
      <c r="A34" s="60" t="s">
        <v>261</v>
      </c>
      <c r="B34" s="61" t="s">
        <v>163</v>
      </c>
      <c r="C34" s="32">
        <f>IF(OR(-149442.94173="",-149442.94173=0),"-",-149442.94173)</f>
        <v>-149442.94172999999</v>
      </c>
      <c r="D34" s="32">
        <v>-185516.68745999999</v>
      </c>
      <c r="E34" s="62">
        <f>IF(OR(-149442.94173="",-185516.68746="",-149442.94173=0,-185516.68746=0),"-",-185516.68746/-149442.94173*100)</f>
        <v>124.13880863987193</v>
      </c>
    </row>
    <row r="35" spans="1:5" x14ac:dyDescent="0.2">
      <c r="A35" s="60" t="s">
        <v>307</v>
      </c>
      <c r="B35" s="61" t="s">
        <v>207</v>
      </c>
      <c r="C35" s="32">
        <f>IF(OR(-105556.27147="",-105556.27147=0),"-",-105556.27147)</f>
        <v>-105556.27147000001</v>
      </c>
      <c r="D35" s="32">
        <v>-114553.11590999999</v>
      </c>
      <c r="E35" s="62">
        <f>IF(OR(-105556.27147="",-114553.11591="",-105556.27147=0,-114553.11591=0),"-",-114553.11591/-105556.27147*100)</f>
        <v>108.52326850381122</v>
      </c>
    </row>
    <row r="36" spans="1:5" x14ac:dyDescent="0.2">
      <c r="A36" s="60" t="s">
        <v>322</v>
      </c>
      <c r="B36" s="61" t="s">
        <v>325</v>
      </c>
      <c r="C36" s="32">
        <f>IF(OR(-8106.97754="",-8106.97754=0),"-",-8106.97754)</f>
        <v>-8106.9775399999999</v>
      </c>
      <c r="D36" s="32">
        <v>-2272.2876700000002</v>
      </c>
      <c r="E36" s="62">
        <f>IF(OR(-8106.97754="",-2272.28767="",-8106.97754=0,-2272.28767=0),"-",-2272.28767/-8106.97754*100)</f>
        <v>28.028789506181369</v>
      </c>
    </row>
    <row r="37" spans="1:5" ht="24" x14ac:dyDescent="0.2">
      <c r="A37" s="57" t="s">
        <v>262</v>
      </c>
      <c r="B37" s="58" t="s">
        <v>164</v>
      </c>
      <c r="C37" s="29">
        <f>IF(46660.10056="","-",46660.10056)</f>
        <v>46660.100559999999</v>
      </c>
      <c r="D37" s="29">
        <v>26540.353930000001</v>
      </c>
      <c r="E37" s="59">
        <f>IF(46660.10056="","-",26540.35393/46660.10056*100)</f>
        <v>56.880190165625308</v>
      </c>
    </row>
    <row r="38" spans="1:5" x14ac:dyDescent="0.2">
      <c r="A38" s="60" t="s">
        <v>263</v>
      </c>
      <c r="B38" s="61" t="s">
        <v>210</v>
      </c>
      <c r="C38" s="32">
        <f>IF(OR(-638.44674="",-638.44674=0),"-",-638.44674)</f>
        <v>-638.44673999999998</v>
      </c>
      <c r="D38" s="32">
        <v>-650.09690000000001</v>
      </c>
      <c r="E38" s="62">
        <f>IF(OR(-638.44674="",-650.0969="",-638.44674=0,-650.0969=0),"-",-650.0969/-638.44674*100)</f>
        <v>101.82476615042313</v>
      </c>
    </row>
    <row r="39" spans="1:5" ht="14.25" customHeight="1" x14ac:dyDescent="0.2">
      <c r="A39" s="60" t="s">
        <v>264</v>
      </c>
      <c r="B39" s="61" t="s">
        <v>165</v>
      </c>
      <c r="C39" s="32">
        <f>IF(OR(47951.5568="",47951.5568=0),"-",47951.5568)</f>
        <v>47951.556799999998</v>
      </c>
      <c r="D39" s="32">
        <v>28010.664990000001</v>
      </c>
      <c r="E39" s="62">
        <f>IF(OR(47951.5568="",28010.66499="",47951.5568=0,28010.66499=0),"-",28010.66499/47951.5568*100)</f>
        <v>58.41450592903378</v>
      </c>
    </row>
    <row r="40" spans="1:5" ht="48" x14ac:dyDescent="0.2">
      <c r="A40" s="60" t="s">
        <v>265</v>
      </c>
      <c r="B40" s="61" t="s">
        <v>208</v>
      </c>
      <c r="C40" s="32">
        <f>IF(OR(-653.0095="",-653.0095=0),"-",-653.0095)</f>
        <v>-653.0095</v>
      </c>
      <c r="D40" s="32">
        <v>-820.21415999999999</v>
      </c>
      <c r="E40" s="62">
        <f>IF(OR(-653.0095="",-820.21416="",-653.0095=0,-820.21416=0),"-",-820.21416/-653.0095*100)</f>
        <v>125.60524157764932</v>
      </c>
    </row>
    <row r="41" spans="1:5" ht="15" customHeight="1" x14ac:dyDescent="0.2">
      <c r="A41" s="57" t="s">
        <v>266</v>
      </c>
      <c r="B41" s="58" t="s">
        <v>166</v>
      </c>
      <c r="C41" s="29">
        <f>IF(-297314.22634="","-",-297314.22634)</f>
        <v>-297314.22633999999</v>
      </c>
      <c r="D41" s="29">
        <v>-361339.50456999999</v>
      </c>
      <c r="E41" s="59">
        <f>IF(-297314.22634="","-",-361339.50457/-297314.22634*100)</f>
        <v>121.53454915971042</v>
      </c>
    </row>
    <row r="42" spans="1:5" x14ac:dyDescent="0.2">
      <c r="A42" s="60" t="s">
        <v>267</v>
      </c>
      <c r="B42" s="61" t="s">
        <v>25</v>
      </c>
      <c r="C42" s="32">
        <f>IF(OR(14952.96905="",14952.96905=0),"-",14952.96905)</f>
        <v>14952.96905</v>
      </c>
      <c r="D42" s="32">
        <v>8561.6239800000003</v>
      </c>
      <c r="E42" s="62">
        <f>IF(OR(14952.96905="",8561.62398="",14952.96905=0,8561.62398=0),"-",8561.62398/14952.96905*100)</f>
        <v>57.257016659176465</v>
      </c>
    </row>
    <row r="43" spans="1:5" x14ac:dyDescent="0.2">
      <c r="A43" s="60" t="s">
        <v>268</v>
      </c>
      <c r="B43" s="61" t="s">
        <v>26</v>
      </c>
      <c r="C43" s="32">
        <f>IF(OR(-6525.82211="",-6525.82211=0),"-",-6525.82211)</f>
        <v>-6525.8221100000001</v>
      </c>
      <c r="D43" s="32">
        <v>-5691.0258199999998</v>
      </c>
      <c r="E43" s="62">
        <f>IF(OR(-6525.82211="",-5691.02582="",-6525.82211=0,-5691.02582=0),"-",-5691.02582/-6525.82211*100)</f>
        <v>87.207798865360118</v>
      </c>
    </row>
    <row r="44" spans="1:5" x14ac:dyDescent="0.2">
      <c r="A44" s="60" t="s">
        <v>269</v>
      </c>
      <c r="B44" s="61" t="s">
        <v>167</v>
      </c>
      <c r="C44" s="32">
        <f>IF(OR(-12233.91693="",-12233.91693=0),"-",-12233.91693)</f>
        <v>-12233.916929999999</v>
      </c>
      <c r="D44" s="32">
        <v>-16877.005789999999</v>
      </c>
      <c r="E44" s="62">
        <f>IF(OR(-12233.91693="",-16877.00579="",-12233.91693=0,-16877.00579=0),"-",-16877.00579/-12233.91693*100)</f>
        <v>137.95259430456179</v>
      </c>
    </row>
    <row r="45" spans="1:5" x14ac:dyDescent="0.2">
      <c r="A45" s="60" t="s">
        <v>270</v>
      </c>
      <c r="B45" s="61" t="s">
        <v>168</v>
      </c>
      <c r="C45" s="32">
        <f>IF(OR(-76448.57574="",-76448.57574=0),"-",-76448.57574)</f>
        <v>-76448.57574</v>
      </c>
      <c r="D45" s="32">
        <v>-92114.669070000004</v>
      </c>
      <c r="E45" s="62">
        <f>IF(OR(-76448.57574="",-92114.66907="",-76448.57574=0,-92114.66907=0),"-",-92114.66907/-76448.57574*100)</f>
        <v>120.4923285729744</v>
      </c>
    </row>
    <row r="46" spans="1:5" ht="36" x14ac:dyDescent="0.2">
      <c r="A46" s="60" t="s">
        <v>271</v>
      </c>
      <c r="B46" s="61" t="s">
        <v>169</v>
      </c>
      <c r="C46" s="32">
        <f>IF(OR(-37457.77929="",-37457.77929=0),"-",-37457.77929)</f>
        <v>-37457.779289999999</v>
      </c>
      <c r="D46" s="32">
        <v>-49954.137609999998</v>
      </c>
      <c r="E46" s="62">
        <f>IF(OR(-37457.77929="",-49954.13761="",-37457.77929=0,-49954.13761=0),"-",-49954.13761/-37457.77929*100)</f>
        <v>133.36118306227544</v>
      </c>
    </row>
    <row r="47" spans="1:5" x14ac:dyDescent="0.2">
      <c r="A47" s="60" t="s">
        <v>272</v>
      </c>
      <c r="B47" s="61" t="s">
        <v>170</v>
      </c>
      <c r="C47" s="32">
        <f>IF(OR(-45321.72673="",-45321.72673=0),"-",-45321.72673)</f>
        <v>-45321.726730000002</v>
      </c>
      <c r="D47" s="32">
        <v>-36052.146999999997</v>
      </c>
      <c r="E47" s="62">
        <f>IF(OR(-45321.72673="",-36052.147="",-45321.72673=0,-36052.147=0),"-",-36052.147/-45321.72673*100)</f>
        <v>79.547161154687089</v>
      </c>
    </row>
    <row r="48" spans="1:5" x14ac:dyDescent="0.2">
      <c r="A48" s="60" t="s">
        <v>273</v>
      </c>
      <c r="B48" s="61" t="s">
        <v>27</v>
      </c>
      <c r="C48" s="32">
        <f>IF(OR(-17093.12281="",-17093.12281=0),"-",-17093.12281)</f>
        <v>-17093.122810000001</v>
      </c>
      <c r="D48" s="32">
        <v>-23759.888900000002</v>
      </c>
      <c r="E48" s="62">
        <f>IF(OR(-17093.12281="",-23759.8889="",-17093.12281=0,-23759.8889=0),"-",-23759.8889/-17093.12281*100)</f>
        <v>139.00262207266033</v>
      </c>
    </row>
    <row r="49" spans="1:5" x14ac:dyDescent="0.2">
      <c r="A49" s="60" t="s">
        <v>274</v>
      </c>
      <c r="B49" s="61" t="s">
        <v>28</v>
      </c>
      <c r="C49" s="32">
        <f>IF(OR(-38138.5487="",-38138.5487=0),"-",-38138.5487)</f>
        <v>-38138.548699999999</v>
      </c>
      <c r="D49" s="32">
        <v>-57158.487240000002</v>
      </c>
      <c r="E49" s="62">
        <f>IF(OR(-38138.5487="",-57158.48724="",-38138.5487=0,-57158.48724=0),"-",-57158.48724/-38138.5487*100)</f>
        <v>149.87064056792491</v>
      </c>
    </row>
    <row r="50" spans="1:5" x14ac:dyDescent="0.2">
      <c r="A50" s="60" t="s">
        <v>275</v>
      </c>
      <c r="B50" s="61" t="s">
        <v>171</v>
      </c>
      <c r="C50" s="32">
        <f>IF(OR(-79047.70308="",-79047.70308=0),"-",-79047.70308)</f>
        <v>-79047.703080000007</v>
      </c>
      <c r="D50" s="32">
        <v>-88293.767120000004</v>
      </c>
      <c r="E50" s="62">
        <f>IF(OR(-79047.70308="",-88293.76712="",-79047.70308=0,-88293.76712=0),"-",-88293.76712/-79047.70308*100)</f>
        <v>111.69681556799004</v>
      </c>
    </row>
    <row r="51" spans="1:5" ht="24" x14ac:dyDescent="0.2">
      <c r="A51" s="57" t="s">
        <v>276</v>
      </c>
      <c r="B51" s="58" t="s">
        <v>214</v>
      </c>
      <c r="C51" s="29">
        <f>IF(-298422.0646="","-",-298422.0646)</f>
        <v>-298422.06459999998</v>
      </c>
      <c r="D51" s="29">
        <v>-398834.02466</v>
      </c>
      <c r="E51" s="59">
        <f>IF(-298422.0646="","-",-398834.02466/-298422.0646*100)</f>
        <v>133.64763265564514</v>
      </c>
    </row>
    <row r="52" spans="1:5" x14ac:dyDescent="0.2">
      <c r="A52" s="60" t="s">
        <v>277</v>
      </c>
      <c r="B52" s="61" t="s">
        <v>172</v>
      </c>
      <c r="C52" s="32">
        <f>IF(OR(-14915.33009="",-14915.33009=0),"-",-14915.33009)</f>
        <v>-14915.330089999999</v>
      </c>
      <c r="D52" s="32">
        <v>-23774.584729999999</v>
      </c>
      <c r="E52" s="62" t="s">
        <v>104</v>
      </c>
    </row>
    <row r="53" spans="1:5" x14ac:dyDescent="0.2">
      <c r="A53" s="60" t="s">
        <v>278</v>
      </c>
      <c r="B53" s="61" t="s">
        <v>29</v>
      </c>
      <c r="C53" s="32">
        <f>IF(OR(-20708.57121="",-20708.57121=0),"-",-20708.57121)</f>
        <v>-20708.571209999998</v>
      </c>
      <c r="D53" s="32">
        <v>-25077.618559999999</v>
      </c>
      <c r="E53" s="62">
        <f>IF(OR(-20708.57121="",-25077.61856="",-20708.57121=0,-25077.61856=0),"-",-25077.61856/-20708.57121*100)</f>
        <v>121.09777302207225</v>
      </c>
    </row>
    <row r="54" spans="1:5" x14ac:dyDescent="0.2">
      <c r="A54" s="60" t="s">
        <v>279</v>
      </c>
      <c r="B54" s="61" t="s">
        <v>173</v>
      </c>
      <c r="C54" s="32">
        <f>IF(OR(-18025.76291="",-18025.76291=0),"-",-18025.76291)</f>
        <v>-18025.762910000001</v>
      </c>
      <c r="D54" s="32">
        <v>-30046.691340000001</v>
      </c>
      <c r="E54" s="62" t="s">
        <v>103</v>
      </c>
    </row>
    <row r="55" spans="1:5" ht="24" x14ac:dyDescent="0.2">
      <c r="A55" s="60" t="s">
        <v>280</v>
      </c>
      <c r="B55" s="61" t="s">
        <v>174</v>
      </c>
      <c r="C55" s="32">
        <f>IF(OR(-32181.44404="",-32181.44404=0),"-",-32181.44404)</f>
        <v>-32181.444039999998</v>
      </c>
      <c r="D55" s="32">
        <v>-37957.091979999997</v>
      </c>
      <c r="E55" s="62">
        <f>IF(OR(-32181.44404="",-37957.09198="",-32181.44404=0,-37957.09198=0),"-",-37957.09198/-32181.44404*100)</f>
        <v>117.94713727830593</v>
      </c>
    </row>
    <row r="56" spans="1:5" ht="24" x14ac:dyDescent="0.2">
      <c r="A56" s="60" t="s">
        <v>281</v>
      </c>
      <c r="B56" s="61" t="s">
        <v>175</v>
      </c>
      <c r="C56" s="32">
        <f>IF(OR(-72605.02972="",-72605.02972=0),"-",-72605.02972)</f>
        <v>-72605.029720000006</v>
      </c>
      <c r="D56" s="32">
        <v>-93177.340750000003</v>
      </c>
      <c r="E56" s="62">
        <f>IF(OR(-72605.02972="",-93177.34075="",-72605.02972=0,-93177.34075=0),"-",-93177.34075/-72605.02972*100)</f>
        <v>128.33455355549987</v>
      </c>
    </row>
    <row r="57" spans="1:5" x14ac:dyDescent="0.2">
      <c r="A57" s="60" t="s">
        <v>282</v>
      </c>
      <c r="B57" s="61" t="s">
        <v>30</v>
      </c>
      <c r="C57" s="32">
        <f>IF(OR(-26999.70951="",-26999.70951=0),"-",-26999.70951)</f>
        <v>-26999.709510000001</v>
      </c>
      <c r="D57" s="32">
        <v>-37346.506560000002</v>
      </c>
      <c r="E57" s="62">
        <f>IF(OR(-26999.70951="",-37346.50656="",-26999.70951=0,-37346.50656=0),"-",-37346.50656/-26999.70951*100)</f>
        <v>138.32188285643522</v>
      </c>
    </row>
    <row r="58" spans="1:5" x14ac:dyDescent="0.2">
      <c r="A58" s="60" t="s">
        <v>283</v>
      </c>
      <c r="B58" s="61" t="s">
        <v>176</v>
      </c>
      <c r="C58" s="32">
        <f>IF(OR(-47127.63575="",-47127.63575=0),"-",-47127.63575)</f>
        <v>-47127.635750000001</v>
      </c>
      <c r="D58" s="32">
        <v>-60040.445269999997</v>
      </c>
      <c r="E58" s="62">
        <f>IF(OR(-47127.63575="",-60040.44527="",-47127.63575=0,-60040.44527=0),"-",-60040.44527/-47127.63575*100)</f>
        <v>127.39965481930631</v>
      </c>
    </row>
    <row r="59" spans="1:5" x14ac:dyDescent="0.2">
      <c r="A59" s="60" t="s">
        <v>284</v>
      </c>
      <c r="B59" s="61" t="s">
        <v>31</v>
      </c>
      <c r="C59" s="32">
        <f>IF(OR(-23929.69932="",-23929.69932=0),"-",-23929.69932)</f>
        <v>-23929.69932</v>
      </c>
      <c r="D59" s="32">
        <v>-29896.560720000001</v>
      </c>
      <c r="E59" s="62">
        <f>IF(OR(-23929.69932="",-29896.56072="",-23929.69932=0,-29896.56072=0),"-",-29896.56072/-23929.69932*100)</f>
        <v>124.93496186562199</v>
      </c>
    </row>
    <row r="60" spans="1:5" x14ac:dyDescent="0.2">
      <c r="A60" s="60" t="s">
        <v>285</v>
      </c>
      <c r="B60" s="61" t="s">
        <v>32</v>
      </c>
      <c r="C60" s="32">
        <f>IF(OR(-41928.88205="",-41928.88205=0),"-",-41928.88205)</f>
        <v>-41928.88205</v>
      </c>
      <c r="D60" s="32">
        <v>-61517.18475</v>
      </c>
      <c r="E60" s="62">
        <f>IF(OR(-41928.88205="",-61517.18475="",-41928.88205=0,-61517.18475=0),"-",-61517.18475/-41928.88205*100)</f>
        <v>146.71792268785282</v>
      </c>
    </row>
    <row r="61" spans="1:5" x14ac:dyDescent="0.2">
      <c r="A61" s="57" t="s">
        <v>286</v>
      </c>
      <c r="B61" s="58" t="s">
        <v>177</v>
      </c>
      <c r="C61" s="29">
        <f>IF(-241059.46251="","-",-241059.46251)</f>
        <v>-241059.46251000001</v>
      </c>
      <c r="D61" s="29">
        <v>-392076.03230000002</v>
      </c>
      <c r="E61" s="59" t="s">
        <v>104</v>
      </c>
    </row>
    <row r="62" spans="1:5" ht="16.5" customHeight="1" x14ac:dyDescent="0.2">
      <c r="A62" s="60" t="s">
        <v>287</v>
      </c>
      <c r="B62" s="61" t="s">
        <v>178</v>
      </c>
      <c r="C62" s="32">
        <f>IF(OR(-5540.3849="",-5540.3849=0),"-",-5540.3849)</f>
        <v>-5540.3849</v>
      </c>
      <c r="D62" s="32">
        <v>-10973.176890000001</v>
      </c>
      <c r="E62" s="62" t="s">
        <v>20</v>
      </c>
    </row>
    <row r="63" spans="1:5" ht="24" x14ac:dyDescent="0.2">
      <c r="A63" s="60" t="s">
        <v>288</v>
      </c>
      <c r="B63" s="61" t="s">
        <v>179</v>
      </c>
      <c r="C63" s="32">
        <f>IF(OR(-58630.97547="",-58630.97547=0),"-",-58630.97547)</f>
        <v>-58630.975469999998</v>
      </c>
      <c r="D63" s="32">
        <v>-68881.769090000002</v>
      </c>
      <c r="E63" s="62">
        <f>IF(OR(-58630.97547="",-68881.76909="",-58630.97547=0,-68881.76909=0),"-",-68881.76909/-58630.97547*100)</f>
        <v>117.48358020283165</v>
      </c>
    </row>
    <row r="64" spans="1:5" x14ac:dyDescent="0.2">
      <c r="A64" s="60" t="s">
        <v>289</v>
      </c>
      <c r="B64" s="61" t="s">
        <v>180</v>
      </c>
      <c r="C64" s="32">
        <f>IF(OR(-3646.38822="",-3646.38822=0),"-",-3646.38822)</f>
        <v>-3646.3882199999998</v>
      </c>
      <c r="D64" s="32">
        <v>-4419.6858899999997</v>
      </c>
      <c r="E64" s="62">
        <f>IF(OR(-3646.38822="",-4419.68589="",-3646.38822=0,-4419.68589=0),"-",-4419.68589/-3646.38822*100)</f>
        <v>121.20722269117027</v>
      </c>
    </row>
    <row r="65" spans="1:5" ht="24" x14ac:dyDescent="0.2">
      <c r="A65" s="60" t="s">
        <v>290</v>
      </c>
      <c r="B65" s="61" t="s">
        <v>181</v>
      </c>
      <c r="C65" s="32">
        <f>IF(OR(-61457.24448="",-61457.24448=0),"-",-61457.24448)</f>
        <v>-61457.244480000001</v>
      </c>
      <c r="D65" s="32">
        <v>-85059.784190000006</v>
      </c>
      <c r="E65" s="62">
        <f>IF(OR(-61457.24448="",-85059.78419="",-61457.24448=0,-85059.78419=0),"-",-85059.78419/-61457.24448*100)</f>
        <v>138.40481282508682</v>
      </c>
    </row>
    <row r="66" spans="1:5" ht="27.75" customHeight="1" x14ac:dyDescent="0.2">
      <c r="A66" s="60" t="s">
        <v>291</v>
      </c>
      <c r="B66" s="61" t="s">
        <v>182</v>
      </c>
      <c r="C66" s="32">
        <f>IF(OR(-15540.10466="",-15540.10466=0),"-",-15540.10466)</f>
        <v>-15540.104660000001</v>
      </c>
      <c r="D66" s="32">
        <v>-31202.5533</v>
      </c>
      <c r="E66" s="62" t="s">
        <v>20</v>
      </c>
    </row>
    <row r="67" spans="1:5" ht="36" x14ac:dyDescent="0.2">
      <c r="A67" s="60" t="s">
        <v>292</v>
      </c>
      <c r="B67" s="61" t="s">
        <v>183</v>
      </c>
      <c r="C67" s="32">
        <f>IF(OR(-48546.6127="",-48546.6127=0),"-",-48546.6127)</f>
        <v>-48546.612699999998</v>
      </c>
      <c r="D67" s="32">
        <v>-70127.037190000003</v>
      </c>
      <c r="E67" s="62">
        <f>IF(OR(-48546.6127="",-70127.03719="",-48546.6127=0,-70127.03719=0),"-",-70127.03719/-48546.6127*100)</f>
        <v>144.45299741788165</v>
      </c>
    </row>
    <row r="68" spans="1:5" ht="15" customHeight="1" x14ac:dyDescent="0.2">
      <c r="A68" s="60" t="s">
        <v>293</v>
      </c>
      <c r="B68" s="61" t="s">
        <v>184</v>
      </c>
      <c r="C68" s="32">
        <f>IF(OR(38312.69489="",38312.69489=0),"-",38312.69489)</f>
        <v>38312.694889999999</v>
      </c>
      <c r="D68" s="32">
        <v>27725.23403</v>
      </c>
      <c r="E68" s="62">
        <f>IF(OR(38312.69489="",27725.23403="",38312.69489=0,27725.23403=0),"-",27725.23403/38312.69489*100)</f>
        <v>72.365658718610703</v>
      </c>
    </row>
    <row r="69" spans="1:5" x14ac:dyDescent="0.2">
      <c r="A69" s="60" t="s">
        <v>294</v>
      </c>
      <c r="B69" s="61" t="s">
        <v>185</v>
      </c>
      <c r="C69" s="32">
        <f>IF(OR(-82693.43653="",-82693.43653=0),"-",-82693.43653)</f>
        <v>-82693.436530000006</v>
      </c>
      <c r="D69" s="32">
        <v>-148597.06279</v>
      </c>
      <c r="E69" s="62" t="s">
        <v>216</v>
      </c>
    </row>
    <row r="70" spans="1:5" x14ac:dyDescent="0.2">
      <c r="A70" s="60" t="s">
        <v>295</v>
      </c>
      <c r="B70" s="61" t="s">
        <v>33</v>
      </c>
      <c r="C70" s="32">
        <f>IF(OR(-3317.01044="",-3317.01044=0),"-",-3317.01044)</f>
        <v>-3317.01044</v>
      </c>
      <c r="D70" s="32">
        <v>-540.19699000000003</v>
      </c>
      <c r="E70" s="62">
        <f>IF(OR(-3317.01044="",-540.19699="",-3317.01044=0,-540.19699=0),"-",-540.19699/-3317.01044*100)</f>
        <v>16.285658419573743</v>
      </c>
    </row>
    <row r="71" spans="1:5" x14ac:dyDescent="0.2">
      <c r="A71" s="57" t="s">
        <v>296</v>
      </c>
      <c r="B71" s="58" t="s">
        <v>34</v>
      </c>
      <c r="C71" s="29">
        <f>IF(-12450.02317="","-",-12450.02317)</f>
        <v>-12450.02317</v>
      </c>
      <c r="D71" s="29">
        <v>-71984.914290000001</v>
      </c>
      <c r="E71" s="59" t="s">
        <v>362</v>
      </c>
    </row>
    <row r="72" spans="1:5" ht="24" x14ac:dyDescent="0.2">
      <c r="A72" s="60" t="s">
        <v>297</v>
      </c>
      <c r="B72" s="61" t="s">
        <v>211</v>
      </c>
      <c r="C72" s="32">
        <f>IF(OR(-9252.45065="",-9252.45065=0),"-",-9252.45065)</f>
        <v>-9252.4506500000007</v>
      </c>
      <c r="D72" s="32">
        <v>-15969.89242</v>
      </c>
      <c r="E72" s="62" t="s">
        <v>103</v>
      </c>
    </row>
    <row r="73" spans="1:5" x14ac:dyDescent="0.2">
      <c r="A73" s="60" t="s">
        <v>298</v>
      </c>
      <c r="B73" s="61" t="s">
        <v>186</v>
      </c>
      <c r="C73" s="32">
        <f>IF(OR(24737.49677="",24737.49677=0),"-",24737.49677)</f>
        <v>24737.496770000002</v>
      </c>
      <c r="D73" s="32">
        <v>40266.283499999998</v>
      </c>
      <c r="E73" s="62" t="s">
        <v>104</v>
      </c>
    </row>
    <row r="74" spans="1:5" x14ac:dyDescent="0.2">
      <c r="A74" s="60" t="s">
        <v>299</v>
      </c>
      <c r="B74" s="61" t="s">
        <v>187</v>
      </c>
      <c r="C74" s="32">
        <f>IF(OR(1790.99322="",1790.99322=0),"-",1790.99322)</f>
        <v>1790.9932200000001</v>
      </c>
      <c r="D74" s="32">
        <v>1791.5702100000001</v>
      </c>
      <c r="E74" s="62">
        <f>IF(OR(1790.99322="",1791.57021="",1790.99322=0,1791.57021=0),"-",1791.57021/1790.99322*100)</f>
        <v>100.03221620235949</v>
      </c>
    </row>
    <row r="75" spans="1:5" x14ac:dyDescent="0.2">
      <c r="A75" s="60" t="s">
        <v>300</v>
      </c>
      <c r="B75" s="61" t="s">
        <v>188</v>
      </c>
      <c r="C75" s="32">
        <f>IF(OR(41093.38064="",41093.38064=0),"-",41093.38064)</f>
        <v>41093.380640000003</v>
      </c>
      <c r="D75" s="32">
        <v>32532.364430000001</v>
      </c>
      <c r="E75" s="62">
        <f>IF(OR(41093.38064="",32532.36443="",41093.38064=0,32532.36443=0),"-",32532.36443/41093.38064*100)</f>
        <v>79.166921590124005</v>
      </c>
    </row>
    <row r="76" spans="1:5" x14ac:dyDescent="0.2">
      <c r="A76" s="60" t="s">
        <v>301</v>
      </c>
      <c r="B76" s="61" t="s">
        <v>189</v>
      </c>
      <c r="C76" s="32">
        <f>IF(OR(-2513.44223="",-2513.44223=0),"-",-2513.44223)</f>
        <v>-2513.4422300000001</v>
      </c>
      <c r="D76" s="32">
        <v>-6527.1793699999998</v>
      </c>
      <c r="E76" s="62" t="s">
        <v>305</v>
      </c>
    </row>
    <row r="77" spans="1:5" ht="24" x14ac:dyDescent="0.2">
      <c r="A77" s="60" t="s">
        <v>302</v>
      </c>
      <c r="B77" s="61" t="s">
        <v>212</v>
      </c>
      <c r="C77" s="32">
        <f>IF(OR(-13533.18211="",-13533.18211=0),"-",-13533.18211)</f>
        <v>-13533.18211</v>
      </c>
      <c r="D77" s="32">
        <v>-29408.756410000002</v>
      </c>
      <c r="E77" s="62" t="s">
        <v>215</v>
      </c>
    </row>
    <row r="78" spans="1:5" ht="24" x14ac:dyDescent="0.2">
      <c r="A78" s="60" t="s">
        <v>303</v>
      </c>
      <c r="B78" s="61" t="s">
        <v>190</v>
      </c>
      <c r="C78" s="32">
        <f>IF(OR(-2875.03375="",-2875.03375=0),"-",-2875.03375)</f>
        <v>-2875.0337500000001</v>
      </c>
      <c r="D78" s="32">
        <v>-6748.6249100000005</v>
      </c>
      <c r="E78" s="62" t="s">
        <v>228</v>
      </c>
    </row>
    <row r="79" spans="1:5" x14ac:dyDescent="0.2">
      <c r="A79" s="60" t="s">
        <v>304</v>
      </c>
      <c r="B79" s="61" t="s">
        <v>35</v>
      </c>
      <c r="C79" s="32">
        <f>IF(OR(-51897.78506="",-51897.78506=0),"-",-51897.78506)</f>
        <v>-51897.785060000002</v>
      </c>
      <c r="D79" s="32">
        <v>-87920.679319999996</v>
      </c>
      <c r="E79" s="62" t="s">
        <v>103</v>
      </c>
    </row>
    <row r="80" spans="1:5" ht="15.75" customHeight="1" x14ac:dyDescent="0.2">
      <c r="A80" s="63" t="s">
        <v>308</v>
      </c>
      <c r="B80" s="64" t="s">
        <v>191</v>
      </c>
      <c r="C80" s="65">
        <f>IF(12.94369="","-",12.94369)</f>
        <v>12.94369</v>
      </c>
      <c r="D80" s="65">
        <v>-79.454049999999995</v>
      </c>
      <c r="E80" s="66" t="s">
        <v>22</v>
      </c>
    </row>
    <row r="81" spans="1:2" x14ac:dyDescent="0.2">
      <c r="A81" s="1" t="s">
        <v>313</v>
      </c>
      <c r="B81" s="3"/>
    </row>
  </sheetData>
  <mergeCells count="6">
    <mergeCell ref="A4:A5"/>
    <mergeCell ref="B1:E1"/>
    <mergeCell ref="B2:E2"/>
    <mergeCell ref="B4:B5"/>
    <mergeCell ref="E4:E5"/>
    <mergeCell ref="C4:D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Comerciala_Tari'!Print_Titles</vt:lpstr>
      <vt:lpstr>Balanta_Comerciala_Gr_Marf_CSCI!Print_Titles</vt:lpstr>
      <vt:lpstr>Export_Grupe_Marfuri_CSCI!Print_Titles</vt:lpstr>
      <vt:lpstr>Export_Tari!Print_Titles</vt:lpstr>
      <vt:lpstr>Import_Grupe_Marfuri_CSCI!Print_Titles</vt:lpstr>
      <vt:lpstr>Import_Tari!Print_Titles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Doina Vudvud</cp:lastModifiedBy>
  <cp:lastPrinted>2001-01-01T00:32:10Z</cp:lastPrinted>
  <dcterms:created xsi:type="dcterms:W3CDTF">2016-09-01T07:59:47Z</dcterms:created>
  <dcterms:modified xsi:type="dcterms:W3CDTF">2021-07-14T14:31:27Z</dcterms:modified>
</cp:coreProperties>
</file>