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Vudvud\Desktop\Comert\"/>
    </mc:Choice>
  </mc:AlternateContent>
  <xr:revisionPtr revIDLastSave="0" documentId="13_ncr:1_{4959A129-32BB-4E5E-9B44-3BC7956F6029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Comerciala_Tari'!$4:$5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Export_Tari!$4:$6</definedName>
    <definedName name="_xlnm.Print_Titles" localSheetId="6">Import_Grupe_Marfuri_CSCI!$4:$6</definedName>
    <definedName name="_xlnm.Print_Titles" localSheetId="1">Import_Tari!$4:$6</definedName>
  </definedNames>
  <calcPr calcId="179021" iterate="1"/>
</workbook>
</file>

<file path=xl/calcChain.xml><?xml version="1.0" encoding="utf-8"?>
<calcChain xmlns="http://schemas.openxmlformats.org/spreadsheetml/2006/main">
  <c r="E75" i="4" l="1"/>
  <c r="E74" i="4"/>
  <c r="E73" i="4"/>
  <c r="E70" i="4"/>
  <c r="E68" i="4"/>
  <c r="E67" i="4"/>
  <c r="E65" i="4"/>
  <c r="E64" i="4"/>
  <c r="E63" i="4"/>
  <c r="E60" i="4"/>
  <c r="E59" i="4"/>
  <c r="E58" i="4"/>
  <c r="E57" i="4"/>
  <c r="E56" i="4"/>
  <c r="E55" i="4"/>
  <c r="E54" i="4"/>
  <c r="E53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26" i="4"/>
  <c r="E24" i="4"/>
  <c r="E23" i="4"/>
  <c r="E22" i="4"/>
  <c r="E21" i="4"/>
  <c r="E20" i="4"/>
  <c r="E19" i="4"/>
  <c r="E18" i="4"/>
  <c r="E16" i="4"/>
  <c r="E14" i="4"/>
  <c r="E13" i="4"/>
  <c r="E12" i="4"/>
  <c r="E11" i="4"/>
  <c r="E10" i="4"/>
  <c r="E9" i="4"/>
  <c r="H80" i="6" l="1"/>
  <c r="G80" i="6"/>
  <c r="F80" i="6"/>
  <c r="E80" i="6"/>
  <c r="D80" i="6"/>
  <c r="H79" i="6"/>
  <c r="G79" i="6"/>
  <c r="F79" i="6"/>
  <c r="E79" i="6"/>
  <c r="H78" i="6"/>
  <c r="G78" i="6"/>
  <c r="F78" i="6"/>
  <c r="E78" i="6"/>
  <c r="H77" i="6"/>
  <c r="G77" i="6"/>
  <c r="F77" i="6"/>
  <c r="E77" i="6"/>
  <c r="H76" i="6"/>
  <c r="G76" i="6"/>
  <c r="F76" i="6"/>
  <c r="E76" i="6"/>
  <c r="D76" i="6"/>
  <c r="H75" i="6"/>
  <c r="G75" i="6"/>
  <c r="F75" i="6"/>
  <c r="E75" i="6"/>
  <c r="H74" i="6"/>
  <c r="G74" i="6"/>
  <c r="F74" i="6"/>
  <c r="E74" i="6"/>
  <c r="H73" i="6"/>
  <c r="G73" i="6"/>
  <c r="F73" i="6"/>
  <c r="E73" i="6"/>
  <c r="H72" i="6"/>
  <c r="G72" i="6"/>
  <c r="F72" i="6"/>
  <c r="E72" i="6"/>
  <c r="H71" i="6"/>
  <c r="G71" i="6"/>
  <c r="F71" i="6"/>
  <c r="E71" i="6"/>
  <c r="H70" i="6"/>
  <c r="G70" i="6"/>
  <c r="F70" i="6"/>
  <c r="E70" i="6"/>
  <c r="D70" i="6"/>
  <c r="H69" i="6"/>
  <c r="G69" i="6"/>
  <c r="F69" i="6"/>
  <c r="E69" i="6"/>
  <c r="H68" i="6"/>
  <c r="G68" i="6"/>
  <c r="F68" i="6"/>
  <c r="E68" i="6"/>
  <c r="H67" i="6"/>
  <c r="G67" i="6"/>
  <c r="F67" i="6"/>
  <c r="E67" i="6"/>
  <c r="D67" i="6"/>
  <c r="H66" i="6"/>
  <c r="G66" i="6"/>
  <c r="F66" i="6"/>
  <c r="E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H61" i="6"/>
  <c r="G61" i="6"/>
  <c r="F61" i="6"/>
  <c r="E61" i="6"/>
  <c r="H60" i="6"/>
  <c r="G60" i="6"/>
  <c r="F60" i="6"/>
  <c r="E60" i="6"/>
  <c r="H59" i="6"/>
  <c r="G59" i="6"/>
  <c r="F59" i="6"/>
  <c r="E59" i="6"/>
  <c r="D59" i="6"/>
  <c r="H58" i="6"/>
  <c r="G58" i="6"/>
  <c r="F58" i="6"/>
  <c r="E58" i="6"/>
  <c r="D58" i="6"/>
  <c r="H57" i="6"/>
  <c r="G57" i="6"/>
  <c r="F57" i="6"/>
  <c r="E57" i="6"/>
  <c r="D57" i="6"/>
  <c r="H56" i="6"/>
  <c r="G56" i="6"/>
  <c r="F56" i="6"/>
  <c r="E56" i="6"/>
  <c r="D56" i="6"/>
  <c r="H55" i="6"/>
  <c r="G55" i="6"/>
  <c r="F55" i="6"/>
  <c r="E55" i="6"/>
  <c r="D55" i="6"/>
  <c r="H54" i="6"/>
  <c r="G54" i="6"/>
  <c r="F54" i="6"/>
  <c r="E54" i="6"/>
  <c r="D54" i="6"/>
  <c r="H53" i="6"/>
  <c r="G53" i="6"/>
  <c r="F53" i="6"/>
  <c r="E53" i="6"/>
  <c r="D53" i="6"/>
  <c r="H52" i="6"/>
  <c r="G52" i="6"/>
  <c r="F52" i="6"/>
  <c r="E52" i="6"/>
  <c r="H51" i="6"/>
  <c r="G51" i="6"/>
  <c r="F51" i="6"/>
  <c r="E51" i="6"/>
  <c r="D51" i="6"/>
  <c r="H50" i="6"/>
  <c r="G50" i="6"/>
  <c r="F50" i="6"/>
  <c r="E50" i="6"/>
  <c r="D50" i="6"/>
  <c r="H49" i="6"/>
  <c r="G49" i="6"/>
  <c r="F49" i="6"/>
  <c r="E49" i="6"/>
  <c r="D49" i="6"/>
  <c r="H48" i="6"/>
  <c r="G48" i="6"/>
  <c r="F48" i="6"/>
  <c r="E48" i="6"/>
  <c r="D48" i="6"/>
  <c r="H47" i="6"/>
  <c r="G47" i="6"/>
  <c r="F47" i="6"/>
  <c r="E47" i="6"/>
  <c r="D47" i="6"/>
  <c r="H46" i="6"/>
  <c r="G46" i="6"/>
  <c r="F46" i="6"/>
  <c r="E46" i="6"/>
  <c r="D46" i="6"/>
  <c r="H45" i="6"/>
  <c r="G45" i="6"/>
  <c r="F45" i="6"/>
  <c r="E45" i="6"/>
  <c r="D45" i="6"/>
  <c r="H44" i="6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D42" i="6"/>
  <c r="H41" i="6"/>
  <c r="G41" i="6"/>
  <c r="F41" i="6"/>
  <c r="E41" i="6"/>
  <c r="D41" i="6"/>
  <c r="H40" i="6"/>
  <c r="G40" i="6"/>
  <c r="F40" i="6"/>
  <c r="E40" i="6"/>
  <c r="D40" i="6"/>
  <c r="H39" i="6"/>
  <c r="G39" i="6"/>
  <c r="F39" i="6"/>
  <c r="E39" i="6"/>
  <c r="H38" i="6"/>
  <c r="G38" i="6"/>
  <c r="F38" i="6"/>
  <c r="E38" i="6"/>
  <c r="D38" i="6"/>
  <c r="H37" i="6"/>
  <c r="G37" i="6"/>
  <c r="F37" i="6"/>
  <c r="E37" i="6"/>
  <c r="D37" i="6"/>
  <c r="H36" i="6"/>
  <c r="G36" i="6"/>
  <c r="F36" i="6"/>
  <c r="E36" i="6"/>
  <c r="D36" i="6"/>
  <c r="H35" i="6"/>
  <c r="G35" i="6"/>
  <c r="F35" i="6"/>
  <c r="E35" i="6"/>
  <c r="D35" i="6"/>
  <c r="H34" i="6"/>
  <c r="G34" i="6"/>
  <c r="F34" i="6"/>
  <c r="E34" i="6"/>
  <c r="D34" i="6"/>
  <c r="H33" i="6"/>
  <c r="G33" i="6"/>
  <c r="F33" i="6"/>
  <c r="E33" i="6"/>
  <c r="D33" i="6"/>
  <c r="H32" i="6"/>
  <c r="G32" i="6"/>
  <c r="F32" i="6"/>
  <c r="E32" i="6"/>
  <c r="D32" i="6"/>
  <c r="H31" i="6"/>
  <c r="G31" i="6"/>
  <c r="F31" i="6"/>
  <c r="E31" i="6"/>
  <c r="D31" i="6"/>
  <c r="H30" i="6"/>
  <c r="G30" i="6"/>
  <c r="F30" i="6"/>
  <c r="E30" i="6"/>
  <c r="D30" i="6"/>
  <c r="H29" i="6"/>
  <c r="G29" i="6"/>
  <c r="F29" i="6"/>
  <c r="E29" i="6"/>
  <c r="D29" i="6"/>
  <c r="H28" i="6"/>
  <c r="G28" i="6"/>
  <c r="F28" i="6"/>
  <c r="E28" i="6"/>
  <c r="H27" i="6"/>
  <c r="G27" i="6"/>
  <c r="F27" i="6"/>
  <c r="E27" i="6"/>
  <c r="D27" i="6"/>
  <c r="H26" i="6"/>
  <c r="G26" i="6"/>
  <c r="F26" i="6"/>
  <c r="E26" i="6"/>
  <c r="D26" i="6"/>
  <c r="H25" i="6"/>
  <c r="G25" i="6"/>
  <c r="F25" i="6"/>
  <c r="E25" i="6"/>
  <c r="H24" i="6"/>
  <c r="G24" i="6"/>
  <c r="F24" i="6"/>
  <c r="E24" i="6"/>
  <c r="D24" i="6"/>
  <c r="H23" i="6"/>
  <c r="G23" i="6"/>
  <c r="F23" i="6"/>
  <c r="E23" i="6"/>
  <c r="D23" i="6"/>
  <c r="H22" i="6"/>
  <c r="G22" i="6"/>
  <c r="F22" i="6"/>
  <c r="E22" i="6"/>
  <c r="D22" i="6"/>
  <c r="H21" i="6"/>
  <c r="G21" i="6"/>
  <c r="F21" i="6"/>
  <c r="E21" i="6"/>
  <c r="D21" i="6"/>
  <c r="H20" i="6"/>
  <c r="G20" i="6"/>
  <c r="F20" i="6"/>
  <c r="E20" i="6"/>
  <c r="D20" i="6"/>
  <c r="H19" i="6"/>
  <c r="G19" i="6"/>
  <c r="F19" i="6"/>
  <c r="E19" i="6"/>
  <c r="D19" i="6"/>
  <c r="H18" i="6"/>
  <c r="G18" i="6"/>
  <c r="F18" i="6"/>
  <c r="E18" i="6"/>
  <c r="D18" i="6"/>
  <c r="H17" i="6"/>
  <c r="G17" i="6"/>
  <c r="F17" i="6"/>
  <c r="E17" i="6"/>
  <c r="D17" i="6"/>
  <c r="H16" i="6"/>
  <c r="G16" i="6"/>
  <c r="F16" i="6"/>
  <c r="E16" i="6"/>
  <c r="D16" i="6"/>
  <c r="H15" i="6"/>
  <c r="G15" i="6"/>
  <c r="F15" i="6"/>
  <c r="E15" i="6"/>
  <c r="D15" i="6"/>
  <c r="H14" i="6"/>
  <c r="G14" i="6"/>
  <c r="F14" i="6"/>
  <c r="E14" i="6"/>
  <c r="D14" i="6"/>
  <c r="H13" i="6"/>
  <c r="G13" i="6"/>
  <c r="F13" i="6"/>
  <c r="E13" i="6"/>
  <c r="D13" i="6"/>
  <c r="H12" i="6"/>
  <c r="G12" i="6"/>
  <c r="F12" i="6"/>
  <c r="E12" i="6"/>
  <c r="D12" i="6"/>
  <c r="H11" i="6"/>
  <c r="G11" i="6"/>
  <c r="F11" i="6"/>
  <c r="E11" i="6"/>
  <c r="D11" i="6"/>
  <c r="H10" i="6"/>
  <c r="G10" i="6"/>
  <c r="F10" i="6"/>
  <c r="E10" i="6"/>
  <c r="D10" i="6"/>
  <c r="H9" i="6"/>
  <c r="G9" i="6"/>
  <c r="F9" i="6"/>
  <c r="E9" i="6"/>
  <c r="D9" i="6"/>
  <c r="H8" i="6"/>
  <c r="G8" i="6"/>
  <c r="F8" i="6"/>
  <c r="E8" i="6"/>
  <c r="D8" i="6"/>
  <c r="H7" i="6"/>
  <c r="G7" i="6"/>
  <c r="D7" i="6"/>
  <c r="H79" i="5"/>
  <c r="G79" i="5"/>
  <c r="F79" i="5"/>
  <c r="E79" i="5"/>
  <c r="H78" i="5"/>
  <c r="G78" i="5"/>
  <c r="F78" i="5"/>
  <c r="E78" i="5"/>
  <c r="D78" i="5"/>
  <c r="H77" i="5"/>
  <c r="G77" i="5"/>
  <c r="F77" i="5"/>
  <c r="E77" i="5"/>
  <c r="D77" i="5"/>
  <c r="H76" i="5"/>
  <c r="G76" i="5"/>
  <c r="F76" i="5"/>
  <c r="E76" i="5"/>
  <c r="D76" i="5"/>
  <c r="H75" i="5"/>
  <c r="G75" i="5"/>
  <c r="F75" i="5"/>
  <c r="E75" i="5"/>
  <c r="D75" i="5"/>
  <c r="H74" i="5"/>
  <c r="G74" i="5"/>
  <c r="F74" i="5"/>
  <c r="E74" i="5"/>
  <c r="D74" i="5"/>
  <c r="H73" i="5"/>
  <c r="G73" i="5"/>
  <c r="F73" i="5"/>
  <c r="E73" i="5"/>
  <c r="D73" i="5"/>
  <c r="H72" i="5"/>
  <c r="G72" i="5"/>
  <c r="F72" i="5"/>
  <c r="E72" i="5"/>
  <c r="H71" i="5"/>
  <c r="G71" i="5"/>
  <c r="F71" i="5"/>
  <c r="E71" i="5"/>
  <c r="H70" i="5"/>
  <c r="G70" i="5"/>
  <c r="F70" i="5"/>
  <c r="E70" i="5"/>
  <c r="D70" i="5"/>
  <c r="H69" i="5"/>
  <c r="G69" i="5"/>
  <c r="F69" i="5"/>
  <c r="E69" i="5"/>
  <c r="D69" i="5"/>
  <c r="H68" i="5"/>
  <c r="G68" i="5"/>
  <c r="F68" i="5"/>
  <c r="E68" i="5"/>
  <c r="H67" i="5"/>
  <c r="G67" i="5"/>
  <c r="F67" i="5"/>
  <c r="E67" i="5"/>
  <c r="D67" i="5"/>
  <c r="H66" i="5"/>
  <c r="G66" i="5"/>
  <c r="F66" i="5"/>
  <c r="E66" i="5"/>
  <c r="D66" i="5"/>
  <c r="H65" i="5"/>
  <c r="G65" i="5"/>
  <c r="F65" i="5"/>
  <c r="E65" i="5"/>
  <c r="H64" i="5"/>
  <c r="G64" i="5"/>
  <c r="F64" i="5"/>
  <c r="E64" i="5"/>
  <c r="D64" i="5"/>
  <c r="H63" i="5"/>
  <c r="G63" i="5"/>
  <c r="F63" i="5"/>
  <c r="E63" i="5"/>
  <c r="D63" i="5"/>
  <c r="H62" i="5"/>
  <c r="G62" i="5"/>
  <c r="F62" i="5"/>
  <c r="E62" i="5"/>
  <c r="D62" i="5"/>
  <c r="H61" i="5"/>
  <c r="G61" i="5"/>
  <c r="F61" i="5"/>
  <c r="E61" i="5"/>
  <c r="D61" i="5"/>
  <c r="H60" i="5"/>
  <c r="G60" i="5"/>
  <c r="F60" i="5"/>
  <c r="E60" i="5"/>
  <c r="D60" i="5"/>
  <c r="H59" i="5"/>
  <c r="G59" i="5"/>
  <c r="F59" i="5"/>
  <c r="E59" i="5"/>
  <c r="H58" i="5"/>
  <c r="G58" i="5"/>
  <c r="F58" i="5"/>
  <c r="E58" i="5"/>
  <c r="D58" i="5"/>
  <c r="H57" i="5"/>
  <c r="G57" i="5"/>
  <c r="F57" i="5"/>
  <c r="E57" i="5"/>
  <c r="H56" i="5"/>
  <c r="G56" i="5"/>
  <c r="F56" i="5"/>
  <c r="E56" i="5"/>
  <c r="D56" i="5"/>
  <c r="H55" i="5"/>
  <c r="G55" i="5"/>
  <c r="F55" i="5"/>
  <c r="E55" i="5"/>
  <c r="H54" i="5"/>
  <c r="G54" i="5"/>
  <c r="F54" i="5"/>
  <c r="E54" i="5"/>
  <c r="D54" i="5"/>
  <c r="H53" i="5"/>
  <c r="G53" i="5"/>
  <c r="F53" i="5"/>
  <c r="E53" i="5"/>
  <c r="D53" i="5"/>
  <c r="H52" i="5"/>
  <c r="G52" i="5"/>
  <c r="F52" i="5"/>
  <c r="E52" i="5"/>
  <c r="D52" i="5"/>
  <c r="H51" i="5"/>
  <c r="G51" i="5"/>
  <c r="F51" i="5"/>
  <c r="E51" i="5"/>
  <c r="H50" i="5"/>
  <c r="G50" i="5"/>
  <c r="F50" i="5"/>
  <c r="E50" i="5"/>
  <c r="H49" i="5"/>
  <c r="G49" i="5"/>
  <c r="F49" i="5"/>
  <c r="E49" i="5"/>
  <c r="H48" i="5"/>
  <c r="G48" i="5"/>
  <c r="F48" i="5"/>
  <c r="E48" i="5"/>
  <c r="H47" i="5"/>
  <c r="G47" i="5"/>
  <c r="F47" i="5"/>
  <c r="E47" i="5"/>
  <c r="D47" i="5"/>
  <c r="H46" i="5"/>
  <c r="G46" i="5"/>
  <c r="F46" i="5"/>
  <c r="E46" i="5"/>
  <c r="H45" i="5"/>
  <c r="G45" i="5"/>
  <c r="F45" i="5"/>
  <c r="E45" i="5"/>
  <c r="D45" i="5"/>
  <c r="H44" i="5"/>
  <c r="G44" i="5"/>
  <c r="F44" i="5"/>
  <c r="E44" i="5"/>
  <c r="D44" i="5"/>
  <c r="H43" i="5"/>
  <c r="G43" i="5"/>
  <c r="F43" i="5"/>
  <c r="E43" i="5"/>
  <c r="H42" i="5"/>
  <c r="G42" i="5"/>
  <c r="F42" i="5"/>
  <c r="E42" i="5"/>
  <c r="D42" i="5"/>
  <c r="H41" i="5"/>
  <c r="G41" i="5"/>
  <c r="F41" i="5"/>
  <c r="E41" i="5"/>
  <c r="D41" i="5"/>
  <c r="H40" i="5"/>
  <c r="G40" i="5"/>
  <c r="F40" i="5"/>
  <c r="E40" i="5"/>
  <c r="D40" i="5"/>
  <c r="H39" i="5"/>
  <c r="G39" i="5"/>
  <c r="F39" i="5"/>
  <c r="E39" i="5"/>
  <c r="D39" i="5"/>
  <c r="H38" i="5"/>
  <c r="G38" i="5"/>
  <c r="F38" i="5"/>
  <c r="E38" i="5"/>
  <c r="D38" i="5"/>
  <c r="H37" i="5"/>
  <c r="G37" i="5"/>
  <c r="F37" i="5"/>
  <c r="E37" i="5"/>
  <c r="H36" i="5"/>
  <c r="G36" i="5"/>
  <c r="F36" i="5"/>
  <c r="E36" i="5"/>
  <c r="D36" i="5"/>
  <c r="H35" i="5"/>
  <c r="G35" i="5"/>
  <c r="F35" i="5"/>
  <c r="E35" i="5"/>
  <c r="D35" i="5"/>
  <c r="H34" i="5"/>
  <c r="G34" i="5"/>
  <c r="F34" i="5"/>
  <c r="E34" i="5"/>
  <c r="H33" i="5"/>
  <c r="G33" i="5"/>
  <c r="F33" i="5"/>
  <c r="E33" i="5"/>
  <c r="H32" i="5"/>
  <c r="G32" i="5"/>
  <c r="F32" i="5"/>
  <c r="E32" i="5"/>
  <c r="H31" i="5"/>
  <c r="G31" i="5"/>
  <c r="F31" i="5"/>
  <c r="E31" i="5"/>
  <c r="D31" i="5"/>
  <c r="H30" i="5"/>
  <c r="G30" i="5"/>
  <c r="F30" i="5"/>
  <c r="E30" i="5"/>
  <c r="H29" i="5"/>
  <c r="G29" i="5"/>
  <c r="F29" i="5"/>
  <c r="E29" i="5"/>
  <c r="D29" i="5"/>
  <c r="H28" i="5"/>
  <c r="G28" i="5"/>
  <c r="F28" i="5"/>
  <c r="E28" i="5"/>
  <c r="H27" i="5"/>
  <c r="G27" i="5"/>
  <c r="F27" i="5"/>
  <c r="E27" i="5"/>
  <c r="H26" i="5"/>
  <c r="G26" i="5"/>
  <c r="F26" i="5"/>
  <c r="E26" i="5"/>
  <c r="D26" i="5"/>
  <c r="H25" i="5"/>
  <c r="G25" i="5"/>
  <c r="F25" i="5"/>
  <c r="E25" i="5"/>
  <c r="H24" i="5"/>
  <c r="G24" i="5"/>
  <c r="F24" i="5"/>
  <c r="E24" i="5"/>
  <c r="D24" i="5"/>
  <c r="H23" i="5"/>
  <c r="G23" i="5"/>
  <c r="F23" i="5"/>
  <c r="E23" i="5"/>
  <c r="D23" i="5"/>
  <c r="H22" i="5"/>
  <c r="G22" i="5"/>
  <c r="F22" i="5"/>
  <c r="E22" i="5"/>
  <c r="D22" i="5"/>
  <c r="H21" i="5"/>
  <c r="G21" i="5"/>
  <c r="F21" i="5"/>
  <c r="E21" i="5"/>
  <c r="D21" i="5"/>
  <c r="H20" i="5"/>
  <c r="G20" i="5"/>
  <c r="F20" i="5"/>
  <c r="E20" i="5"/>
  <c r="D20" i="5"/>
  <c r="H19" i="5"/>
  <c r="G19" i="5"/>
  <c r="F19" i="5"/>
  <c r="E19" i="5"/>
  <c r="D19" i="5"/>
  <c r="H18" i="5"/>
  <c r="G18" i="5"/>
  <c r="F18" i="5"/>
  <c r="E18" i="5"/>
  <c r="H17" i="5"/>
  <c r="G17" i="5"/>
  <c r="F17" i="5"/>
  <c r="E17" i="5"/>
  <c r="D17" i="5"/>
  <c r="H16" i="5"/>
  <c r="G16" i="5"/>
  <c r="F16" i="5"/>
  <c r="E16" i="5"/>
  <c r="D16" i="5"/>
  <c r="H15" i="5"/>
  <c r="G15" i="5"/>
  <c r="F15" i="5"/>
  <c r="E15" i="5"/>
  <c r="D15" i="5"/>
  <c r="H14" i="5"/>
  <c r="G14" i="5"/>
  <c r="F14" i="5"/>
  <c r="E14" i="5"/>
  <c r="D14" i="5"/>
  <c r="H13" i="5"/>
  <c r="G13" i="5"/>
  <c r="F13" i="5"/>
  <c r="E13" i="5"/>
  <c r="D13" i="5"/>
  <c r="H12" i="5"/>
  <c r="G12" i="5"/>
  <c r="F12" i="5"/>
  <c r="E12" i="5"/>
  <c r="H11" i="5"/>
  <c r="G11" i="5"/>
  <c r="F11" i="5"/>
  <c r="E11" i="5"/>
  <c r="D11" i="5"/>
  <c r="H10" i="5"/>
  <c r="G10" i="5"/>
  <c r="F10" i="5"/>
  <c r="E10" i="5"/>
  <c r="H9" i="5"/>
  <c r="G9" i="5"/>
  <c r="F9" i="5"/>
  <c r="E9" i="5"/>
  <c r="D9" i="5"/>
  <c r="H8" i="5"/>
  <c r="G8" i="5"/>
  <c r="F8" i="5"/>
  <c r="E8" i="5"/>
  <c r="D8" i="5"/>
  <c r="H7" i="5"/>
  <c r="G7" i="5"/>
  <c r="D7" i="5"/>
  <c r="E40" i="8" l="1"/>
  <c r="D40" i="8"/>
  <c r="E39" i="8"/>
  <c r="D39" i="8"/>
  <c r="E38" i="8"/>
  <c r="D38" i="8"/>
  <c r="E37" i="8"/>
  <c r="D37" i="8"/>
  <c r="D36" i="8"/>
  <c r="E35" i="8"/>
  <c r="D35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40" i="7"/>
  <c r="E39" i="7"/>
  <c r="D39" i="7"/>
  <c r="E38" i="7"/>
  <c r="D38" i="7"/>
  <c r="E37" i="7"/>
  <c r="D37" i="7"/>
  <c r="E36" i="7"/>
  <c r="D36" i="7"/>
  <c r="E35" i="7"/>
  <c r="D35" i="7"/>
  <c r="E33" i="7"/>
  <c r="D33" i="7"/>
  <c r="E32" i="7"/>
  <c r="D32" i="7"/>
  <c r="E31" i="7"/>
  <c r="D31" i="7"/>
  <c r="E30" i="7"/>
  <c r="D30" i="7"/>
  <c r="E29" i="7"/>
  <c r="D29" i="7"/>
  <c r="E28" i="7"/>
  <c r="D28" i="7"/>
  <c r="E27" i="7"/>
  <c r="D27" i="7"/>
  <c r="E26" i="7"/>
  <c r="D26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B6" i="3" l="1"/>
  <c r="C6" i="3" l="1"/>
  <c r="C140" i="3" l="1"/>
  <c r="B140" i="3"/>
  <c r="C139" i="3"/>
  <c r="B139" i="3"/>
  <c r="D138" i="3"/>
  <c r="C138" i="3"/>
  <c r="B138" i="3"/>
  <c r="D137" i="3"/>
  <c r="C137" i="3"/>
  <c r="B137" i="3"/>
  <c r="C136" i="3"/>
  <c r="B136" i="3"/>
  <c r="C135" i="3"/>
  <c r="B135" i="3"/>
  <c r="C134" i="3"/>
  <c r="B134" i="3"/>
  <c r="D133" i="3"/>
  <c r="C133" i="3"/>
  <c r="B133" i="3"/>
  <c r="C132" i="3"/>
  <c r="B132" i="3"/>
  <c r="D131" i="3"/>
  <c r="C131" i="3"/>
  <c r="B131" i="3"/>
  <c r="D130" i="3"/>
  <c r="C130" i="3"/>
  <c r="B130" i="3"/>
  <c r="C129" i="3"/>
  <c r="B129" i="3"/>
  <c r="C128" i="3"/>
  <c r="B128" i="3"/>
  <c r="D127" i="3"/>
  <c r="C127" i="3"/>
  <c r="B127" i="3"/>
  <c r="D126" i="3"/>
  <c r="C126" i="3"/>
  <c r="B126" i="3"/>
  <c r="C125" i="3"/>
  <c r="B125" i="3"/>
  <c r="C124" i="3"/>
  <c r="B124" i="3"/>
  <c r="C123" i="3"/>
  <c r="B123" i="3"/>
  <c r="C122" i="3"/>
  <c r="B122" i="3"/>
  <c r="C121" i="3"/>
  <c r="B121" i="3"/>
  <c r="D120" i="3"/>
  <c r="C120" i="3"/>
  <c r="B120" i="3"/>
  <c r="D119" i="3"/>
  <c r="C119" i="3"/>
  <c r="B119" i="3"/>
  <c r="D118" i="3"/>
  <c r="C118" i="3"/>
  <c r="B118" i="3"/>
  <c r="C117" i="3"/>
  <c r="B117" i="3"/>
  <c r="D116" i="3"/>
  <c r="C116" i="3"/>
  <c r="D115" i="3"/>
  <c r="C115" i="3"/>
  <c r="B115" i="3"/>
  <c r="C114" i="3"/>
  <c r="B114" i="3"/>
  <c r="D113" i="3"/>
  <c r="C113" i="3"/>
  <c r="B113" i="3"/>
  <c r="D112" i="3"/>
  <c r="C112" i="3"/>
  <c r="B112" i="3"/>
  <c r="C111" i="3"/>
  <c r="B111" i="3"/>
  <c r="C110" i="3"/>
  <c r="B110" i="3"/>
  <c r="C109" i="3"/>
  <c r="B109" i="3"/>
  <c r="D108" i="3"/>
  <c r="C108" i="3"/>
  <c r="B108" i="3"/>
  <c r="C107" i="3"/>
  <c r="B107" i="3"/>
  <c r="D106" i="3"/>
  <c r="C106" i="3"/>
  <c r="B106" i="3"/>
  <c r="D105" i="3"/>
  <c r="C105" i="3"/>
  <c r="B105" i="3"/>
  <c r="D104" i="3"/>
  <c r="C104" i="3"/>
  <c r="B104" i="3"/>
  <c r="C103" i="3"/>
  <c r="B103" i="3"/>
  <c r="C102" i="3"/>
  <c r="B102" i="3"/>
  <c r="D101" i="3"/>
  <c r="C101" i="3"/>
  <c r="B101" i="3"/>
  <c r="D100" i="3"/>
  <c r="C100" i="3"/>
  <c r="B100" i="3"/>
  <c r="D99" i="3"/>
  <c r="C99" i="3"/>
  <c r="B99" i="3"/>
  <c r="C98" i="3"/>
  <c r="B98" i="3"/>
  <c r="C97" i="3"/>
  <c r="B97" i="3"/>
  <c r="C96" i="3"/>
  <c r="B96" i="3"/>
  <c r="D95" i="3"/>
  <c r="C95" i="3"/>
  <c r="B95" i="3"/>
  <c r="D94" i="3"/>
  <c r="C94" i="3"/>
  <c r="B94" i="3"/>
  <c r="D93" i="3"/>
  <c r="C93" i="3"/>
  <c r="B93" i="3"/>
  <c r="C92" i="3"/>
  <c r="B92" i="3"/>
  <c r="C91" i="3"/>
  <c r="B91" i="3"/>
  <c r="C90" i="3"/>
  <c r="B90" i="3"/>
  <c r="C89" i="3"/>
  <c r="B89" i="3"/>
  <c r="C88" i="3"/>
  <c r="B88" i="3"/>
  <c r="D87" i="3"/>
  <c r="C87" i="3"/>
  <c r="B87" i="3"/>
  <c r="C86" i="3"/>
  <c r="B86" i="3"/>
  <c r="C85" i="3"/>
  <c r="B85" i="3"/>
  <c r="C84" i="3"/>
  <c r="B84" i="3"/>
  <c r="D83" i="3"/>
  <c r="C83" i="3"/>
  <c r="B83" i="3"/>
  <c r="C82" i="3"/>
  <c r="B82" i="3"/>
  <c r="D81" i="3"/>
  <c r="C81" i="3"/>
  <c r="B81" i="3"/>
  <c r="C80" i="3"/>
  <c r="B80" i="3"/>
  <c r="C79" i="3"/>
  <c r="B79" i="3"/>
  <c r="D78" i="3"/>
  <c r="C78" i="3"/>
  <c r="B78" i="3"/>
  <c r="C77" i="3"/>
  <c r="B77" i="3"/>
  <c r="C76" i="3"/>
  <c r="B76" i="3"/>
  <c r="D75" i="3"/>
  <c r="C75" i="3"/>
  <c r="B75" i="3"/>
  <c r="D74" i="3"/>
  <c r="C74" i="3"/>
  <c r="B74" i="3"/>
  <c r="C73" i="3"/>
  <c r="B73" i="3"/>
  <c r="C72" i="3"/>
  <c r="B72" i="3"/>
  <c r="C71" i="3"/>
  <c r="B71" i="3"/>
  <c r="C70" i="3"/>
  <c r="B70" i="3"/>
  <c r="C69" i="3"/>
  <c r="B69" i="3"/>
  <c r="D68" i="3"/>
  <c r="C68" i="3"/>
  <c r="B68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C62" i="3"/>
  <c r="B62" i="3"/>
  <c r="C61" i="3"/>
  <c r="B61" i="3"/>
  <c r="C60" i="3"/>
  <c r="B60" i="3"/>
  <c r="D59" i="3"/>
  <c r="C59" i="3"/>
  <c r="B59" i="3"/>
  <c r="C58" i="3"/>
  <c r="B58" i="3"/>
  <c r="D57" i="3"/>
  <c r="C57" i="3"/>
  <c r="B57" i="3"/>
  <c r="C56" i="3"/>
  <c r="B56" i="3"/>
  <c r="D55" i="3"/>
  <c r="C55" i="3"/>
  <c r="B55" i="3"/>
  <c r="D54" i="3"/>
  <c r="C54" i="3"/>
  <c r="B54" i="3"/>
  <c r="C53" i="3"/>
  <c r="B53" i="3"/>
  <c r="D52" i="3"/>
  <c r="C52" i="3"/>
  <c r="B52" i="3"/>
  <c r="C51" i="3"/>
  <c r="B51" i="3"/>
  <c r="C50" i="3"/>
  <c r="B50" i="3"/>
  <c r="D49" i="3"/>
  <c r="C49" i="3"/>
  <c r="B49" i="3"/>
  <c r="C48" i="3"/>
  <c r="B48" i="3"/>
  <c r="C47" i="3"/>
  <c r="B47" i="3"/>
  <c r="C46" i="3"/>
  <c r="B46" i="3"/>
  <c r="D45" i="3"/>
  <c r="C45" i="3"/>
  <c r="B45" i="3"/>
  <c r="D44" i="3"/>
  <c r="C44" i="3"/>
  <c r="B44" i="3"/>
  <c r="D43" i="3"/>
  <c r="C43" i="3"/>
  <c r="B43" i="3"/>
  <c r="C42" i="3"/>
  <c r="B42" i="3"/>
  <c r="D41" i="3"/>
  <c r="C41" i="3"/>
  <c r="B41" i="3"/>
  <c r="C40" i="3"/>
  <c r="B40" i="3"/>
  <c r="D39" i="3"/>
  <c r="C39" i="3"/>
  <c r="B39" i="3"/>
  <c r="D38" i="3"/>
  <c r="C38" i="3"/>
  <c r="B38" i="3"/>
  <c r="D37" i="3"/>
  <c r="C37" i="3"/>
  <c r="B37" i="3"/>
  <c r="D36" i="3"/>
  <c r="C36" i="3"/>
  <c r="B36" i="3"/>
  <c r="C35" i="3"/>
  <c r="B35" i="3"/>
  <c r="D34" i="3"/>
  <c r="C34" i="3"/>
  <c r="C33" i="3"/>
  <c r="B33" i="3"/>
  <c r="C32" i="3"/>
  <c r="B32" i="3"/>
  <c r="C31" i="3"/>
  <c r="B31" i="3"/>
  <c r="D30" i="3"/>
  <c r="C30" i="3"/>
  <c r="B30" i="3"/>
  <c r="C29" i="3"/>
  <c r="B29" i="3"/>
  <c r="D28" i="3"/>
  <c r="C28" i="3"/>
  <c r="B28" i="3"/>
  <c r="C27" i="3"/>
  <c r="B27" i="3"/>
  <c r="C26" i="3"/>
  <c r="B26" i="3"/>
  <c r="D25" i="3"/>
  <c r="C25" i="3"/>
  <c r="B25" i="3"/>
  <c r="D24" i="3"/>
  <c r="C24" i="3"/>
  <c r="B24" i="3"/>
  <c r="D23" i="3"/>
  <c r="C23" i="3"/>
  <c r="B23" i="3"/>
  <c r="C22" i="3"/>
  <c r="B22" i="3"/>
  <c r="D21" i="3"/>
  <c r="C21" i="3"/>
  <c r="B21" i="3"/>
  <c r="C20" i="3"/>
  <c r="B20" i="3"/>
  <c r="D19" i="3"/>
  <c r="C19" i="3"/>
  <c r="B19" i="3"/>
  <c r="C18" i="3"/>
  <c r="B18" i="3"/>
  <c r="C17" i="3"/>
  <c r="B17" i="3"/>
  <c r="C16" i="3"/>
  <c r="B16" i="3"/>
  <c r="C15" i="3"/>
  <c r="B15" i="3"/>
  <c r="D14" i="3"/>
  <c r="C14" i="3"/>
  <c r="B14" i="3"/>
  <c r="C13" i="3"/>
  <c r="B13" i="3"/>
  <c r="D12" i="3"/>
  <c r="C12" i="3"/>
  <c r="B12" i="3"/>
  <c r="C11" i="3"/>
  <c r="B11" i="3"/>
  <c r="C10" i="3"/>
  <c r="B10" i="3"/>
  <c r="D9" i="3"/>
  <c r="C9" i="3"/>
  <c r="B9" i="3"/>
  <c r="C8" i="3"/>
  <c r="B8" i="3"/>
  <c r="G119" i="2" l="1"/>
  <c r="F119" i="2"/>
  <c r="E119" i="2"/>
  <c r="D119" i="2"/>
  <c r="G118" i="2"/>
  <c r="F118" i="2"/>
  <c r="E118" i="2"/>
  <c r="D118" i="2"/>
  <c r="G117" i="2"/>
  <c r="F117" i="2"/>
  <c r="E117" i="2"/>
  <c r="D117" i="2"/>
  <c r="C117" i="2"/>
  <c r="G116" i="2"/>
  <c r="F116" i="2"/>
  <c r="E116" i="2"/>
  <c r="D116" i="2"/>
  <c r="G115" i="2"/>
  <c r="F115" i="2"/>
  <c r="E115" i="2"/>
  <c r="D115" i="2"/>
  <c r="C115" i="2"/>
  <c r="G114" i="2"/>
  <c r="F114" i="2"/>
  <c r="E114" i="2"/>
  <c r="D114" i="2"/>
  <c r="C114" i="2"/>
  <c r="G113" i="2"/>
  <c r="F113" i="2"/>
  <c r="E113" i="2"/>
  <c r="D113" i="2"/>
  <c r="C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C110" i="2"/>
  <c r="G109" i="2"/>
  <c r="F109" i="2"/>
  <c r="E109" i="2"/>
  <c r="D109" i="2"/>
  <c r="C109" i="2"/>
  <c r="G108" i="2"/>
  <c r="F108" i="2"/>
  <c r="E108" i="2"/>
  <c r="D108" i="2"/>
  <c r="C108" i="2"/>
  <c r="G107" i="2"/>
  <c r="F107" i="2"/>
  <c r="E107" i="2"/>
  <c r="D107" i="2"/>
  <c r="C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C104" i="2"/>
  <c r="G103" i="2"/>
  <c r="F103" i="2"/>
  <c r="E103" i="2"/>
  <c r="D103" i="2"/>
  <c r="C103" i="2"/>
  <c r="G102" i="2"/>
  <c r="F102" i="2"/>
  <c r="E102" i="2"/>
  <c r="D102" i="2"/>
  <c r="C102" i="2"/>
  <c r="G101" i="2"/>
  <c r="F101" i="2"/>
  <c r="E101" i="2"/>
  <c r="D101" i="2"/>
  <c r="C101" i="2"/>
  <c r="G100" i="2"/>
  <c r="F100" i="2"/>
  <c r="E100" i="2"/>
  <c r="D100" i="2"/>
  <c r="G99" i="2"/>
  <c r="F99" i="2"/>
  <c r="E99" i="2"/>
  <c r="D99" i="2"/>
  <c r="G98" i="2"/>
  <c r="F98" i="2"/>
  <c r="E98" i="2"/>
  <c r="D98" i="2"/>
  <c r="C98" i="2"/>
  <c r="G97" i="2"/>
  <c r="F97" i="2"/>
  <c r="E97" i="2"/>
  <c r="D97" i="2"/>
  <c r="G96" i="2"/>
  <c r="F96" i="2"/>
  <c r="E96" i="2"/>
  <c r="D96" i="2"/>
  <c r="C96" i="2"/>
  <c r="G95" i="2"/>
  <c r="F95" i="2"/>
  <c r="E95" i="2"/>
  <c r="D95" i="2"/>
  <c r="C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C91" i="2"/>
  <c r="G90" i="2"/>
  <c r="F90" i="2"/>
  <c r="E90" i="2"/>
  <c r="D90" i="2"/>
  <c r="C90" i="2"/>
  <c r="G89" i="2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G86" i="2"/>
  <c r="F86" i="2"/>
  <c r="E86" i="2"/>
  <c r="D86" i="2"/>
  <c r="C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C82" i="2"/>
  <c r="G81" i="2"/>
  <c r="F81" i="2"/>
  <c r="E81" i="2"/>
  <c r="D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G74" i="2"/>
  <c r="F74" i="2"/>
  <c r="E74" i="2"/>
  <c r="D74" i="2"/>
  <c r="C74" i="2"/>
  <c r="G73" i="2"/>
  <c r="F73" i="2"/>
  <c r="E73" i="2"/>
  <c r="D73" i="2"/>
  <c r="C73" i="2"/>
  <c r="G72" i="2"/>
  <c r="F72" i="2"/>
  <c r="E72" i="2"/>
  <c r="D72" i="2"/>
  <c r="C72" i="2"/>
  <c r="G71" i="2"/>
  <c r="F71" i="2"/>
  <c r="E71" i="2"/>
  <c r="D71" i="2"/>
  <c r="G70" i="2"/>
  <c r="F70" i="2"/>
  <c r="E70" i="2"/>
  <c r="D70" i="2"/>
  <c r="C70" i="2"/>
  <c r="G69" i="2"/>
  <c r="F69" i="2"/>
  <c r="E69" i="2"/>
  <c r="D69" i="2"/>
  <c r="C69" i="2"/>
  <c r="G68" i="2"/>
  <c r="F68" i="2"/>
  <c r="E68" i="2"/>
  <c r="D68" i="2"/>
  <c r="C68" i="2"/>
  <c r="G67" i="2"/>
  <c r="F67" i="2"/>
  <c r="E67" i="2"/>
  <c r="D67" i="2"/>
  <c r="C67" i="2"/>
  <c r="G66" i="2"/>
  <c r="F66" i="2"/>
  <c r="E66" i="2"/>
  <c r="D66" i="2"/>
  <c r="C66" i="2"/>
  <c r="G65" i="2"/>
  <c r="F65" i="2"/>
  <c r="E65" i="2"/>
  <c r="D65" i="2"/>
  <c r="G64" i="2"/>
  <c r="F64" i="2"/>
  <c r="E64" i="2"/>
  <c r="D64" i="2"/>
  <c r="C64" i="2"/>
  <c r="G63" i="2"/>
  <c r="F63" i="2"/>
  <c r="E63" i="2"/>
  <c r="D63" i="2"/>
  <c r="C63" i="2"/>
  <c r="G62" i="2"/>
  <c r="F62" i="2"/>
  <c r="E62" i="2"/>
  <c r="D62" i="2"/>
  <c r="C62" i="2"/>
  <c r="G61" i="2"/>
  <c r="F61" i="2"/>
  <c r="E61" i="2"/>
  <c r="D61" i="2"/>
  <c r="C61" i="2"/>
  <c r="G60" i="2"/>
  <c r="F60" i="2"/>
  <c r="E60" i="2"/>
  <c r="D60" i="2"/>
  <c r="G59" i="2"/>
  <c r="F59" i="2"/>
  <c r="E59" i="2"/>
  <c r="D59" i="2"/>
  <c r="C59" i="2"/>
  <c r="G58" i="2"/>
  <c r="F58" i="2"/>
  <c r="E58" i="2"/>
  <c r="D58" i="2"/>
  <c r="C58" i="2"/>
  <c r="G57" i="2"/>
  <c r="F57" i="2"/>
  <c r="E57" i="2"/>
  <c r="D57" i="2"/>
  <c r="C57" i="2"/>
  <c r="G56" i="2"/>
  <c r="F56" i="2"/>
  <c r="E56" i="2"/>
  <c r="D56" i="2"/>
  <c r="C56" i="2"/>
  <c r="G55" i="2"/>
  <c r="F55" i="2"/>
  <c r="E55" i="2"/>
  <c r="D55" i="2"/>
  <c r="G54" i="2"/>
  <c r="F54" i="2"/>
  <c r="E54" i="2"/>
  <c r="D54" i="2"/>
  <c r="C54" i="2"/>
  <c r="G53" i="2"/>
  <c r="F53" i="2"/>
  <c r="E53" i="2"/>
  <c r="D53" i="2"/>
  <c r="C53" i="2"/>
  <c r="G52" i="2"/>
  <c r="F52" i="2"/>
  <c r="E52" i="2"/>
  <c r="D52" i="2"/>
  <c r="G51" i="2"/>
  <c r="F51" i="2"/>
  <c r="E51" i="2"/>
  <c r="D51" i="2"/>
  <c r="C51" i="2"/>
  <c r="G50" i="2"/>
  <c r="F50" i="2"/>
  <c r="E50" i="2"/>
  <c r="D50" i="2"/>
  <c r="C50" i="2"/>
  <c r="G49" i="2"/>
  <c r="F49" i="2"/>
  <c r="E49" i="2"/>
  <c r="D49" i="2"/>
  <c r="C49" i="2"/>
  <c r="G48" i="2"/>
  <c r="F48" i="2"/>
  <c r="E48" i="2"/>
  <c r="D48" i="2"/>
  <c r="G47" i="2"/>
  <c r="F47" i="2"/>
  <c r="E47" i="2"/>
  <c r="D47" i="2"/>
  <c r="G46" i="2"/>
  <c r="F46" i="2"/>
  <c r="E46" i="2"/>
  <c r="D46" i="2"/>
  <c r="C46" i="2"/>
  <c r="G45" i="2"/>
  <c r="F45" i="2"/>
  <c r="E45" i="2"/>
  <c r="D45" i="2"/>
  <c r="C45" i="2"/>
  <c r="G44" i="2"/>
  <c r="F44" i="2"/>
  <c r="E44" i="2"/>
  <c r="D44" i="2"/>
  <c r="C44" i="2"/>
  <c r="G43" i="2"/>
  <c r="F43" i="2"/>
  <c r="E43" i="2"/>
  <c r="D43" i="2"/>
  <c r="C43" i="2"/>
  <c r="G42" i="2"/>
  <c r="F42" i="2"/>
  <c r="E42" i="2"/>
  <c r="D42" i="2"/>
  <c r="C42" i="2"/>
  <c r="G41" i="2"/>
  <c r="F41" i="2"/>
  <c r="E41" i="2"/>
  <c r="D41" i="2"/>
  <c r="C41" i="2"/>
  <c r="G40" i="2"/>
  <c r="F40" i="2"/>
  <c r="E40" i="2"/>
  <c r="D40" i="2"/>
  <c r="C40" i="2"/>
  <c r="G39" i="2"/>
  <c r="F39" i="2"/>
  <c r="E39" i="2"/>
  <c r="D39" i="2"/>
  <c r="C39" i="2"/>
  <c r="G38" i="2"/>
  <c r="F38" i="2"/>
  <c r="E38" i="2"/>
  <c r="D38" i="2"/>
  <c r="C38" i="2"/>
  <c r="G37" i="2"/>
  <c r="F37" i="2"/>
  <c r="E37" i="2"/>
  <c r="D37" i="2"/>
  <c r="C37" i="2"/>
  <c r="G36" i="2"/>
  <c r="F36" i="2"/>
  <c r="E36" i="2"/>
  <c r="D36" i="2"/>
  <c r="G35" i="2"/>
  <c r="F35" i="2"/>
  <c r="E35" i="2"/>
  <c r="D35" i="2"/>
  <c r="G34" i="2"/>
  <c r="F34" i="2"/>
  <c r="E34" i="2"/>
  <c r="D34" i="2"/>
  <c r="G33" i="2"/>
  <c r="F33" i="2"/>
  <c r="E33" i="2"/>
  <c r="D33" i="2"/>
  <c r="G32" i="2"/>
  <c r="F32" i="2"/>
  <c r="E32" i="2"/>
  <c r="D32" i="2"/>
  <c r="C32" i="2"/>
  <c r="G31" i="2"/>
  <c r="F31" i="2"/>
  <c r="E31" i="2"/>
  <c r="D31" i="2"/>
  <c r="G30" i="2"/>
  <c r="F30" i="2"/>
  <c r="E30" i="2"/>
  <c r="D30" i="2"/>
  <c r="C30" i="2"/>
  <c r="G29" i="2"/>
  <c r="F29" i="2"/>
  <c r="E29" i="2"/>
  <c r="D29" i="2"/>
  <c r="C29" i="2"/>
  <c r="G28" i="2"/>
  <c r="F28" i="2"/>
  <c r="E28" i="2"/>
  <c r="D28" i="2"/>
  <c r="C28" i="2"/>
  <c r="G27" i="2"/>
  <c r="F27" i="2"/>
  <c r="E27" i="2"/>
  <c r="D27" i="2"/>
  <c r="C27" i="2"/>
  <c r="G26" i="2"/>
  <c r="F26" i="2"/>
  <c r="E26" i="2"/>
  <c r="D26" i="2"/>
  <c r="C26" i="2"/>
  <c r="G25" i="2"/>
  <c r="F25" i="2"/>
  <c r="E25" i="2"/>
  <c r="D25" i="2"/>
  <c r="G24" i="2"/>
  <c r="F24" i="2"/>
  <c r="E24" i="2"/>
  <c r="D24" i="2"/>
  <c r="C24" i="2"/>
  <c r="G23" i="2"/>
  <c r="F23" i="2"/>
  <c r="E23" i="2"/>
  <c r="D23" i="2"/>
  <c r="C23" i="2"/>
  <c r="G22" i="2"/>
  <c r="F22" i="2"/>
  <c r="E22" i="2"/>
  <c r="D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9" i="2"/>
  <c r="F9" i="2"/>
  <c r="E9" i="2"/>
  <c r="D9" i="2"/>
  <c r="C9" i="2"/>
  <c r="G7" i="2"/>
  <c r="F7" i="2"/>
  <c r="C7" i="2"/>
  <c r="G106" i="1" l="1"/>
  <c r="F106" i="1"/>
  <c r="E106" i="1"/>
  <c r="D106" i="1"/>
  <c r="G105" i="1"/>
  <c r="F105" i="1"/>
  <c r="E105" i="1"/>
  <c r="D105" i="1"/>
  <c r="C105" i="1"/>
  <c r="G104" i="1"/>
  <c r="F104" i="1"/>
  <c r="E104" i="1"/>
  <c r="D104" i="1"/>
  <c r="C104" i="1"/>
  <c r="G103" i="1"/>
  <c r="F103" i="1"/>
  <c r="E103" i="1"/>
  <c r="D103" i="1"/>
  <c r="G102" i="1"/>
  <c r="F102" i="1"/>
  <c r="E102" i="1"/>
  <c r="D102" i="1"/>
  <c r="C102" i="1"/>
  <c r="G101" i="1"/>
  <c r="F101" i="1"/>
  <c r="E101" i="1"/>
  <c r="D101" i="1"/>
  <c r="G100" i="1"/>
  <c r="F100" i="1"/>
  <c r="E100" i="1"/>
  <c r="D100" i="1"/>
  <c r="C100" i="1"/>
  <c r="G99" i="1"/>
  <c r="F99" i="1"/>
  <c r="E99" i="1"/>
  <c r="D99" i="1"/>
  <c r="C99" i="1"/>
  <c r="G98" i="1"/>
  <c r="F98" i="1"/>
  <c r="E98" i="1"/>
  <c r="D98" i="1"/>
  <c r="C98" i="1"/>
  <c r="G97" i="1"/>
  <c r="F97" i="1"/>
  <c r="E97" i="1"/>
  <c r="D97" i="1"/>
  <c r="C97" i="1"/>
  <c r="G96" i="1"/>
  <c r="F96" i="1"/>
  <c r="E96" i="1"/>
  <c r="D96" i="1"/>
  <c r="C96" i="1"/>
  <c r="G95" i="1"/>
  <c r="F95" i="1"/>
  <c r="E95" i="1"/>
  <c r="D95" i="1"/>
  <c r="C95" i="1"/>
  <c r="G94" i="1"/>
  <c r="F94" i="1"/>
  <c r="E94" i="1"/>
  <c r="D94" i="1"/>
  <c r="C94" i="1"/>
  <c r="G93" i="1"/>
  <c r="F93" i="1"/>
  <c r="E93" i="1"/>
  <c r="D93" i="1"/>
  <c r="C93" i="1"/>
  <c r="G92" i="1"/>
  <c r="F92" i="1"/>
  <c r="E92" i="1"/>
  <c r="D92" i="1"/>
  <c r="C92" i="1"/>
  <c r="G91" i="1"/>
  <c r="F91" i="1"/>
  <c r="E91" i="1"/>
  <c r="D91" i="1"/>
  <c r="C91" i="1"/>
  <c r="G90" i="1"/>
  <c r="F90" i="1"/>
  <c r="E90" i="1"/>
  <c r="D90" i="1"/>
  <c r="C90" i="1"/>
  <c r="G89" i="1"/>
  <c r="F89" i="1"/>
  <c r="E89" i="1"/>
  <c r="D89" i="1"/>
  <c r="G88" i="1"/>
  <c r="F88" i="1"/>
  <c r="E88" i="1"/>
  <c r="D88" i="1"/>
  <c r="G87" i="1"/>
  <c r="F87" i="1"/>
  <c r="E87" i="1"/>
  <c r="D87" i="1"/>
  <c r="G86" i="1"/>
  <c r="F86" i="1"/>
  <c r="E86" i="1"/>
  <c r="D86" i="1"/>
  <c r="C86" i="1"/>
  <c r="G85" i="1"/>
  <c r="F85" i="1"/>
  <c r="E85" i="1"/>
  <c r="D85" i="1"/>
  <c r="G84" i="1"/>
  <c r="F84" i="1"/>
  <c r="E84" i="1"/>
  <c r="D84" i="1"/>
  <c r="C84" i="1"/>
  <c r="G83" i="1"/>
  <c r="F83" i="1"/>
  <c r="E83" i="1"/>
  <c r="D83" i="1"/>
  <c r="C83" i="1"/>
  <c r="G82" i="1"/>
  <c r="F82" i="1"/>
  <c r="E82" i="1"/>
  <c r="D82" i="1"/>
  <c r="C82" i="1"/>
  <c r="G81" i="1"/>
  <c r="F81" i="1"/>
  <c r="E81" i="1"/>
  <c r="D81" i="1"/>
  <c r="G80" i="1"/>
  <c r="F80" i="1"/>
  <c r="E80" i="1"/>
  <c r="D80" i="1"/>
  <c r="G79" i="1"/>
  <c r="F79" i="1"/>
  <c r="E79" i="1"/>
  <c r="D79" i="1"/>
  <c r="G78" i="1"/>
  <c r="F78" i="1"/>
  <c r="E78" i="1"/>
  <c r="D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G64" i="1"/>
  <c r="F64" i="1"/>
  <c r="E64" i="1"/>
  <c r="D64" i="1"/>
  <c r="C64" i="1"/>
  <c r="G63" i="1"/>
  <c r="F63" i="1"/>
  <c r="E63" i="1"/>
  <c r="D63" i="1"/>
  <c r="G62" i="1"/>
  <c r="F62" i="1"/>
  <c r="E62" i="1"/>
  <c r="D62" i="1"/>
  <c r="C62" i="1"/>
  <c r="G61" i="1"/>
  <c r="F61" i="1"/>
  <c r="E61" i="1"/>
  <c r="D61" i="1"/>
  <c r="G60" i="1"/>
  <c r="F60" i="1"/>
  <c r="E60" i="1"/>
  <c r="D60" i="1"/>
  <c r="G59" i="1"/>
  <c r="F59" i="1"/>
  <c r="E59" i="1"/>
  <c r="D59" i="1"/>
  <c r="C59" i="1"/>
  <c r="G58" i="1"/>
  <c r="F58" i="1"/>
  <c r="E58" i="1"/>
  <c r="D58" i="1"/>
  <c r="G57" i="1"/>
  <c r="F57" i="1"/>
  <c r="E57" i="1"/>
  <c r="D57" i="1"/>
  <c r="C57" i="1"/>
  <c r="G56" i="1"/>
  <c r="F56" i="1"/>
  <c r="E56" i="1"/>
  <c r="D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G51" i="1"/>
  <c r="F51" i="1"/>
  <c r="E51" i="1"/>
  <c r="D51" i="1"/>
  <c r="G50" i="1"/>
  <c r="F50" i="1"/>
  <c r="E50" i="1"/>
  <c r="D50" i="1"/>
  <c r="C50" i="1"/>
  <c r="G49" i="1"/>
  <c r="F49" i="1"/>
  <c r="E49" i="1"/>
  <c r="D49" i="1"/>
  <c r="C49" i="1"/>
  <c r="G48" i="1"/>
  <c r="F48" i="1"/>
  <c r="E48" i="1"/>
  <c r="D48" i="1"/>
  <c r="C48" i="1"/>
  <c r="G47" i="1"/>
  <c r="F47" i="1"/>
  <c r="E47" i="1"/>
  <c r="D47" i="1"/>
  <c r="C47" i="1"/>
  <c r="G46" i="1"/>
  <c r="F46" i="1"/>
  <c r="E46" i="1"/>
  <c r="D46" i="1"/>
  <c r="C46" i="1"/>
  <c r="G45" i="1"/>
  <c r="F45" i="1"/>
  <c r="E45" i="1"/>
  <c r="D45" i="1"/>
  <c r="C45" i="1"/>
  <c r="G44" i="1"/>
  <c r="F44" i="1"/>
  <c r="E44" i="1"/>
  <c r="D44" i="1"/>
  <c r="C44" i="1"/>
  <c r="G43" i="1"/>
  <c r="F43" i="1"/>
  <c r="E43" i="1"/>
  <c r="D43" i="1"/>
  <c r="G42" i="1"/>
  <c r="F42" i="1"/>
  <c r="E42" i="1"/>
  <c r="D42" i="1"/>
  <c r="C42" i="1"/>
  <c r="G41" i="1"/>
  <c r="F41" i="1"/>
  <c r="E41" i="1"/>
  <c r="D41" i="1"/>
  <c r="G40" i="1"/>
  <c r="F40" i="1"/>
  <c r="E40" i="1"/>
  <c r="D40" i="1"/>
  <c r="C40" i="1"/>
  <c r="G39" i="1"/>
  <c r="F39" i="1"/>
  <c r="E39" i="1"/>
  <c r="D39" i="1"/>
  <c r="C39" i="1"/>
  <c r="G38" i="1"/>
  <c r="F38" i="1"/>
  <c r="E38" i="1"/>
  <c r="D38" i="1"/>
  <c r="C38" i="1"/>
  <c r="G37" i="1"/>
  <c r="F37" i="1"/>
  <c r="E37" i="1"/>
  <c r="D37" i="1"/>
  <c r="C37" i="1"/>
  <c r="G36" i="1"/>
  <c r="F36" i="1"/>
  <c r="E36" i="1"/>
  <c r="D36" i="1"/>
  <c r="C36" i="1"/>
  <c r="G35" i="1"/>
  <c r="F35" i="1"/>
  <c r="E35" i="1"/>
  <c r="D35" i="1"/>
  <c r="C35" i="1"/>
  <c r="G34" i="1"/>
  <c r="F34" i="1"/>
  <c r="E34" i="1"/>
  <c r="D34" i="1"/>
  <c r="G33" i="1"/>
  <c r="F33" i="1"/>
  <c r="E33" i="1"/>
  <c r="D33" i="1"/>
  <c r="G32" i="1"/>
  <c r="F32" i="1"/>
  <c r="E32" i="1"/>
  <c r="D32" i="1"/>
  <c r="C32" i="1"/>
  <c r="G31" i="1"/>
  <c r="F31" i="1"/>
  <c r="E31" i="1"/>
  <c r="D31" i="1"/>
  <c r="G30" i="1"/>
  <c r="F30" i="1"/>
  <c r="E30" i="1"/>
  <c r="D30" i="1"/>
  <c r="G29" i="1"/>
  <c r="F29" i="1"/>
  <c r="E29" i="1"/>
  <c r="D29" i="1"/>
  <c r="C29" i="1"/>
  <c r="G28" i="1"/>
  <c r="F28" i="1"/>
  <c r="E28" i="1"/>
  <c r="D28" i="1"/>
  <c r="C28" i="1"/>
  <c r="G27" i="1"/>
  <c r="F27" i="1"/>
  <c r="E27" i="1"/>
  <c r="D27" i="1"/>
  <c r="C27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G21" i="1"/>
  <c r="F21" i="1"/>
  <c r="E21" i="1"/>
  <c r="D21" i="1"/>
  <c r="C21" i="1"/>
  <c r="G20" i="1"/>
  <c r="F20" i="1"/>
  <c r="E20" i="1"/>
  <c r="D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7" i="1"/>
  <c r="F7" i="1"/>
  <c r="C7" i="1"/>
</calcChain>
</file>

<file path=xl/sharedStrings.xml><?xml version="1.0" encoding="utf-8"?>
<sst xmlns="http://schemas.openxmlformats.org/spreadsheetml/2006/main" count="1148" uniqueCount="397">
  <si>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</si>
  <si>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</si>
  <si>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</si>
  <si>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</si>
  <si>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</si>
  <si>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</si>
  <si>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</si>
  <si>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</si>
  <si>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</si>
  <si>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</si>
  <si>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</si>
  <si>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</si>
  <si>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</si>
  <si>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</si>
  <si>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</si>
  <si>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</si>
  <si>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</si>
  <si>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</si>
  <si>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</si>
  <si>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</si>
  <si>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</si>
  <si>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</si>
  <si>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</si>
  <si>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</si>
  <si>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</si>
  <si>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</si>
  <si>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</si>
  <si>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</si>
  <si>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</si>
  <si>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</si>
  <si>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</si>
  <si>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</si>
  <si>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</si>
  <si>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</si>
  <si>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</si>
  <si>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</si>
  <si>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</si>
  <si>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</si>
  <si>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</si>
  <si>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</si>
  <si>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</si>
  <si>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</si>
  <si>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</si>
  <si>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</si>
  <si>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</si>
  <si>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</si>
  <si>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</si>
  <si>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</si>
  <si>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</si>
  <si>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</si>
  <si>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</si>
  <si>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</si>
  <si>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</si>
  <si>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</si>
  <si>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</si>
  <si>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</si>
  <si>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</si>
  <si>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</si>
  <si>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</si>
  <si>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</si>
  <si>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</si>
  <si>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</si>
  <si>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</si>
  <si>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</si>
  <si>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</si>
  <si>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</si>
  <si>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</si>
  <si>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</si>
  <si>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</si>
  <si>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</si>
  <si>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</si>
  <si>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</si>
  <si>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</si>
  <si>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</si>
  <si>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</si>
  <si>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</si>
  <si>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</si>
  <si>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</si>
  <si>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</si>
  <si>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</si>
  <si>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</si>
  <si>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</si>
  <si>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</si>
  <si>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</si>
  <si>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</si>
  <si>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</si>
  <si>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</si>
  <si>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</si>
  <si>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</si>
  <si>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</si>
  <si>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</si>
  <si>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</si>
  <si>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</si>
  <si>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</si>
  <si>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</si>
  <si>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</si>
  <si>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</si>
  <si>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</si>
  <si>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</si>
  <si>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</si>
  <si>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</si>
  <si>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</si>
  <si>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1,6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</si>
  <si>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</si>
  <si>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</si>
  <si>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</si>
  <si>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</si>
  <si>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</si>
  <si>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</si>
  <si>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</si>
  <si>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</si>
  <si>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</si>
  <si>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</si>
  <si>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</si>
  <si>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</si>
  <si>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</si>
  <si>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</si>
  <si>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</si>
  <si>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mii dolari             SUA</t>
  </si>
  <si>
    <t>Siria</t>
  </si>
  <si>
    <t>IMPORT - total</t>
  </si>
  <si>
    <t>Etiopia</t>
  </si>
  <si>
    <t>Bahrain</t>
  </si>
  <si>
    <t>Senegal</t>
  </si>
  <si>
    <t xml:space="preserve">   din care:</t>
  </si>
  <si>
    <t xml:space="preserve">IMPORT - total      </t>
  </si>
  <si>
    <t>Burkina Faso</t>
  </si>
  <si>
    <t>Macedonia de Nord</t>
  </si>
  <si>
    <t>Cote D'Ivoire</t>
  </si>
  <si>
    <t>Laos</t>
  </si>
  <si>
    <t xml:space="preserve">     din care:</t>
  </si>
  <si>
    <t>Zimbabwe</t>
  </si>
  <si>
    <t>Camerun</t>
  </si>
  <si>
    <t xml:space="preserve">EXPORT - total      </t>
  </si>
  <si>
    <t>Liechtenstein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</si>
  <si>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</si>
  <si>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</si>
  <si>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</si>
  <si>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</si>
  <si>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</si>
  <si>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</si>
  <si>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Cambodgia</t>
  </si>
  <si>
    <t>Ghana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</si>
  <si>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</si>
  <si>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</si>
  <si>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</si>
  <si>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</si>
  <si>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</si>
  <si>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</si>
  <si>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</si>
  <si>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</si>
  <si>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</si>
  <si>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</si>
  <si>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</si>
  <si>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</si>
  <si>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</si>
  <si>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</si>
  <si>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</si>
  <si>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</si>
  <si>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</si>
  <si>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</si>
  <si>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</si>
  <si>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</si>
  <si>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</si>
  <si>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</si>
  <si>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</si>
  <si>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</si>
  <si>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</si>
  <si>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</si>
  <si>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</si>
  <si>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</si>
  <si>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</si>
  <si>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</si>
  <si>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</si>
  <si>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</si>
  <si>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</si>
  <si>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</si>
  <si>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</si>
  <si>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</si>
  <si>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</si>
  <si>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</si>
  <si>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</si>
  <si>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</si>
  <si>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</si>
  <si>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</si>
  <si>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</si>
  <si>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</si>
  <si>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</si>
  <si>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</si>
  <si>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</si>
  <si>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</si>
  <si>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</si>
  <si>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</si>
  <si>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</si>
  <si>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</si>
  <si>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</si>
  <si>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</si>
  <si>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</si>
  <si>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</si>
  <si>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</si>
  <si>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</si>
  <si>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</si>
  <si>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de 1,8 ori</t>
  </si>
  <si>
    <t>Țările CSI - total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</si>
  <si>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</si>
  <si>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</si>
  <si>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</si>
  <si>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</si>
  <si>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</si>
  <si>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BALANŢA COMERCIALĂ – total, mii dolari SUA</t>
  </si>
  <si>
    <t>Libia</t>
  </si>
  <si>
    <t>Statul Palestina</t>
  </si>
  <si>
    <t>de 2,3 ori</t>
  </si>
  <si>
    <t>Kosovo</t>
  </si>
  <si>
    <t>Afganistan</t>
  </si>
  <si>
    <t>Tanzania</t>
  </si>
  <si>
    <t>Nicaragua</t>
  </si>
  <si>
    <t>Cod           CSCI</t>
  </si>
  <si>
    <t>0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</si>
  <si>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</si>
  <si>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</si>
  <si>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</si>
  <si>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</si>
  <si>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</si>
  <si>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</si>
  <si>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</si>
  <si>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</si>
  <si>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</si>
  <si>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</si>
  <si>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</t>
  </si>
  <si>
    <t>11</t>
  </si>
  <si>
    <t>12</t>
  </si>
  <si>
    <t>2</t>
  </si>
  <si>
    <t>21</t>
  </si>
  <si>
    <t>22</t>
  </si>
  <si>
    <t>24</t>
  </si>
  <si>
    <t>25</t>
  </si>
  <si>
    <t>26</t>
  </si>
  <si>
    <t>27</t>
  </si>
  <si>
    <t>28</t>
  </si>
  <si>
    <t>29</t>
  </si>
  <si>
    <t>3</t>
  </si>
  <si>
    <t>32</t>
  </si>
  <si>
    <t>33</t>
  </si>
  <si>
    <t>4</t>
  </si>
  <si>
    <t>41</t>
  </si>
  <si>
    <t>42</t>
  </si>
  <si>
    <t>43</t>
  </si>
  <si>
    <t>5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</si>
  <si>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</si>
  <si>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</si>
  <si>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</si>
  <si>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</si>
  <si>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</si>
  <si>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</si>
  <si>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</si>
  <si>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</si>
  <si>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</si>
  <si>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</si>
  <si>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</si>
  <si>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</si>
  <si>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</si>
  <si>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</si>
  <si>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</si>
  <si>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</si>
  <si>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</si>
  <si>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</si>
  <si>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</si>
  <si>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</si>
  <si>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</si>
  <si>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</si>
  <si>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</si>
  <si>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</si>
  <si>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</si>
  <si>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</si>
  <si>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</si>
  <si>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</si>
  <si>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</si>
  <si>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</t>
  </si>
  <si>
    <t>81</t>
  </si>
  <si>
    <t>82</t>
  </si>
  <si>
    <t>83</t>
  </si>
  <si>
    <t>84</t>
  </si>
  <si>
    <t>85</t>
  </si>
  <si>
    <t>87</t>
  </si>
  <si>
    <t>88</t>
  </si>
  <si>
    <t>89</t>
  </si>
  <si>
    <t>23</t>
  </si>
  <si>
    <t>34</t>
  </si>
  <si>
    <t>9</t>
  </si>
  <si>
    <t>Cod CSCI</t>
  </si>
  <si>
    <t xml:space="preserve">  ¹ În preţuri curente</t>
  </si>
  <si>
    <t>Sierra Leone</t>
  </si>
  <si>
    <t>de 2,9 ori</t>
  </si>
  <si>
    <t>-</t>
  </si>
  <si>
    <t>35</t>
  </si>
  <si>
    <t>Energie electrica</t>
  </si>
  <si>
    <t>Energie electrică</t>
  </si>
  <si>
    <t>BALANŢA COMERCIALĂ - total, mii dolari SUA</t>
  </si>
  <si>
    <t>mii dolari                 SUA</t>
  </si>
  <si>
    <t>Andorra</t>
  </si>
  <si>
    <t>Mauritius</t>
  </si>
  <si>
    <t>de 5,8 ori</t>
  </si>
  <si>
    <t>Celelalte țări ale lumii</t>
  </si>
  <si>
    <t>de 8,2 ori</t>
  </si>
  <si>
    <t>de 3,4 ori</t>
  </si>
  <si>
    <t>Țările Uniunii Europene - total</t>
  </si>
  <si>
    <t>Franța</t>
  </si>
  <si>
    <t>Croația</t>
  </si>
  <si>
    <t xml:space="preserve">Țări cu codul țării de origine a mărfii "EU" </t>
  </si>
  <si>
    <t>Regatul Unit al Marii Britanii și Irlandei de Nord</t>
  </si>
  <si>
    <t>Trinidad Tobago</t>
  </si>
  <si>
    <t>Congo</t>
  </si>
  <si>
    <t>Gambia</t>
  </si>
  <si>
    <t>Angola</t>
  </si>
  <si>
    <t>Bosnia și Herțegovina</t>
  </si>
  <si>
    <t>Elveția</t>
  </si>
  <si>
    <t>Ianuarie - iunie 2021</t>
  </si>
  <si>
    <t>în % faţă de ianuarie - iunie 2020 ¹</t>
  </si>
  <si>
    <t>ianuarie - iunie</t>
  </si>
  <si>
    <t>în % faţă de ianuarie-iunie 2020 ¹</t>
  </si>
  <si>
    <t>Ianuarie - iunie</t>
  </si>
  <si>
    <t>Ianuarie - iunie 2021        în % faţă de            ianuarie - iunie 2020 ¹</t>
  </si>
  <si>
    <t>Mărfuri manufacturate, clasificate iunie ales după materia primă</t>
  </si>
  <si>
    <t>Ianuarie - iunie 2021 în % faţă de            ianuarie - iunie 2020 ¹</t>
  </si>
  <si>
    <t>Federația Rusă</t>
  </si>
  <si>
    <t>Kîrgîzstan</t>
  </si>
  <si>
    <t>Rep.Yemen</t>
  </si>
  <si>
    <t>ins.Turks și Caicos</t>
  </si>
  <si>
    <t>Togo</t>
  </si>
  <si>
    <t>ins.Feroe</t>
  </si>
  <si>
    <t>Șri Lanka</t>
  </si>
  <si>
    <t>Rep.Dominicană</t>
  </si>
  <si>
    <t>Tarile CSI - total</t>
  </si>
  <si>
    <t>Barbados</t>
  </si>
  <si>
    <t>Guatemala</t>
  </si>
  <si>
    <t>ins.Turks si Caicos</t>
  </si>
  <si>
    <t>de 7,0 ori</t>
  </si>
  <si>
    <t>de 3,3 ori</t>
  </si>
  <si>
    <t>de 7,5 ori</t>
  </si>
  <si>
    <t>de 2,2 ori</t>
  </si>
  <si>
    <t>de 1,9 ori</t>
  </si>
  <si>
    <t>de 2,1 ori</t>
  </si>
  <si>
    <t>de 2,4 ori</t>
  </si>
  <si>
    <t>de 1,7 ori</t>
  </si>
  <si>
    <t>de 31,0 ori</t>
  </si>
  <si>
    <t>de 12,4 ori</t>
  </si>
  <si>
    <t>de 131,7 ori</t>
  </si>
  <si>
    <t>de 65,5 ori</t>
  </si>
  <si>
    <t>de 4,1 ori</t>
  </si>
  <si>
    <t>de 4,8 ori</t>
  </si>
  <si>
    <t>de 4,0 ori</t>
  </si>
  <si>
    <t>de 7,1 ori</t>
  </si>
  <si>
    <t>de 4,2 ori</t>
  </si>
  <si>
    <t>de 9,3 ori</t>
  </si>
  <si>
    <t>de 53,0 ori</t>
  </si>
  <si>
    <t>de 58,8 ori</t>
  </si>
  <si>
    <t>de 83,3 ori</t>
  </si>
  <si>
    <t>de 13,4 ori</t>
  </si>
  <si>
    <t>de 3,7 ori</t>
  </si>
  <si>
    <t>de 3,6 ori</t>
  </si>
  <si>
    <t>de 6,8 ori</t>
  </si>
  <si>
    <t>de 5,4 ori</t>
  </si>
  <si>
    <t>de 7,3 ori</t>
  </si>
  <si>
    <t>de 6,1 ori</t>
  </si>
  <si>
    <t>de 2,8 ori</t>
  </si>
  <si>
    <t>de 497,1 ori</t>
  </si>
  <si>
    <t>de 6,4 ori</t>
  </si>
  <si>
    <t>de 1,5 ori</t>
  </si>
  <si>
    <t>de 2,5 ori</t>
  </si>
  <si>
    <t>de 75,8 ori</t>
  </si>
  <si>
    <t>de 5,3 ori</t>
  </si>
  <si>
    <t>de 20,6 ori</t>
  </si>
  <si>
    <t>de 3,5 ori</t>
  </si>
  <si>
    <t>de 2,7 ori</t>
  </si>
  <si>
    <t>de 10,2 ori</t>
  </si>
  <si>
    <t>de 2,6 ori</t>
  </si>
  <si>
    <t>de 3,0 ori</t>
  </si>
  <si>
    <t>de 35,2 ori</t>
  </si>
  <si>
    <t>de 3,8 ori</t>
  </si>
  <si>
    <t>de 5,5 ori</t>
  </si>
  <si>
    <t>de 4,9 ori</t>
  </si>
  <si>
    <t>de 3,1 ori</t>
  </si>
  <si>
    <t>de 8,8 ori</t>
  </si>
  <si>
    <t>de 6,6 ori</t>
  </si>
  <si>
    <t>de 28,1 ori</t>
  </si>
  <si>
    <r>
      <t xml:space="preserve">  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Faţă de perioada corespunzătoare din anul precedent</t>
    </r>
  </si>
  <si>
    <r>
      <rPr>
        <b/>
        <sz val="9"/>
        <rFont val="Arial"/>
        <family val="2"/>
        <charset val="204"/>
      </rPr>
      <t xml:space="preserve">Anexa 1.  </t>
    </r>
    <r>
      <rPr>
        <b/>
        <i/>
        <sz val="9"/>
        <rFont val="Arial"/>
        <family val="2"/>
        <charset val="204"/>
      </rPr>
      <t>Exporturile structurate pe principalele ţări de destinaţie a mărfurilor şi grupe de ţări</t>
    </r>
  </si>
  <si>
    <r>
      <t xml:space="preserve">ianuarie - iunie </t>
    </r>
    <r>
      <rPr>
        <b/>
        <vertAlign val="superscript"/>
        <sz val="9"/>
        <rFont val="Arial"/>
        <family val="2"/>
        <charset val="204"/>
      </rPr>
      <t>1,2</t>
    </r>
  </si>
  <si>
    <r>
      <t xml:space="preserve">ianuarie - iunie </t>
    </r>
    <r>
      <rPr>
        <b/>
        <vertAlign val="superscript"/>
        <sz val="9"/>
        <color indexed="8"/>
        <rFont val="Arial"/>
        <family val="2"/>
        <charset val="204"/>
      </rPr>
      <t>1,2</t>
    </r>
  </si>
  <si>
    <r>
      <rPr>
        <b/>
        <sz val="9"/>
        <rFont val="Arial"/>
        <family val="2"/>
        <charset val="204"/>
      </rPr>
      <t>Anexa 5.</t>
    </r>
    <r>
      <rPr>
        <b/>
        <i/>
        <sz val="9"/>
        <rFont val="Arial"/>
        <family val="2"/>
        <charset val="204"/>
      </rPr>
      <t xml:space="preserve">  Importurile structurate după modul de transport al mărfurilor </t>
    </r>
  </si>
  <si>
    <r>
      <rPr>
        <b/>
        <sz val="9"/>
        <rFont val="Arial"/>
        <family val="2"/>
        <charset val="204"/>
      </rPr>
      <t xml:space="preserve">Anexa 4.  </t>
    </r>
    <r>
      <rPr>
        <b/>
        <i/>
        <sz val="9"/>
        <rFont val="Arial"/>
        <family val="2"/>
        <charset val="204"/>
      </rPr>
      <t xml:space="preserve">Exporturile structurate după modul de transport al mărfurilor </t>
    </r>
  </si>
  <si>
    <r>
      <rPr>
        <b/>
        <sz val="9"/>
        <color indexed="8"/>
        <rFont val="Arial"/>
        <family val="2"/>
        <charset val="204"/>
      </rPr>
      <t xml:space="preserve">Anexa 3.  </t>
    </r>
    <r>
      <rPr>
        <b/>
        <i/>
        <sz val="9"/>
        <color indexed="8"/>
        <rFont val="Arial"/>
        <family val="2"/>
        <charset val="204"/>
      </rPr>
      <t>Balanţa comercială structurată pe principalele ţări şi grupe de ţări</t>
    </r>
  </si>
  <si>
    <r>
      <rPr>
        <b/>
        <sz val="9"/>
        <color indexed="8"/>
        <rFont val="Arial"/>
        <family val="2"/>
        <charset val="204"/>
      </rPr>
      <t xml:space="preserve">Anexa 2.  </t>
    </r>
    <r>
      <rPr>
        <b/>
        <i/>
        <sz val="9"/>
        <color indexed="8"/>
        <rFont val="Arial"/>
        <family val="2"/>
        <charset val="204"/>
      </rPr>
      <t>Importurile structurate pe principalele ţări de origine a mărfurilor şi grupe de ţări</t>
    </r>
  </si>
  <si>
    <r>
      <rPr>
        <b/>
        <sz val="9"/>
        <color indexed="8"/>
        <rFont val="Arial"/>
        <family val="2"/>
        <charset val="204"/>
      </rPr>
      <t>Anexa 6.</t>
    </r>
    <r>
      <rPr>
        <b/>
        <i/>
        <sz val="9"/>
        <color indexed="8"/>
        <rFont val="Arial"/>
        <family val="2"/>
        <charset val="204"/>
      </rPr>
      <t xml:space="preserve">  Exporturile structurate pe grupe de mărfuri, 
conform Clasificării Standard de Comerţ Internaţional (CSCI)</t>
    </r>
  </si>
  <si>
    <r>
      <rPr>
        <b/>
        <sz val="9"/>
        <color indexed="8"/>
        <rFont val="Arial"/>
        <family val="2"/>
        <charset val="204"/>
      </rPr>
      <t>Anexa 7.</t>
    </r>
    <r>
      <rPr>
        <b/>
        <i/>
        <sz val="9"/>
        <color indexed="8"/>
        <rFont val="Arial"/>
        <family val="2"/>
        <charset val="204"/>
      </rPr>
      <t xml:space="preserve">  Importurile structurate pe grupe de mărfuri, 
conform Clasificării Standard de Comerţ Internaţional (CSCI)</t>
    </r>
  </si>
  <si>
    <r>
      <rPr>
        <b/>
        <sz val="9"/>
        <color indexed="8"/>
        <rFont val="Arial"/>
        <family val="2"/>
        <charset val="204"/>
      </rPr>
      <t xml:space="preserve">Anexa 8.  </t>
    </r>
    <r>
      <rPr>
        <b/>
        <i/>
        <sz val="9"/>
        <color indexed="8"/>
        <rFont val="Arial"/>
        <family val="2"/>
        <charset val="204"/>
      </rPr>
      <t>Balanţa comercială structurată pe grupe de mărfuri, 
conform Clasificării Standard de Comerţ Internaţional (CSCI)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</si>
</sst>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2"/>
      <color indexed="8"/>
      <name val="Times New Roman"/>
      <family val="2"/>
      <charset val="238"/>
    </font>
    <font>
      <sz val="8"/>
      <name val="Times New Roman"/>
      <family val="2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2"/>
      <charset val="238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9"/>
      <color rgb="FFC00000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</cellStyleXfs>
  <cellXfs count="14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vertical="top" wrapText="1"/>
    </xf>
    <xf numFmtId="38" fontId="6" fillId="0" borderId="0" xfId="0" applyNumberFormat="1" applyFont="1" applyFill="1" applyBorder="1" applyAlignment="1" applyProtection="1">
      <alignment horizontal="left" wrapText="1"/>
    </xf>
    <xf numFmtId="0" fontId="9" fillId="0" borderId="0" xfId="0" applyFont="1" applyAlignment="1">
      <alignment horizontal="center"/>
    </xf>
    <xf numFmtId="0" fontId="5" fillId="0" borderId="0" xfId="0" applyFont="1"/>
    <xf numFmtId="0" fontId="6" fillId="0" borderId="6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5" xfId="0" applyNumberFormat="1" applyFont="1" applyFill="1" applyBorder="1" applyAlignment="1" applyProtection="1">
      <alignment horizontal="right" vertical="top"/>
    </xf>
    <xf numFmtId="4" fontId="10" fillId="0" borderId="5" xfId="0" applyNumberFormat="1" applyFont="1" applyFill="1" applyBorder="1" applyAlignment="1" applyProtection="1">
      <alignment horizontal="right" indent="1"/>
    </xf>
    <xf numFmtId="4" fontId="10" fillId="0" borderId="0" xfId="0" applyNumberFormat="1" applyFont="1" applyFill="1" applyBorder="1" applyAlignment="1" applyProtection="1">
      <alignment horizontal="right" vertical="top"/>
    </xf>
    <xf numFmtId="4" fontId="10" fillId="0" borderId="0" xfId="0" applyNumberFormat="1" applyFont="1" applyFill="1" applyBorder="1" applyAlignment="1" applyProtection="1">
      <alignment horizontal="right" indent="1"/>
    </xf>
    <xf numFmtId="4" fontId="10" fillId="0" borderId="0" xfId="0" applyNumberFormat="1" applyFont="1" applyFill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 vertical="top" indent="1"/>
    </xf>
    <xf numFmtId="38" fontId="6" fillId="0" borderId="0" xfId="0" applyNumberFormat="1" applyFont="1" applyFill="1" applyAlignment="1" applyProtection="1">
      <alignment horizontal="left" wrapText="1" indent="1"/>
    </xf>
    <xf numFmtId="4" fontId="6" fillId="0" borderId="0" xfId="0" applyNumberFormat="1" applyFont="1" applyFill="1" applyAlignment="1" applyProtection="1">
      <alignment horizontal="right" vertical="top"/>
    </xf>
    <xf numFmtId="4" fontId="6" fillId="0" borderId="0" xfId="0" applyNumberFormat="1" applyFont="1" applyFill="1" applyAlignment="1" applyProtection="1">
      <alignment horizontal="right" vertical="top" indent="1"/>
    </xf>
    <xf numFmtId="0" fontId="12" fillId="0" borderId="0" xfId="0" applyFont="1"/>
    <xf numFmtId="0" fontId="13" fillId="0" borderId="0" xfId="0" applyFont="1"/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right" vertical="top"/>
    </xf>
    <xf numFmtId="4" fontId="6" fillId="0" borderId="3" xfId="0" applyNumberFormat="1" applyFont="1" applyBorder="1" applyAlignment="1">
      <alignment horizontal="right" vertical="top"/>
    </xf>
    <xf numFmtId="4" fontId="6" fillId="0" borderId="3" xfId="0" applyNumberFormat="1" applyFont="1" applyFill="1" applyBorder="1" applyAlignment="1" applyProtection="1">
      <alignment horizontal="right" vertical="top" indent="1"/>
    </xf>
    <xf numFmtId="2" fontId="6" fillId="0" borderId="0" xfId="0" applyNumberFormat="1" applyFont="1" applyAlignment="1">
      <alignment horizontal="right" vertical="top"/>
    </xf>
    <xf numFmtId="2" fontId="6" fillId="0" borderId="0" xfId="0" applyNumberFormat="1" applyFont="1" applyFill="1" applyAlignment="1" applyProtection="1">
      <alignment horizontal="right" inden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/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4" fontId="10" fillId="0" borderId="5" xfId="0" applyNumberFormat="1" applyFont="1" applyFill="1" applyBorder="1" applyAlignment="1" applyProtection="1">
      <alignment horizontal="right" vertical="top" indent="1"/>
    </xf>
    <xf numFmtId="164" fontId="10" fillId="0" borderId="5" xfId="0" applyNumberFormat="1" applyFont="1" applyFill="1" applyBorder="1" applyAlignment="1" applyProtection="1">
      <alignment horizontal="right" vertical="top" indent="1"/>
    </xf>
    <xf numFmtId="4" fontId="5" fillId="0" borderId="0" xfId="0" applyNumberFormat="1" applyFont="1"/>
    <xf numFmtId="4" fontId="10" fillId="0" borderId="0" xfId="0" applyNumberFormat="1" applyFont="1" applyFill="1" applyBorder="1" applyAlignment="1" applyProtection="1">
      <alignment horizontal="right" vertical="top" indent="1"/>
    </xf>
    <xf numFmtId="4" fontId="6" fillId="0" borderId="0" xfId="0" applyNumberFormat="1" applyFont="1" applyAlignment="1">
      <alignment horizontal="right" vertical="top" indent="1"/>
    </xf>
    <xf numFmtId="164" fontId="10" fillId="0" borderId="0" xfId="0" applyNumberFormat="1" applyFont="1" applyFill="1" applyBorder="1" applyAlignment="1" applyProtection="1">
      <alignment horizontal="right" indent="1"/>
    </xf>
    <xf numFmtId="38" fontId="10" fillId="0" borderId="0" xfId="0" applyNumberFormat="1" applyFont="1" applyFill="1" applyAlignment="1" applyProtection="1">
      <alignment horizontal="center" vertical="top"/>
    </xf>
    <xf numFmtId="38" fontId="10" fillId="0" borderId="0" xfId="0" applyNumberFormat="1" applyFont="1" applyFill="1" applyAlignment="1" applyProtection="1">
      <alignment horizontal="left" vertical="top" wrapText="1"/>
    </xf>
    <xf numFmtId="2" fontId="10" fillId="0" borderId="0" xfId="0" applyNumberFormat="1" applyFont="1" applyFill="1" applyAlignment="1" applyProtection="1">
      <alignment horizontal="right" vertical="top" indent="1"/>
    </xf>
    <xf numFmtId="38" fontId="6" fillId="0" borderId="0" xfId="0" applyNumberFormat="1" applyFont="1" applyFill="1" applyAlignment="1" applyProtection="1">
      <alignment horizontal="center" vertical="top"/>
    </xf>
    <xf numFmtId="38" fontId="6" fillId="0" borderId="0" xfId="0" applyNumberFormat="1" applyFont="1" applyFill="1" applyAlignment="1" applyProtection="1">
      <alignment horizontal="left" vertical="top" wrapText="1"/>
    </xf>
    <xf numFmtId="2" fontId="6" fillId="0" borderId="0" xfId="0" applyNumberFormat="1" applyFont="1" applyFill="1" applyAlignment="1" applyProtection="1">
      <alignment horizontal="right" vertical="top" indent="1"/>
    </xf>
    <xf numFmtId="38" fontId="10" fillId="0" borderId="3" xfId="0" applyNumberFormat="1" applyFont="1" applyFill="1" applyBorder="1" applyAlignment="1" applyProtection="1">
      <alignment horizontal="center" vertical="top"/>
    </xf>
    <xf numFmtId="4" fontId="10" fillId="0" borderId="3" xfId="0" applyNumberFormat="1" applyFont="1" applyFill="1" applyBorder="1" applyAlignment="1" applyProtection="1">
      <alignment horizontal="right" vertical="top" indent="1"/>
    </xf>
    <xf numFmtId="2" fontId="10" fillId="0" borderId="3" xfId="0" applyNumberFormat="1" applyFont="1" applyFill="1" applyBorder="1" applyAlignment="1" applyProtection="1">
      <alignment horizontal="right" vertical="top" indent="1"/>
    </xf>
    <xf numFmtId="0" fontId="1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/>
    <xf numFmtId="2" fontId="10" fillId="0" borderId="5" xfId="0" applyNumberFormat="1" applyFont="1" applyFill="1" applyBorder="1" applyAlignment="1" applyProtection="1">
      <alignment horizontal="right" vertical="top" indent="1"/>
    </xf>
    <xf numFmtId="0" fontId="5" fillId="0" borderId="0" xfId="0" applyFont="1" applyAlignment="1">
      <alignment horizontal="justify"/>
    </xf>
    <xf numFmtId="0" fontId="6" fillId="0" borderId="5" xfId="0" applyNumberFormat="1" applyFont="1" applyFill="1" applyBorder="1" applyAlignment="1" applyProtection="1">
      <alignment horizontal="center" vertical="top"/>
    </xf>
    <xf numFmtId="0" fontId="10" fillId="0" borderId="11" xfId="0" applyFont="1" applyBorder="1" applyAlignment="1">
      <alignment horizontal="center" vertical="center" wrapText="1"/>
    </xf>
    <xf numFmtId="4" fontId="10" fillId="0" borderId="0" xfId="0" applyNumberFormat="1" applyFont="1" applyFill="1" applyAlignment="1" applyProtection="1">
      <alignment horizontal="right" vertical="center" indent="1"/>
    </xf>
    <xf numFmtId="4" fontId="10" fillId="0" borderId="0" xfId="0" applyNumberFormat="1" applyFont="1" applyFill="1" applyAlignment="1" applyProtection="1">
      <alignment horizontal="right" vertical="top" wrapText="1" indent="1"/>
    </xf>
    <xf numFmtId="4" fontId="17" fillId="0" borderId="0" xfId="0" applyNumberFormat="1" applyFont="1" applyFill="1" applyAlignment="1" applyProtection="1">
      <alignment horizontal="right" vertical="top" wrapText="1" indent="1"/>
    </xf>
    <xf numFmtId="4" fontId="6" fillId="0" borderId="0" xfId="0" applyNumberFormat="1" applyFont="1" applyAlignment="1">
      <alignment horizontal="right" vertical="top" wrapText="1" indent="1"/>
    </xf>
    <xf numFmtId="4" fontId="6" fillId="0" borderId="0" xfId="0" applyNumberFormat="1" applyFont="1" applyFill="1" applyAlignment="1" applyProtection="1">
      <alignment horizontal="right" vertical="center" indent="1"/>
    </xf>
    <xf numFmtId="4" fontId="10" fillId="0" borderId="0" xfId="0" applyNumberFormat="1" applyFont="1" applyAlignment="1">
      <alignment horizontal="right" vertical="top" indent="1"/>
    </xf>
    <xf numFmtId="4" fontId="10" fillId="0" borderId="0" xfId="0" applyNumberFormat="1" applyFont="1" applyAlignment="1">
      <alignment horizontal="right" vertical="top" wrapText="1" indent="1"/>
    </xf>
    <xf numFmtId="4" fontId="10" fillId="0" borderId="0" xfId="0" applyNumberFormat="1" applyFont="1" applyFill="1" applyBorder="1" applyAlignment="1" applyProtection="1">
      <alignment horizontal="right" vertical="center" indent="1"/>
    </xf>
    <xf numFmtId="4" fontId="17" fillId="0" borderId="0" xfId="0" applyNumberFormat="1" applyFont="1" applyFill="1" applyBorder="1" applyAlignment="1" applyProtection="1">
      <alignment horizontal="right" vertical="top" wrapText="1" indent="1"/>
    </xf>
    <xf numFmtId="4" fontId="6" fillId="0" borderId="0" xfId="0" applyNumberFormat="1" applyFont="1" applyFill="1" applyBorder="1" applyAlignment="1" applyProtection="1">
      <alignment horizontal="right" vertical="top" indent="1"/>
    </xf>
    <xf numFmtId="4" fontId="6" fillId="0" borderId="0" xfId="0" applyNumberFormat="1" applyFont="1" applyFill="1" applyBorder="1" applyAlignment="1" applyProtection="1">
      <alignment horizontal="right" vertical="center" indent="1"/>
    </xf>
    <xf numFmtId="4" fontId="6" fillId="0" borderId="0" xfId="0" applyNumberFormat="1" applyFont="1" applyBorder="1" applyAlignment="1">
      <alignment horizontal="right" vertical="top" indent="1"/>
    </xf>
    <xf numFmtId="4" fontId="6" fillId="0" borderId="3" xfId="0" applyNumberFormat="1" applyFont="1" applyBorder="1" applyAlignment="1">
      <alignment horizontal="right" vertical="top" indent="1"/>
    </xf>
    <xf numFmtId="4" fontId="6" fillId="0" borderId="3" xfId="0" applyNumberFormat="1" applyFont="1" applyFill="1" applyBorder="1" applyAlignment="1" applyProtection="1">
      <alignment horizontal="right" vertical="center" indent="1"/>
    </xf>
    <xf numFmtId="4" fontId="10" fillId="0" borderId="0" xfId="0" applyNumberFormat="1" applyFont="1" applyFill="1" applyAlignment="1" applyProtection="1">
      <alignment horizontal="right" vertical="top" wrapText="1"/>
    </xf>
    <xf numFmtId="4" fontId="17" fillId="0" borderId="0" xfId="0" applyNumberFormat="1" applyFont="1" applyFill="1" applyAlignment="1" applyProtection="1">
      <alignment horizontal="right" vertical="top" indent="1"/>
    </xf>
    <xf numFmtId="0" fontId="5" fillId="0" borderId="0" xfId="0" applyFont="1" applyFill="1"/>
    <xf numFmtId="2" fontId="6" fillId="0" borderId="3" xfId="0" applyNumberFormat="1" applyFont="1" applyBorder="1" applyAlignment="1">
      <alignment horizontal="right" vertical="top" wrapText="1" indent="1"/>
    </xf>
    <xf numFmtId="164" fontId="10" fillId="0" borderId="5" xfId="0" applyNumberFormat="1" applyFont="1" applyFill="1" applyBorder="1" applyAlignment="1" applyProtection="1">
      <alignment horizontal="right" indent="1"/>
    </xf>
    <xf numFmtId="0" fontId="12" fillId="0" borderId="0" xfId="0" applyFont="1" applyAlignment="1">
      <alignment horizontal="right" indent="1"/>
    </xf>
    <xf numFmtId="0" fontId="12" fillId="0" borderId="0" xfId="0" applyFont="1" applyAlignment="1">
      <alignment horizontal="right" vertical="top" indent="1"/>
    </xf>
    <xf numFmtId="4" fontId="10" fillId="0" borderId="0" xfId="0" applyNumberFormat="1" applyFont="1" applyFill="1" applyAlignment="1" applyProtection="1">
      <alignment horizontal="right" indent="1"/>
    </xf>
    <xf numFmtId="164" fontId="10" fillId="0" borderId="0" xfId="0" applyNumberFormat="1" applyFont="1" applyFill="1" applyAlignment="1" applyProtection="1">
      <alignment horizontal="right" indent="1"/>
    </xf>
    <xf numFmtId="4" fontId="6" fillId="0" borderId="0" xfId="0" applyNumberFormat="1" applyFont="1" applyFill="1" applyAlignment="1" applyProtection="1">
      <alignment horizontal="right" indent="1"/>
    </xf>
    <xf numFmtId="164" fontId="6" fillId="0" borderId="0" xfId="0" applyNumberFormat="1" applyFont="1" applyFill="1" applyAlignment="1" applyProtection="1">
      <alignment horizontal="right" indent="1"/>
    </xf>
    <xf numFmtId="0" fontId="5" fillId="0" borderId="0" xfId="0" applyFont="1" applyAlignment="1">
      <alignment horizontal="right" indent="1"/>
    </xf>
    <xf numFmtId="164" fontId="10" fillId="0" borderId="0" xfId="0" applyNumberFormat="1" applyFont="1" applyFill="1" applyAlignment="1" applyProtection="1">
      <alignment horizontal="right" vertical="top" indent="1"/>
    </xf>
    <xf numFmtId="164" fontId="6" fillId="0" borderId="0" xfId="0" applyNumberFormat="1" applyFont="1" applyFill="1" applyAlignment="1" applyProtection="1">
      <alignment horizontal="right" vertical="top" indent="1"/>
    </xf>
    <xf numFmtId="164" fontId="6" fillId="0" borderId="0" xfId="0" applyNumberFormat="1" applyFont="1" applyFill="1" applyBorder="1" applyAlignment="1" applyProtection="1">
      <alignment horizontal="right" vertical="top" indent="1"/>
    </xf>
    <xf numFmtId="164" fontId="6" fillId="0" borderId="3" xfId="0" applyNumberFormat="1" applyFont="1" applyFill="1" applyBorder="1" applyAlignment="1" applyProtection="1">
      <alignment horizontal="right" vertical="top" indent="1"/>
    </xf>
    <xf numFmtId="38" fontId="12" fillId="0" borderId="0" xfId="0" applyNumberFormat="1" applyFont="1" applyFill="1" applyBorder="1" applyAlignment="1" applyProtection="1">
      <alignment horizontal="left" vertical="top" wrapText="1" indent="1"/>
    </xf>
    <xf numFmtId="4" fontId="12" fillId="0" borderId="0" xfId="0" applyNumberFormat="1" applyFont="1" applyFill="1" applyBorder="1" applyAlignment="1" applyProtection="1">
      <alignment horizontal="right" vertical="top" indent="1"/>
    </xf>
    <xf numFmtId="0" fontId="5" fillId="0" borderId="0" xfId="0" applyFont="1" applyAlignment="1">
      <alignment horizontal="center"/>
    </xf>
    <xf numFmtId="4" fontId="10" fillId="0" borderId="5" xfId="0" applyNumberFormat="1" applyFont="1" applyFill="1" applyBorder="1" applyAlignment="1" applyProtection="1">
      <alignment horizontal="right"/>
    </xf>
    <xf numFmtId="4" fontId="17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 applyBorder="1" applyAlignment="1" applyProtection="1">
      <alignment horizontal="right" vertical="top"/>
    </xf>
    <xf numFmtId="4" fontId="10" fillId="0" borderId="0" xfId="0" applyNumberFormat="1" applyFont="1" applyFill="1" applyAlignment="1" applyProtection="1">
      <alignment horizontal="right"/>
    </xf>
    <xf numFmtId="4" fontId="6" fillId="0" borderId="0" xfId="0" applyNumberFormat="1" applyFont="1" applyFill="1" applyAlignment="1" applyProtection="1">
      <alignment horizontal="right"/>
    </xf>
    <xf numFmtId="4" fontId="12" fillId="0" borderId="0" xfId="0" applyNumberFormat="1" applyFont="1" applyFill="1" applyBorder="1" applyAlignment="1" applyProtection="1">
      <alignment horizontal="right" vertical="top"/>
    </xf>
    <xf numFmtId="0" fontId="10" fillId="0" borderId="6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 wrapText="1"/>
    </xf>
    <xf numFmtId="0" fontId="10" fillId="0" borderId="9" xfId="0" applyNumberFormat="1" applyFont="1" applyFill="1" applyBorder="1" applyAlignment="1" applyProtection="1">
      <alignment horizontal="left" vertical="top" wrapText="1" indent="1"/>
    </xf>
    <xf numFmtId="38" fontId="6" fillId="0" borderId="9" xfId="0" applyNumberFormat="1" applyFont="1" applyFill="1" applyBorder="1" applyAlignment="1" applyProtection="1">
      <alignment horizontal="left" wrapText="1" indent="1"/>
    </xf>
    <xf numFmtId="38" fontId="6" fillId="0" borderId="7" xfId="0" applyNumberFormat="1" applyFont="1" applyFill="1" applyBorder="1" applyAlignment="1" applyProtection="1">
      <alignment horizontal="left" wrapText="1" indent="1"/>
    </xf>
    <xf numFmtId="0" fontId="10" fillId="0" borderId="6" xfId="0" applyNumberFormat="1" applyFont="1" applyFill="1" applyBorder="1" applyAlignment="1" applyProtection="1">
      <alignment horizontal="left" vertical="top" wrapText="1" indent="1"/>
    </xf>
    <xf numFmtId="0" fontId="6" fillId="0" borderId="9" xfId="0" applyNumberFormat="1" applyFont="1" applyFill="1" applyBorder="1" applyAlignment="1" applyProtection="1">
      <alignment horizontal="left" vertical="top" wrapText="1" indent="1"/>
    </xf>
    <xf numFmtId="38" fontId="6" fillId="0" borderId="9" xfId="0" applyNumberFormat="1" applyFont="1" applyFill="1" applyBorder="1" applyAlignment="1" applyProtection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10" fillId="0" borderId="9" xfId="0" applyNumberFormat="1" applyFont="1" applyFill="1" applyBorder="1" applyAlignment="1" applyProtection="1">
      <alignment horizontal="left" wrapText="1" indent="1"/>
    </xf>
    <xf numFmtId="0" fontId="10" fillId="0" borderId="6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9" xfId="0" applyNumberFormat="1" applyFont="1" applyFill="1" applyBorder="1" applyAlignment="1" applyProtection="1">
      <alignment horizontal="left" vertical="top" wrapText="1"/>
    </xf>
    <xf numFmtId="0" fontId="10" fillId="0" borderId="9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38" fontId="10" fillId="0" borderId="0" xfId="0" applyNumberFormat="1" applyFont="1" applyFill="1" applyBorder="1" applyAlignment="1" applyProtection="1">
      <alignment horizontal="center" vertical="top"/>
    </xf>
    <xf numFmtId="38" fontId="6" fillId="0" borderId="0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left" vertical="top" wrapText="1"/>
    </xf>
    <xf numFmtId="38" fontId="10" fillId="0" borderId="14" xfId="0" applyNumberFormat="1" applyFont="1" applyFill="1" applyBorder="1" applyAlignment="1" applyProtection="1">
      <alignment horizontal="left" vertical="top" wrapText="1"/>
    </xf>
    <xf numFmtId="38" fontId="6" fillId="0" borderId="14" xfId="0" applyNumberFormat="1" applyFont="1" applyFill="1" applyBorder="1" applyAlignment="1" applyProtection="1">
      <alignment horizontal="left" vertical="top" wrapText="1"/>
    </xf>
    <xf numFmtId="38" fontId="10" fillId="0" borderId="8" xfId="0" applyNumberFormat="1" applyFont="1" applyFill="1" applyBorder="1" applyAlignment="1" applyProtection="1">
      <alignment horizontal="left" vertical="top" wrapText="1"/>
    </xf>
    <xf numFmtId="0" fontId="14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left" vertical="top" wrapText="1"/>
    </xf>
  </cellXfs>
  <cellStyles count="6">
    <cellStyle name="Normal" xfId="0" builtinId="0"/>
    <cellStyle name="Normal 2" xfId="4" xr:uid="{00000000-0005-0000-0000-000001000000}"/>
    <cellStyle name="Normal 3" xfId="3" xr:uid="{00000000-0005-0000-0000-000002000000}"/>
    <cellStyle name="Обычный 2" xfId="1" xr:uid="{00000000-0005-0000-0000-000003000000}"/>
    <cellStyle name="Обычный 3" xfId="2" xr:uid="{00000000-0005-0000-0000-000004000000}"/>
    <cellStyle name="Обычный 3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H109"/>
  <sheetViews>
    <sheetView tabSelected="1" zoomScale="99" zoomScaleNormal="99" workbookViewId="0">
      <selection activeCell="A4" sqref="A4:A6"/>
    </sheetView>
  </sheetViews>
  <sheetFormatPr defaultRowHeight="12" x14ac:dyDescent="0.2"/>
  <cols>
    <col min="1" max="1" width="30.5" style="33" customWidth="1"/>
    <col min="2" max="2" width="11.75" style="33" customWidth="1"/>
    <col min="3" max="3" width="10.5" style="33" customWidth="1"/>
    <col min="4" max="4" width="8.5" style="33" customWidth="1"/>
    <col min="5" max="5" width="8.25" style="33" customWidth="1"/>
    <col min="6" max="7" width="9.875" style="33" customWidth="1"/>
    <col min="8" max="16384" width="9" style="7"/>
  </cols>
  <sheetData>
    <row r="2" spans="1:7" x14ac:dyDescent="0.2">
      <c r="A2" s="6" t="s">
        <v>387</v>
      </c>
      <c r="B2" s="6"/>
      <c r="C2" s="6"/>
      <c r="D2" s="6"/>
      <c r="E2" s="6"/>
      <c r="F2" s="6"/>
      <c r="G2" s="6"/>
    </row>
    <row r="4" spans="1:7" ht="54" customHeight="1" x14ac:dyDescent="0.2">
      <c r="A4" s="8"/>
      <c r="B4" s="9" t="s">
        <v>317</v>
      </c>
      <c r="C4" s="10"/>
      <c r="D4" s="9" t="s">
        <v>105</v>
      </c>
      <c r="E4" s="10"/>
      <c r="F4" s="11" t="s">
        <v>1</v>
      </c>
      <c r="G4" s="12"/>
    </row>
    <row r="5" spans="1:7" ht="22.5" customHeight="1" x14ac:dyDescent="0.2">
      <c r="A5" s="13"/>
      <c r="B5" s="14" t="s">
        <v>98</v>
      </c>
      <c r="C5" s="15" t="s">
        <v>318</v>
      </c>
      <c r="D5" s="16" t="s">
        <v>319</v>
      </c>
      <c r="E5" s="16"/>
      <c r="F5" s="16" t="s">
        <v>388</v>
      </c>
      <c r="G5" s="9"/>
    </row>
    <row r="6" spans="1:7" ht="38.25" customHeight="1" x14ac:dyDescent="0.2">
      <c r="A6" s="17"/>
      <c r="B6" s="18"/>
      <c r="C6" s="19"/>
      <c r="D6" s="20">
        <v>2020</v>
      </c>
      <c r="E6" s="20">
        <v>2021</v>
      </c>
      <c r="F6" s="20">
        <v>2020</v>
      </c>
      <c r="G6" s="21">
        <v>2021</v>
      </c>
    </row>
    <row r="7" spans="1:7" ht="15.75" customHeight="1" x14ac:dyDescent="0.2">
      <c r="A7" s="123" t="s">
        <v>99</v>
      </c>
      <c r="B7" s="22">
        <v>1331532.3319699999</v>
      </c>
      <c r="C7" s="23">
        <f>IF(1170176.53664="","-",1331532.33197/1170176.53664*100)</f>
        <v>113.78901304869014</v>
      </c>
      <c r="D7" s="23">
        <v>100</v>
      </c>
      <c r="E7" s="23">
        <v>100</v>
      </c>
      <c r="F7" s="23">
        <f>IF(1361213.47779="","-",(1170176.53664-1361213.47779)/1361213.47779*100)</f>
        <v>-14.034311609973049</v>
      </c>
      <c r="G7" s="23">
        <f>IF(1170176.53664="","-",(1331532.33197-1170176.53664)/1170176.53664*100)</f>
        <v>13.789013048690132</v>
      </c>
    </row>
    <row r="8" spans="1:7" x14ac:dyDescent="0.2">
      <c r="A8" s="124" t="s">
        <v>124</v>
      </c>
      <c r="B8" s="24"/>
      <c r="C8" s="25"/>
      <c r="D8" s="25"/>
      <c r="E8" s="25"/>
      <c r="F8" s="25"/>
      <c r="G8" s="25"/>
    </row>
    <row r="9" spans="1:7" ht="14.25" customHeight="1" x14ac:dyDescent="0.2">
      <c r="A9" s="125" t="s">
        <v>136</v>
      </c>
      <c r="B9" s="26">
        <v>858848.81762999995</v>
      </c>
      <c r="C9" s="27">
        <f>IF(742578.27617="","-",858848.81763/742578.27617*100)</f>
        <v>115.65768151200022</v>
      </c>
      <c r="D9" s="27">
        <f>IF(742578.27617="","-",742578.27617/1170176.53664*100)</f>
        <v>63.458653708970338</v>
      </c>
      <c r="E9" s="27">
        <f>IF(858848.81763="","-",858848.81763/1331532.33197*100)</f>
        <v>64.500785824654699</v>
      </c>
      <c r="F9" s="27">
        <f>IF(1361213.47779="","-",(742578.27617-853964.52537)/1361213.47779*100)</f>
        <v>-8.1828641148074279</v>
      </c>
      <c r="G9" s="27">
        <f>IF(1170176.53664="","-",(858848.81763-742578.27617)/1170176.53664*100)</f>
        <v>9.9361538895536849</v>
      </c>
    </row>
    <row r="10" spans="1:7" ht="15.75" customHeight="1" x14ac:dyDescent="0.2">
      <c r="A10" s="126" t="s">
        <v>2</v>
      </c>
      <c r="B10" s="29">
        <v>372812.50978000002</v>
      </c>
      <c r="C10" s="30">
        <f>IF(OR(294103.432="",372812.50978=""),"-",372812.50978/294103.432*100)</f>
        <v>126.7623799031356</v>
      </c>
      <c r="D10" s="30">
        <f>IF(294103.432="","-",294103.432/1170176.53664*100)</f>
        <v>25.13325321361145</v>
      </c>
      <c r="E10" s="30">
        <f>IF(372812.50978="","-",372812.50978/1331532.33197*100)</f>
        <v>27.998757583935234</v>
      </c>
      <c r="F10" s="30">
        <f>IF(OR(1361213.47779="",380464.81782="",294103.432=""),"-",(294103.432-380464.81782)/1361213.47779*100)</f>
        <v>-6.3444409880669257</v>
      </c>
      <c r="G10" s="30">
        <f>IF(OR(1170176.53664="",372812.50978="",294103.432=""),"-",(372812.50978-294103.432)/1170176.53664*100)</f>
        <v>6.7262567070437314</v>
      </c>
    </row>
    <row r="11" spans="1:7" ht="15.75" customHeight="1" x14ac:dyDescent="0.2">
      <c r="A11" s="126" t="s">
        <v>4</v>
      </c>
      <c r="B11" s="29">
        <v>134639.37703999999</v>
      </c>
      <c r="C11" s="30">
        <f>IF(OR(103565.77618="",134639.37704=""),"-",134639.37704/103565.77618*100)</f>
        <v>130.00373483031044</v>
      </c>
      <c r="D11" s="30">
        <f>IF(103565.77618="","-",103565.77618/1170176.53664*100)</f>
        <v>8.8504403341887876</v>
      </c>
      <c r="E11" s="30">
        <f>IF(134639.37704="","-",134639.37704/1331532.33197*100)</f>
        <v>10.111611547637093</v>
      </c>
      <c r="F11" s="30">
        <f>IF(OR(1361213.47779="",124696.9991="",103565.77618=""),"-",(103565.77618-124696.9991)/1361213.47779*100)</f>
        <v>-1.5523812586918861</v>
      </c>
      <c r="G11" s="30">
        <f>IF(OR(1170176.53664="",134639.37704="",103565.77618=""),"-",(134639.37704-103565.77618)/1170176.53664*100)</f>
        <v>2.6554626491848432</v>
      </c>
    </row>
    <row r="12" spans="1:7" ht="13.5" customHeight="1" x14ac:dyDescent="0.2">
      <c r="A12" s="126" t="s">
        <v>3</v>
      </c>
      <c r="B12" s="29">
        <v>94239.356849999996</v>
      </c>
      <c r="C12" s="30">
        <f>IF(OR(106152.85536="",94239.35685=""),"-",94239.35685/106152.85536*100)</f>
        <v>88.777034334500641</v>
      </c>
      <c r="D12" s="30">
        <f>IF(106152.85536="","-",106152.85536/1170176.53664*100)</f>
        <v>9.0715248542585911</v>
      </c>
      <c r="E12" s="30">
        <f>IF(94239.35685="","-",94239.35685/1331532.33197*100)</f>
        <v>7.0775117199424686</v>
      </c>
      <c r="F12" s="30">
        <f>IF(OR(1361213.47779="",135801.93342="",106152.85536=""),"-",(106152.85536-135801.93342)/1361213.47779*100)</f>
        <v>-2.178135798959087</v>
      </c>
      <c r="G12" s="30">
        <f>IF(OR(1170176.53664="",94239.35685="",106152.85536=""),"-",(94239.35685-106152.85536)/1170176.53664*100)</f>
        <v>-1.0180941197306832</v>
      </c>
    </row>
    <row r="13" spans="1:7" ht="15.75" customHeight="1" x14ac:dyDescent="0.2">
      <c r="A13" s="126" t="s">
        <v>5</v>
      </c>
      <c r="B13" s="29">
        <v>51780.843979999998</v>
      </c>
      <c r="C13" s="30">
        <f>IF(OR(46796.79321="",51780.84398=""),"-",51780.84398/46796.79321*100)</f>
        <v>110.65041091092318</v>
      </c>
      <c r="D13" s="30">
        <f>IF(46796.79321="","-",46796.79321/1170176.53664*100)</f>
        <v>3.9991225037181581</v>
      </c>
      <c r="E13" s="30">
        <f>IF(51780.84398="","-",51780.84398/1331532.33197*100)</f>
        <v>3.8888161208515548</v>
      </c>
      <c r="F13" s="30">
        <f>IF(OR(1361213.47779="",52151.67968="",46796.79321=""),"-",(46796.79321-52151.67968)/1361213.47779*100)</f>
        <v>-0.39339064425764658</v>
      </c>
      <c r="G13" s="30">
        <f>IF(OR(1170176.53664="",51780.84398="",46796.79321=""),"-",(51780.84398-46796.79321)/1170176.53664*100)</f>
        <v>0.42592297947718261</v>
      </c>
    </row>
    <row r="14" spans="1:7" s="31" customFormat="1" x14ac:dyDescent="0.2">
      <c r="A14" s="126" t="s">
        <v>7</v>
      </c>
      <c r="B14" s="29">
        <v>42546.955929999996</v>
      </c>
      <c r="C14" s="30">
        <f>IF(OR(39229.52009="",42546.95593=""),"-",42546.95593/39229.52009*100)</f>
        <v>108.4564782653195</v>
      </c>
      <c r="D14" s="30">
        <f>IF(39229.52009="","-",39229.52009/1170176.53664*100)</f>
        <v>3.3524445980298099</v>
      </c>
      <c r="E14" s="30">
        <f>IF(42546.95593="","-",42546.95593/1331532.33197*100)</f>
        <v>3.1953378005513273</v>
      </c>
      <c r="F14" s="30">
        <f>IF(OR(1361213.47779="",24633.96387="",39229.52009=""),"-",(39229.52009-24633.96387)/1361213.47779*100)</f>
        <v>1.0722459377713944</v>
      </c>
      <c r="G14" s="30">
        <f>IF(OR(1170176.53664="",42546.95593="",39229.52009=""),"-",(42546.95593-39229.52009)/1170176.53664*100)</f>
        <v>0.28349874878926867</v>
      </c>
    </row>
    <row r="15" spans="1:7" s="31" customFormat="1" x14ac:dyDescent="0.2">
      <c r="A15" s="126" t="s">
        <v>42</v>
      </c>
      <c r="B15" s="29">
        <v>19218.27851</v>
      </c>
      <c r="C15" s="30" t="s">
        <v>340</v>
      </c>
      <c r="D15" s="30">
        <f>IF(8639.94947="","-",8639.94947/1170176.53664*100)</f>
        <v>0.73834581359906759</v>
      </c>
      <c r="E15" s="30">
        <f>IF(19218.27851="","-",19218.27851/1331532.33197*100)</f>
        <v>1.443320454830157</v>
      </c>
      <c r="F15" s="30">
        <f>IF(OR(1361213.47779="",4194.6282="",8639.94947=""),"-",(8639.94947-4194.6282)/1361213.47779*100)</f>
        <v>0.32657047131337597</v>
      </c>
      <c r="G15" s="30">
        <f>IF(OR(1170176.53664="",19218.27851="",8639.94947=""),"-",(19218.27851-8639.94947)/1170176.53664*100)</f>
        <v>0.90399428708203367</v>
      </c>
    </row>
    <row r="16" spans="1:7" s="31" customFormat="1" x14ac:dyDescent="0.2">
      <c r="A16" s="126" t="s">
        <v>10</v>
      </c>
      <c r="B16" s="29">
        <v>18755.544140000002</v>
      </c>
      <c r="C16" s="30">
        <f>IF(OR(17246.15189="",18755.54414=""),"-",18755.54414/17246.15189*100)</f>
        <v>108.75205239770158</v>
      </c>
      <c r="D16" s="30">
        <f>IF(17246.15189="","-",17246.15189/1170176.53664*100)</f>
        <v>1.4738076990946971</v>
      </c>
      <c r="E16" s="30">
        <f>IF(18755.54414="","-",18755.54414/1331532.33197*100)</f>
        <v>1.4085684357548574</v>
      </c>
      <c r="F16" s="30">
        <f>IF(OR(1361213.47779="",18630.32793="",17246.15189=""),"-",(17246.15189-18630.32793)/1361213.47779*100)</f>
        <v>-0.10168691851679865</v>
      </c>
      <c r="G16" s="30">
        <f>IF(OR(1170176.53664="",18755.54414="",17246.15189=""),"-",(18755.54414-17246.15189)/1170176.53664*100)</f>
        <v>0.12898842206612787</v>
      </c>
    </row>
    <row r="17" spans="1:7" s="31" customFormat="1" x14ac:dyDescent="0.2">
      <c r="A17" s="126" t="s">
        <v>40</v>
      </c>
      <c r="B17" s="29">
        <v>18605.904269999999</v>
      </c>
      <c r="C17" s="30">
        <f>IF(OR(21744.1889="",18605.90427=""),"-",18605.90427/21744.1889*100)</f>
        <v>85.56724905015885</v>
      </c>
      <c r="D17" s="30">
        <f>IF(21744.1889="","-",21744.1889/1170176.53664*100)</f>
        <v>1.8581973077699394</v>
      </c>
      <c r="E17" s="30">
        <f>IF(18605.90427="","-",18605.90427/1331532.33197*100)</f>
        <v>1.3973302655349416</v>
      </c>
      <c r="F17" s="30">
        <f>IF(OR(1361213.47779="",19934.79232="",21744.1889=""),"-",(21744.1889-19934.79232)/1361213.47779*100)</f>
        <v>0.13292526187278492</v>
      </c>
      <c r="G17" s="30">
        <f>IF(OR(1170176.53664="",18605.90427="",21744.1889=""),"-",(18605.90427-21744.1889)/1170176.53664*100)</f>
        <v>-0.26818898958708842</v>
      </c>
    </row>
    <row r="18" spans="1:7" s="31" customFormat="1" x14ac:dyDescent="0.2">
      <c r="A18" s="126" t="s">
        <v>307</v>
      </c>
      <c r="B18" s="29">
        <v>17840.99208</v>
      </c>
      <c r="C18" s="30">
        <f>IF(OR(18384.844="",17840.99208=""),"-",17840.99208/18384.844*100)</f>
        <v>97.041846425240266</v>
      </c>
      <c r="D18" s="30">
        <f>IF(18384.844="","-",18384.844/1170176.53664*100)</f>
        <v>1.5711171284282912</v>
      </c>
      <c r="E18" s="30">
        <f>IF(17840.99208="","-",17840.99208/1331532.33197*100)</f>
        <v>1.3398842560288626</v>
      </c>
      <c r="F18" s="30">
        <f>IF(OR(1361213.47779="",17926.68986="",18384.844=""),"-",(18384.844-17926.68986)/1361213.47779*100)</f>
        <v>3.3657772823689577E-2</v>
      </c>
      <c r="G18" s="30">
        <f>IF(OR(1170176.53664="",17840.99208="",18384.844=""),"-",(17840.99208-18384.844)/1170176.53664*100)</f>
        <v>-4.6476057498264021E-2</v>
      </c>
    </row>
    <row r="19" spans="1:7" s="31" customFormat="1" x14ac:dyDescent="0.2">
      <c r="A19" s="126" t="s">
        <v>6</v>
      </c>
      <c r="B19" s="29">
        <v>16463.556489999999</v>
      </c>
      <c r="C19" s="30">
        <f>IF(OR(18676.9623="",16463.55649=""),"-",16463.55649/18676.9623*100)</f>
        <v>88.149005312282497</v>
      </c>
      <c r="D19" s="30">
        <f>IF(18676.9623="","-",18676.9623/1170176.53664*100)</f>
        <v>1.5960807378370714</v>
      </c>
      <c r="E19" s="30">
        <f>IF(16463.55649="","-",16463.55649/1331532.33197*100)</f>
        <v>1.2364368550962779</v>
      </c>
      <c r="F19" s="30">
        <f>IF(OR(1361213.47779="",20120.47027="",18676.9623=""),"-",(18676.9623-20120.47027)/1361213.47779*100)</f>
        <v>-0.10604567127439936</v>
      </c>
      <c r="G19" s="30">
        <f>IF(OR(1170176.53664="",16463.55649="",18676.9623=""),"-",(16463.55649-18676.9623)/1170176.53664*100)</f>
        <v>-0.18915144345275359</v>
      </c>
    </row>
    <row r="20" spans="1:7" s="32" customFormat="1" x14ac:dyDescent="0.2">
      <c r="A20" s="126" t="s">
        <v>51</v>
      </c>
      <c r="B20" s="29">
        <v>16117.971219999999</v>
      </c>
      <c r="C20" s="30" t="s">
        <v>202</v>
      </c>
      <c r="D20" s="30">
        <f>IF(8961.73015="","-",8961.73015/1170176.53664*100)</f>
        <v>0.76584428668620952</v>
      </c>
      <c r="E20" s="30">
        <f>IF(16117.97122="","-",16117.97122/1331532.33197*100)</f>
        <v>1.2104829025182955</v>
      </c>
      <c r="F20" s="30">
        <f>IF(OR(1361213.47779="",78.03909="",8961.73015=""),"-",(8961.73015-78.03909)/1361213.47779*100)</f>
        <v>0.65263026005466296</v>
      </c>
      <c r="G20" s="30">
        <f>IF(OR(1170176.53664="",16117.97122="",8961.73015=""),"-",(16117.97122-8961.73015)/1170176.53664*100)</f>
        <v>0.61155226121249673</v>
      </c>
    </row>
    <row r="21" spans="1:7" s="31" customFormat="1" x14ac:dyDescent="0.2">
      <c r="A21" s="126" t="s">
        <v>9</v>
      </c>
      <c r="B21" s="29">
        <v>13182.48345</v>
      </c>
      <c r="C21" s="30">
        <f>IF(OR(20594.02363="",13182.48345=""),"-",13182.48345/20594.02363*100)</f>
        <v>64.011208721721758</v>
      </c>
      <c r="D21" s="30">
        <f>IF(20594.02363="","-",20594.02363/1170176.53664*100)</f>
        <v>1.7599074144088451</v>
      </c>
      <c r="E21" s="30">
        <f>IF(13182.48345="","-",13182.48345/1331532.33197*100)</f>
        <v>0.99002353405091836</v>
      </c>
      <c r="F21" s="30">
        <f>IF(OR(1361213.47779="",10646.02983="",20594.02363=""),"-",(20594.02363-10646.02983)/1361213.47779*100)</f>
        <v>0.73081805038773784</v>
      </c>
      <c r="G21" s="30">
        <f>IF(OR(1170176.53664="",13182.48345="",20594.02363=""),"-",(13182.48345-20594.02363)/1170176.53664*100)</f>
        <v>-0.63336940606254266</v>
      </c>
    </row>
    <row r="22" spans="1:7" s="31" customFormat="1" x14ac:dyDescent="0.2">
      <c r="A22" s="126" t="s">
        <v>41</v>
      </c>
      <c r="B22" s="29">
        <v>11502.236360000001</v>
      </c>
      <c r="C22" s="30" t="s">
        <v>340</v>
      </c>
      <c r="D22" s="30">
        <f>IF(5209.86811="","-",5209.86811/1170176.53664*100)</f>
        <v>0.44522069507216533</v>
      </c>
      <c r="E22" s="30">
        <f>IF(11502.23636="","-",11502.23636/1331532.33197*100)</f>
        <v>0.86383455240493179</v>
      </c>
      <c r="F22" s="30">
        <f>IF(OR(1361213.47779="",7707.5054="",5209.86811=""),"-",(5209.86811-7707.5054)/1361213.47779*100)</f>
        <v>-0.18348608287768661</v>
      </c>
      <c r="G22" s="30">
        <f>IF(OR(1170176.53664="",11502.23636="",5209.86811=""),"-",(11502.23636-5209.86811)/1170176.53664*100)</f>
        <v>0.53772811648297658</v>
      </c>
    </row>
    <row r="23" spans="1:7" s="31" customFormat="1" x14ac:dyDescent="0.2">
      <c r="A23" s="126" t="s">
        <v>8</v>
      </c>
      <c r="B23" s="29">
        <v>10033.037679999999</v>
      </c>
      <c r="C23" s="30">
        <f>IF(OR(9351.59214="",10033.03768=""),"-",10033.03768/9351.59214*100)</f>
        <v>107.28694675514365</v>
      </c>
      <c r="D23" s="30">
        <f>IF(9351.59214="","-",9351.59214/1170176.53664*100)</f>
        <v>0.79916079729745759</v>
      </c>
      <c r="E23" s="30">
        <f>IF(10033.03768="","-",10033.03768/1331532.33197*100)</f>
        <v>0.75349561096696294</v>
      </c>
      <c r="F23" s="30">
        <f>IF(OR(1361213.47779="",14498.46715="",9351.59214=""),"-",(9351.59214-14498.46715)/1361213.47779*100)</f>
        <v>-0.37810931892594951</v>
      </c>
      <c r="G23" s="30">
        <f>IF(OR(1170176.53664="",10033.03768="",9351.59214=""),"-",(10033.03768-9351.59214)/1170176.53664*100)</f>
        <v>5.8234421787047227E-2</v>
      </c>
    </row>
    <row r="24" spans="1:7" s="31" customFormat="1" x14ac:dyDescent="0.2">
      <c r="A24" s="126" t="s">
        <v>44</v>
      </c>
      <c r="B24" s="29">
        <v>6481.40931</v>
      </c>
      <c r="C24" s="30">
        <f>IF(OR(4839.32891999999="",6481.40931=""),"-",6481.40931/4839.32891999999*100)</f>
        <v>133.93198555307154</v>
      </c>
      <c r="D24" s="30">
        <f>IF(4839.32891999999="","-",4839.32891999999/1170176.53664*100)</f>
        <v>0.4135554566745504</v>
      </c>
      <c r="E24" s="30">
        <f>IF(6481.40931="","-",6481.40931/1331532.33197*100)</f>
        <v>0.48676319413218944</v>
      </c>
      <c r="F24" s="30">
        <f>IF(OR(1361213.47779="",5534.93532="",4839.32891999999=""),"-",(4839.32891999999-5534.93532)/1361213.47779*100)</f>
        <v>-5.1101933043548944E-2</v>
      </c>
      <c r="G24" s="30">
        <f>IF(OR(1170176.53664="",6481.40931="",4839.32891999999=""),"-",(6481.40931-4839.32891999999)/1170176.53664*100)</f>
        <v>0.14032757781274752</v>
      </c>
    </row>
    <row r="25" spans="1:7" s="31" customFormat="1" x14ac:dyDescent="0.2">
      <c r="A25" s="126" t="s">
        <v>47</v>
      </c>
      <c r="B25" s="29">
        <v>4228.1900800000003</v>
      </c>
      <c r="C25" s="30">
        <f>IF(OR(7969.26089="",4228.19008=""),"-",4228.19008/7969.26089*100)</f>
        <v>53.056238694677745</v>
      </c>
      <c r="D25" s="30">
        <f>IF(7969.26089="","-",7969.26089/1170176.53664*100)</f>
        <v>0.68103065139920071</v>
      </c>
      <c r="E25" s="30">
        <f>IF(4228.19008="","-",4228.19008/1331532.33197*100)</f>
        <v>0.31754317777206353</v>
      </c>
      <c r="F25" s="30">
        <f>IF(OR(1361213.47779="",4795.85849="",7969.26089=""),"-",(7969.26089-4795.85849)/1361213.47779*100)</f>
        <v>0.2331303981174343</v>
      </c>
      <c r="G25" s="30">
        <f>IF(OR(1170176.53664="",4228.19008="",7969.26089=""),"-",(4228.19008-7969.26089)/1170176.53664*100)</f>
        <v>-0.31970140340892206</v>
      </c>
    </row>
    <row r="26" spans="1:7" s="31" customFormat="1" x14ac:dyDescent="0.2">
      <c r="A26" s="126" t="s">
        <v>43</v>
      </c>
      <c r="B26" s="29">
        <v>3516.9431199999999</v>
      </c>
      <c r="C26" s="30">
        <f>IF(OR(3376.85084="",3516.94312=""),"-",3516.94312/3376.85084*100)</f>
        <v>104.14860728642665</v>
      </c>
      <c r="D26" s="30">
        <f>IF(3376.85084="","-",3376.85084/1170176.53664*100)</f>
        <v>0.28857618780292416</v>
      </c>
      <c r="E26" s="30">
        <f>IF(3516.94312="","-",3516.94312/1331532.33197*100)</f>
        <v>0.26412750449676936</v>
      </c>
      <c r="F26" s="30">
        <f>IF(OR(1361213.47779="",4290.62708="",3376.85084=""),"-",(3376.85084-4290.62708)/1361213.47779*100)</f>
        <v>-6.7129532208538137E-2</v>
      </c>
      <c r="G26" s="30">
        <f>IF(OR(1170176.53664="",3516.94312="",3376.85084=""),"-",(3516.94312-3376.85084)/1170176.53664*100)</f>
        <v>1.197189275408439E-2</v>
      </c>
    </row>
    <row r="27" spans="1:7" s="33" customFormat="1" x14ac:dyDescent="0.2">
      <c r="A27" s="126" t="s">
        <v>45</v>
      </c>
      <c r="B27" s="29">
        <v>2441.5839799999999</v>
      </c>
      <c r="C27" s="30">
        <f>IF(OR(2654.04605="",2441.58398=""),"-",2441.58398/2654.04605*100)</f>
        <v>91.994785847819031</v>
      </c>
      <c r="D27" s="30">
        <f>IF(2654.04605="","-",2654.04605/1170176.53664*100)</f>
        <v>0.22680732068177728</v>
      </c>
      <c r="E27" s="30">
        <f>IF(2441.58398="","-",2441.58398/1331532.33197*100)</f>
        <v>0.18336648096165117</v>
      </c>
      <c r="F27" s="30">
        <f>IF(OR(1361213.47779="",3946.13854="",2654.04605=""),"-",(2654.04605-3946.13854)/1361213.47779*100)</f>
        <v>-9.4922105245224181E-2</v>
      </c>
      <c r="G27" s="30">
        <f>IF(OR(1170176.53664="",2441.58398="",2654.04605=""),"-",(2441.58398-2654.04605)/1170176.53664*100)</f>
        <v>-1.8156411733400112E-2</v>
      </c>
    </row>
    <row r="28" spans="1:7" s="33" customFormat="1" x14ac:dyDescent="0.2">
      <c r="A28" s="126" t="s">
        <v>46</v>
      </c>
      <c r="B28" s="29">
        <v>1328.44919</v>
      </c>
      <c r="C28" s="30">
        <f>IF(OR(2911.65539="",1328.44919=""),"-",1328.44919/2911.65539*100)</f>
        <v>45.625220435169702</v>
      </c>
      <c r="D28" s="30">
        <f>IF(2911.65539="","-",2911.65539/1170176.53664*100)</f>
        <v>0.24882189129859117</v>
      </c>
      <c r="E28" s="30">
        <f>IF(1328.44919="","-",1328.44919/1331532.33197*100)</f>
        <v>9.9768451587995743E-2</v>
      </c>
      <c r="F28" s="30">
        <f>IF(OR(1361213.47779="",1656.03225="",2911.65539=""),"-",(2911.65539-1656.03225)/1361213.47779*100)</f>
        <v>9.2242925925077435E-2</v>
      </c>
      <c r="G28" s="30">
        <f>IF(OR(1170176.53664="",1328.44919="",2911.65539=""),"-",(1328.44919-2911.65539)/1170176.53664*100)</f>
        <v>-0.1352963549026506</v>
      </c>
    </row>
    <row r="29" spans="1:7" s="31" customFormat="1" x14ac:dyDescent="0.2">
      <c r="A29" s="126" t="s">
        <v>49</v>
      </c>
      <c r="B29" s="29">
        <v>923.41471000000001</v>
      </c>
      <c r="C29" s="30">
        <f>IF(OR(731.87664="",923.41471=""),"-",923.41471/731.87664*100)</f>
        <v>126.17081343107222</v>
      </c>
      <c r="D29" s="30">
        <f>IF(731.87664="","-",731.87664/1170176.53664*100)</f>
        <v>6.2544121940906652E-2</v>
      </c>
      <c r="E29" s="30">
        <f>IF(923.41471="","-",923.41471/1331532.33197*100)</f>
        <v>6.9349777532912729E-2</v>
      </c>
      <c r="F29" s="30">
        <f>IF(OR(1361213.47779="",513.41934="",731.87664=""),"-",(731.87664-513.41934)/1361213.47779*100)</f>
        <v>1.6048717086953664E-2</v>
      </c>
      <c r="G29" s="30">
        <f>IF(OR(1170176.53664="",923.41471="",731.87664=""),"-",(923.41471-731.87664)/1170176.53664*100)</f>
        <v>1.6368305465256989E-2</v>
      </c>
    </row>
    <row r="30" spans="1:7" s="31" customFormat="1" x14ac:dyDescent="0.2">
      <c r="A30" s="126" t="s">
        <v>48</v>
      </c>
      <c r="B30" s="29">
        <v>783.78774999999996</v>
      </c>
      <c r="C30" s="30" t="s">
        <v>341</v>
      </c>
      <c r="D30" s="30">
        <f>IF(413.20688="","-",413.20688/1170176.53664*100)</f>
        <v>3.5311499338934481E-2</v>
      </c>
      <c r="E30" s="30">
        <f>IF(783.78775="","-",783.78775/1331532.33197*100)</f>
        <v>5.8863591306144797E-2</v>
      </c>
      <c r="F30" s="30">
        <f>IF(OR(1361213.47779="",446.95394="",413.20688=""),"-",(413.20688-446.95394)/1361213.47779*100)</f>
        <v>-2.4791893814326655E-3</v>
      </c>
      <c r="G30" s="30">
        <f>IF(OR(1170176.53664="",783.78775="",413.20688=""),"-",(783.78775-413.20688)/1170176.53664*100)</f>
        <v>3.1668800253342254E-2</v>
      </c>
    </row>
    <row r="31" spans="1:7" s="33" customFormat="1" x14ac:dyDescent="0.2">
      <c r="A31" s="126" t="s">
        <v>50</v>
      </c>
      <c r="B31" s="29">
        <v>456.47726999999998</v>
      </c>
      <c r="C31" s="30" t="s">
        <v>20</v>
      </c>
      <c r="D31" s="30">
        <f>IF(233.85845="","-",233.85845/1170176.53664*100)</f>
        <v>1.9984886269510428E-2</v>
      </c>
      <c r="E31" s="30">
        <f>IF(456.47727="","-",456.47727/1331532.33197*100)</f>
        <v>3.428210183410587E-2</v>
      </c>
      <c r="F31" s="30">
        <f>IF(OR(1361213.47779="",465.98069="",233.85845=""),"-",(233.85845-465.98069)/1361213.47779*100)</f>
        <v>-1.7052596362538402E-2</v>
      </c>
      <c r="G31" s="30">
        <f>IF(OR(1170176.53664="",456.47727="",233.85845=""),"-",(456.47727-233.85845)/1170176.53664*100)</f>
        <v>1.9024379059865541E-2</v>
      </c>
    </row>
    <row r="32" spans="1:7" s="33" customFormat="1" x14ac:dyDescent="0.2">
      <c r="A32" s="126" t="s">
        <v>308</v>
      </c>
      <c r="B32" s="29">
        <v>405.18054000000001</v>
      </c>
      <c r="C32" s="30">
        <f>IF(OR(520.06087="",405.18054=""),"-",405.18054/520.06087*100)</f>
        <v>77.910214625453349</v>
      </c>
      <c r="D32" s="30">
        <f>IF(520.06087="","-",520.06087/1170176.53664*100)</f>
        <v>4.4442941190162878E-2</v>
      </c>
      <c r="E32" s="30">
        <f>IF(405.18054="","-",405.18054/1331532.33197*100)</f>
        <v>3.0429643371898907E-2</v>
      </c>
      <c r="F32" s="30">
        <f>IF(OR(1361213.47779="",265.54323="",520.06087=""),"-",(520.06087-265.54323)/1361213.47779*100)</f>
        <v>1.8697848952628833E-2</v>
      </c>
      <c r="G32" s="30">
        <f>IF(OR(1170176.53664="",405.18054="",520.06087=""),"-",(405.18054-520.06087)/1170176.53664*100)</f>
        <v>-9.8173503230429646E-3</v>
      </c>
    </row>
    <row r="33" spans="1:8" s="33" customFormat="1" x14ac:dyDescent="0.2">
      <c r="A33" s="126" t="s">
        <v>53</v>
      </c>
      <c r="B33" s="29">
        <v>348.19837000000001</v>
      </c>
      <c r="C33" s="30" t="s">
        <v>342</v>
      </c>
      <c r="D33" s="30">
        <f>IF(162.78299="","-",162.78299/1170176.53664*100)</f>
        <v>1.3910977096448101E-2</v>
      </c>
      <c r="E33" s="30">
        <f>IF(348.19837="","-",348.19837/1331532.33197*100)</f>
        <v>2.6150200159604165E-2</v>
      </c>
      <c r="F33" s="30">
        <f>IF(OR(1361213.47779="",13.91265="",162.78299=""),"-",(162.78299-13.91265)/1361213.47779*100)</f>
        <v>1.0936590213733312E-2</v>
      </c>
      <c r="G33" s="30">
        <f>IF(OR(1170176.53664="",348.19837="",162.78299=""),"-",(348.19837-162.78299)/1170176.53664*100)</f>
        <v>1.5845077575422476E-2</v>
      </c>
    </row>
    <row r="34" spans="1:8" s="33" customFormat="1" x14ac:dyDescent="0.2">
      <c r="A34" s="126" t="s">
        <v>52</v>
      </c>
      <c r="B34" s="29">
        <v>192.48938999999999</v>
      </c>
      <c r="C34" s="30" t="s">
        <v>343</v>
      </c>
      <c r="D34" s="30">
        <f>IF(79.63324="","-",79.63324/1170176.53664*100)</f>
        <v>6.8052330145548651E-3</v>
      </c>
      <c r="E34" s="30">
        <f>IF(192.48939="","-",192.48939/1331532.33197*100)</f>
        <v>1.4456231018830182E-2</v>
      </c>
      <c r="F34" s="30">
        <f>IF(OR(1361213.47779="",31.8079="",79.63324=""),"-",(79.63324-31.8079)/1361213.47779*100)</f>
        <v>3.5134342100143542E-3</v>
      </c>
      <c r="G34" s="30">
        <f>IF(OR(1170176.53664="",192.48939="",79.63324=""),"-",(192.48939-79.63324)/1170176.53664*100)</f>
        <v>9.6443695858105978E-3</v>
      </c>
    </row>
    <row r="35" spans="1:8" s="33" customFormat="1" x14ac:dyDescent="0.2">
      <c r="A35" s="126" t="s">
        <v>54</v>
      </c>
      <c r="B35" s="29">
        <v>3.6461399999999999</v>
      </c>
      <c r="C35" s="30">
        <f>IF(OR(25.65794="",3.64614=""),"-",3.64614/25.65794*100)</f>
        <v>14.210571854170679</v>
      </c>
      <c r="D35" s="30">
        <f>IF(25.65794="","-",25.65794/1170176.53664*100)</f>
        <v>2.192655483733525E-3</v>
      </c>
      <c r="E35" s="30">
        <f>IF(3.64614="","-",3.64614/1331532.33197*100)</f>
        <v>2.7383037666126676E-4</v>
      </c>
      <c r="F35" s="30">
        <f>IF(OR(1361213.47779="",55.88281="",25.65794=""),"-",(25.65794-55.88281)/1361213.47779*100)</f>
        <v>-2.2204356989670446E-3</v>
      </c>
      <c r="G35" s="30">
        <f>IF(OR(1170176.53664="",3.64614="",25.65794=""),"-",(3.64614-25.65794)/1170176.53664*100)</f>
        <v>-1.8810666007031587E-3</v>
      </c>
    </row>
    <row r="36" spans="1:8" s="33" customFormat="1" x14ac:dyDescent="0.2">
      <c r="A36" s="125" t="s">
        <v>138</v>
      </c>
      <c r="B36" s="26">
        <v>208434.06466999999</v>
      </c>
      <c r="C36" s="27">
        <f>IF(193825.64636="","-",208434.06467/193825.64636*100)</f>
        <v>107.53688615740107</v>
      </c>
      <c r="D36" s="27">
        <f>IF(193825.64636="","-",193825.64636/1170176.53664*100)</f>
        <v>16.563795315580631</v>
      </c>
      <c r="E36" s="27">
        <f>IF(208434.06467="","-",208434.06467/1331532.33197*100)</f>
        <v>15.653699100315659</v>
      </c>
      <c r="F36" s="27">
        <f>IF(1361213.47779="","-",(193825.64636-202404.26926)/1361213.47779*100)</f>
        <v>-0.63021877464274179</v>
      </c>
      <c r="G36" s="27">
        <f>IF(1170176.53664="","-",(208434.06467-193825.64636)/1170176.53664*100)</f>
        <v>1.2483943962802426</v>
      </c>
      <c r="H36" s="34"/>
    </row>
    <row r="37" spans="1:8" s="33" customFormat="1" x14ac:dyDescent="0.2">
      <c r="A37" s="126" t="s">
        <v>325</v>
      </c>
      <c r="B37" s="29">
        <v>128518.68923</v>
      </c>
      <c r="C37" s="30">
        <f>IF(OR(123801.65856="",128518.68923=""),"-",128518.68923/123801.65856*100)</f>
        <v>103.81015143485652</v>
      </c>
      <c r="D37" s="30">
        <f>IF(123801.65856="","-",123801.65856/1170176.53664*100)</f>
        <v>10.579742003328773</v>
      </c>
      <c r="E37" s="30">
        <f>IF(128518.68923="","-",128518.68923/1331532.33197*100)</f>
        <v>9.6519390588027854</v>
      </c>
      <c r="F37" s="30">
        <f>IF(OR(1361213.47779="",114429.1032="",123801.65856=""),"-",(123801.65856-114429.1032)/1361213.47779*100)</f>
        <v>0.68854411985523567</v>
      </c>
      <c r="G37" s="30">
        <f>IF(OR(1170176.53664="",128518.68923="",123801.65856=""),"-",(128518.68923-123801.65856)/1170176.53664*100)</f>
        <v>0.40310419174394896</v>
      </c>
    </row>
    <row r="38" spans="1:8" s="33" customFormat="1" x14ac:dyDescent="0.2">
      <c r="A38" s="126" t="s">
        <v>12</v>
      </c>
      <c r="B38" s="29">
        <v>36994.725570000002</v>
      </c>
      <c r="C38" s="30">
        <f>IF(OR(27426.28564="",36994.72557=""),"-",36994.72557/27426.28564*100)</f>
        <v>134.88784465966791</v>
      </c>
      <c r="D38" s="30">
        <f>IF(27426.28564="","-",27426.28564/1170176.53664*100)</f>
        <v>2.3437733351542649</v>
      </c>
      <c r="E38" s="30">
        <f>IF(36994.72557="","-",36994.72557/1331532.33197*100)</f>
        <v>2.7783572866958752</v>
      </c>
      <c r="F38" s="30">
        <f>IF(OR(1361213.47779="",36805.30296="",27426.28564=""),"-",(27426.28564-36805.30296)/1361213.47779*100)</f>
        <v>-0.68901884039726957</v>
      </c>
      <c r="G38" s="30">
        <f>IF(OR(1170176.53664="",36994.72557="",27426.28564=""),"-",(36994.72557-27426.28564)/1170176.53664*100)</f>
        <v>0.81769200034333744</v>
      </c>
    </row>
    <row r="39" spans="1:8" s="33" customFormat="1" x14ac:dyDescent="0.2">
      <c r="A39" s="126" t="s">
        <v>11</v>
      </c>
      <c r="B39" s="29">
        <v>30628.56379</v>
      </c>
      <c r="C39" s="30">
        <f>IF(OR(32611.59569="",30628.56379=""),"-",30628.56379/32611.59569*100)</f>
        <v>93.91924296237957</v>
      </c>
      <c r="D39" s="30">
        <f>IF(32611.59569="","-",32611.59569/1170176.53664*100)</f>
        <v>2.786895367398126</v>
      </c>
      <c r="E39" s="30">
        <f>IF(30628.56379="","-",30628.56379/1331532.33197*100)</f>
        <v>2.3002493484093689</v>
      </c>
      <c r="F39" s="30">
        <f>IF(OR(1361213.47779="",41805.31588="",32611.59569=""),"-",(32611.59569-41805.31588)/1361213.47779*100)</f>
        <v>-0.675406197485385</v>
      </c>
      <c r="G39" s="30">
        <f>IF(OR(1170176.53664="",30628.56379="",32611.59569=""),"-",(30628.56379-32611.59569)/1170176.53664*100)</f>
        <v>-0.1694643361841795</v>
      </c>
    </row>
    <row r="40" spans="1:8" s="33" customFormat="1" ht="14.25" customHeight="1" x14ac:dyDescent="0.2">
      <c r="A40" s="126" t="s">
        <v>13</v>
      </c>
      <c r="B40" s="29">
        <v>5890.3161499999997</v>
      </c>
      <c r="C40" s="30">
        <f>IF(OR(6308.44855="",5890.31615=""),"-",5890.31615/6308.44855*100)</f>
        <v>93.371866367999459</v>
      </c>
      <c r="D40" s="30">
        <f>IF(6308.44855="","-",6308.44855/1170176.53664*100)</f>
        <v>0.53910229375422591</v>
      </c>
      <c r="E40" s="30">
        <f>IF(5890.31615="","-",5890.31615/1331532.33197*100)</f>
        <v>0.44237124466105054</v>
      </c>
      <c r="F40" s="30">
        <f>IF(OR(1361213.47779="",4211.57803="",6308.44855=""),"-",(6308.44855-4211.57803)/1361213.47779*100)</f>
        <v>0.15404420792279969</v>
      </c>
      <c r="G40" s="30">
        <f>IF(OR(1170176.53664="",5890.31615="",6308.44855=""),"-",(5890.31615-6308.44855)/1170176.53664*100)</f>
        <v>-3.5732420443210199E-2</v>
      </c>
    </row>
    <row r="41" spans="1:8" s="31" customFormat="1" ht="14.25" customHeight="1" x14ac:dyDescent="0.2">
      <c r="A41" s="126" t="s">
        <v>15</v>
      </c>
      <c r="B41" s="29">
        <v>3479.1356700000001</v>
      </c>
      <c r="C41" s="30" t="s">
        <v>343</v>
      </c>
      <c r="D41" s="30">
        <f>IF(1426.66573="","-",1426.66573/1170176.53664*100)</f>
        <v>0.12191884603125552</v>
      </c>
      <c r="E41" s="30">
        <f>IF(3479.13567="","-",3479.13567/1331532.33197*100)</f>
        <v>0.26128811043233363</v>
      </c>
      <c r="F41" s="30">
        <f>IF(OR(1361213.47779="",1316.07721="",1426.66573=""),"-",(1426.66573-1316.07721)/1361213.47779*100)</f>
        <v>8.1242598464089672E-3</v>
      </c>
      <c r="G41" s="30">
        <f>IF(OR(1170176.53664="",3479.13567="",1426.66573=""),"-",(3479.13567-1426.66573)/1170176.53664*100)</f>
        <v>0.17539831604326842</v>
      </c>
    </row>
    <row r="42" spans="1:8" s="31" customFormat="1" ht="14.25" customHeight="1" x14ac:dyDescent="0.2">
      <c r="A42" s="126" t="s">
        <v>14</v>
      </c>
      <c r="B42" s="29">
        <v>1200.2076</v>
      </c>
      <c r="C42" s="30">
        <f>IF(OR(1338.57699="",1200.2076=""),"-",1200.2076/1338.57699*100)</f>
        <v>89.6629487109292</v>
      </c>
      <c r="D42" s="30">
        <f>IF(1338.57699="","-",1338.57699/1170176.53664*100)</f>
        <v>0.11439102973672148</v>
      </c>
      <c r="E42" s="30">
        <f>IF(1200.2076="","-",1200.2076/1331532.33197*100)</f>
        <v>9.01373230813175E-2</v>
      </c>
      <c r="F42" s="30">
        <f>IF(OR(1361213.47779="",2324.7795="",1338.57699=""),"-",(1338.57699-2324.7795)/1361213.47779*100)</f>
        <v>-7.2450245761682477E-2</v>
      </c>
      <c r="G42" s="30">
        <f>IF(OR(1170176.53664="",1200.2076="",1338.57699=""),"-",(1200.2076-1338.57699)/1170176.53664*100)</f>
        <v>-1.1824659413981127E-2</v>
      </c>
    </row>
    <row r="43" spans="1:8" s="31" customFormat="1" ht="14.25" customHeight="1" x14ac:dyDescent="0.2">
      <c r="A43" s="126" t="s">
        <v>326</v>
      </c>
      <c r="B43" s="29">
        <v>679.49198999999999</v>
      </c>
      <c r="C43" s="30" t="s">
        <v>212</v>
      </c>
      <c r="D43" s="30">
        <f>IF(290.25257="","-",290.25257/1170176.53664*100)</f>
        <v>2.4804169363489382E-2</v>
      </c>
      <c r="E43" s="30">
        <f>IF(679.49199="","-",679.49199/1331532.33197*100)</f>
        <v>5.103082919471378E-2</v>
      </c>
      <c r="F43" s="30">
        <f>IF(OR(1361213.47779="",495.50919="",290.25257=""),"-",(290.25257-495.50919)/1361213.47779*100)</f>
        <v>-1.5078944144253162E-2</v>
      </c>
      <c r="G43" s="30">
        <f>IF(OR(1170176.53664="",679.49199="",290.25257=""),"-",(679.49199-290.25257)/1170176.53664*100)</f>
        <v>3.3263307527738262E-2</v>
      </c>
    </row>
    <row r="44" spans="1:8" s="33" customFormat="1" ht="14.25" customHeight="1" x14ac:dyDescent="0.2">
      <c r="A44" s="126" t="s">
        <v>16</v>
      </c>
      <c r="B44" s="29">
        <v>448.08481999999998</v>
      </c>
      <c r="C44" s="30" t="str">
        <f>IF(OR(""="",448.08482=""),"-",448.08482/""*100)</f>
        <v>-</v>
      </c>
      <c r="D44" s="30" t="str">
        <f>IF(""="","-",""/1170176.53664*100)</f>
        <v>-</v>
      </c>
      <c r="E44" s="30">
        <f>IF(448.08482="","-",448.08482/1331532.33197*100)</f>
        <v>3.3651816725851429E-2</v>
      </c>
      <c r="F44" s="30" t="str">
        <f>IF(OR(1361213.47779="",241.30972="",""=""),"-",(""-241.30972)/1361213.47779*100)</f>
        <v>-</v>
      </c>
      <c r="G44" s="30" t="str">
        <f>IF(OR(1170176.53664="",448.08482="",""=""),"-",(448.08482-"")/1170176.53664*100)</f>
        <v>-</v>
      </c>
    </row>
    <row r="45" spans="1:8" s="31" customFormat="1" ht="14.25" customHeight="1" x14ac:dyDescent="0.2">
      <c r="A45" s="126" t="s">
        <v>17</v>
      </c>
      <c r="B45" s="29">
        <v>421.88727</v>
      </c>
      <c r="C45" s="30">
        <f>IF(OR(476.98189="",421.88727=""),"-",421.88727/476.98189*100)</f>
        <v>88.449326661018517</v>
      </c>
      <c r="D45" s="30">
        <f>IF(476.98189="","-",476.98189/1170176.53664*100)</f>
        <v>4.0761532560684176E-2</v>
      </c>
      <c r="E45" s="30">
        <f>IF(421.88727="","-",421.88727/1331532.33197*100)</f>
        <v>3.1684342908581006E-2</v>
      </c>
      <c r="F45" s="30">
        <f>IF(OR(1361213.47779="",657.76978="",476.98189=""),"-",(476.98189-657.76978)/1361213.47779*100)</f>
        <v>-1.328137672376844E-2</v>
      </c>
      <c r="G45" s="30">
        <f>IF(OR(1170176.53664="",421.88727="",476.98189=""),"-",(421.88727-476.98189)/1170176.53664*100)</f>
        <v>-4.7082314740472062E-3</v>
      </c>
    </row>
    <row r="46" spans="1:8" s="33" customFormat="1" ht="14.25" customHeight="1" x14ac:dyDescent="0.2">
      <c r="A46" s="126" t="s">
        <v>18</v>
      </c>
      <c r="B46" s="29">
        <v>172.96258</v>
      </c>
      <c r="C46" s="30">
        <f>IF(OR(145.18074="",172.96258=""),"-",172.96258/145.18074*100)</f>
        <v>119.13603691508945</v>
      </c>
      <c r="D46" s="30">
        <f>IF(145.18074="","-",145.18074/1170176.53664*100)</f>
        <v>1.2406738253090119E-2</v>
      </c>
      <c r="E46" s="30">
        <f>IF(172.96258="","-",172.96258/1331532.33197*100)</f>
        <v>1.2989739403781666E-2</v>
      </c>
      <c r="F46" s="30">
        <f>IF(OR(1361213.47779="",117.52379="",145.18074=""),"-",(145.18074-117.52379)/1361213.47779*100)</f>
        <v>2.0317863767336818E-3</v>
      </c>
      <c r="G46" s="30">
        <f>IF(OR(1170176.53664="",172.96258="",145.18074=""),"-",(172.96258-145.18074)/1170176.53664*100)</f>
        <v>2.3741580120698476E-3</v>
      </c>
    </row>
    <row r="47" spans="1:8" s="33" customFormat="1" ht="14.25" customHeight="1" x14ac:dyDescent="0.2">
      <c r="A47" s="125" t="s">
        <v>139</v>
      </c>
      <c r="B47" s="26">
        <v>264249.44967</v>
      </c>
      <c r="C47" s="27">
        <f>IF(233772.61411="","-",264249.44967/233772.61411*100)</f>
        <v>113.036957162852</v>
      </c>
      <c r="D47" s="27">
        <f>IF(233772.61411="","-",233772.61411/1170176.53664*100)</f>
        <v>19.977550975449031</v>
      </c>
      <c r="E47" s="27">
        <f>IF(264249.44967="","-",264249.44967/1331532.33197*100)</f>
        <v>19.845515075029638</v>
      </c>
      <c r="F47" s="27">
        <f>IF(1361213.47779="","-",(233772.61411-304844.68316)/1361213.47779*100)</f>
        <v>-5.2212287205228956</v>
      </c>
      <c r="G47" s="27">
        <f>IF(1170176.53664="","-",(264249.44967-233772.61411)/1170176.53664*100)</f>
        <v>2.6044647628562116</v>
      </c>
    </row>
    <row r="48" spans="1:8" s="33" customFormat="1" ht="14.25" customHeight="1" x14ac:dyDescent="0.2">
      <c r="A48" s="126" t="s">
        <v>56</v>
      </c>
      <c r="B48" s="35">
        <v>114819.85</v>
      </c>
      <c r="C48" s="30">
        <f>IF(OR(85304.66918="",114819.85=""),"-",114819.85/85304.66918*100)</f>
        <v>134.5997248494341</v>
      </c>
      <c r="D48" s="30">
        <f>IF(85304.66918="","-",85304.66918/1170176.53664*100)</f>
        <v>7.289897422224902</v>
      </c>
      <c r="E48" s="30">
        <f>IF(114819.85="","-",114819.85/1331532.33197*100)</f>
        <v>8.6231364603910308</v>
      </c>
      <c r="F48" s="30">
        <f>IF(OR(1361213.47779="",121593.52444="",85304.66918=""),"-",(85304.66918-121593.52444)/1361213.47779*100)</f>
        <v>-2.6659194793543199</v>
      </c>
      <c r="G48" s="30">
        <f>IF(OR(1170176.53664="",114819.85="",85304.66918=""),"-",(114819.85-85304.66918)/1170176.53664*100)</f>
        <v>2.522284449895805</v>
      </c>
    </row>
    <row r="49" spans="1:7" s="33" customFormat="1" ht="24" x14ac:dyDescent="0.2">
      <c r="A49" s="126" t="s">
        <v>310</v>
      </c>
      <c r="B49" s="35">
        <v>25932.730309999999</v>
      </c>
      <c r="C49" s="30">
        <f>IF(OR(18617.51527="",25932.73031=""),"-",25932.73031/18617.51527*100)</f>
        <v>139.29211247532928</v>
      </c>
      <c r="D49" s="30">
        <f>IF(18617.51527="","-",18617.51527/1170176.53664*100)</f>
        <v>1.5910005616295826</v>
      </c>
      <c r="E49" s="30">
        <f>IF(25932.73031="","-",25932.73031/1331532.33197*100)</f>
        <v>1.9475854763235503</v>
      </c>
      <c r="F49" s="30">
        <f>IF(OR(1361213.47779="",26145.7018="",18617.51527=""),"-",(18617.51527-26145.7018)/1361213.47779*100)</f>
        <v>-0.55304966141111067</v>
      </c>
      <c r="G49" s="30">
        <f>IF(OR(1170176.53664="",25932.73031="",18617.51527=""),"-",(25932.73031-18617.51527)/1170176.53664*100)</f>
        <v>0.62513773015861573</v>
      </c>
    </row>
    <row r="50" spans="1:7" s="33" customFormat="1" x14ac:dyDescent="0.2">
      <c r="A50" s="126" t="s">
        <v>316</v>
      </c>
      <c r="B50" s="29">
        <v>16298.45184</v>
      </c>
      <c r="C50" s="30">
        <f>IF(OR(40324.65371="",16298.45184=""),"-",16298.45184/40324.65371*100)</f>
        <v>40.41808258841462</v>
      </c>
      <c r="D50" s="30">
        <f>IF(40324.65371="","-",40324.65371/1170176.53664*100)</f>
        <v>3.4460316411561847</v>
      </c>
      <c r="E50" s="30">
        <f>IF(16298.45184="","-",16298.45184/1331532.33197*100)</f>
        <v>1.2240372575772505</v>
      </c>
      <c r="F50" s="30">
        <f>IF(OR(1361213.47779="",33581.89443="",40324.65371=""),"-",(40324.65371-33581.89443)/1361213.47779*100)</f>
        <v>0.49534914177805633</v>
      </c>
      <c r="G50" s="30">
        <f>IF(OR(1170176.53664="",16298.45184="",40324.65371=""),"-",(16298.45184-40324.65371)/1170176.53664*100)</f>
        <v>-2.0532117264107779</v>
      </c>
    </row>
    <row r="51" spans="1:7" s="33" customFormat="1" x14ac:dyDescent="0.2">
      <c r="A51" s="126" t="s">
        <v>60</v>
      </c>
      <c r="B51" s="29">
        <v>14266.01887</v>
      </c>
      <c r="C51" s="30" t="s">
        <v>344</v>
      </c>
      <c r="D51" s="30">
        <f>IF(8269.452="","-",8269.452/1170176.53664*100)</f>
        <v>0.70668414047546935</v>
      </c>
      <c r="E51" s="30">
        <f>IF(14266.01887="","-",14266.01887/1331532.33197*100)</f>
        <v>1.0713986080152818</v>
      </c>
      <c r="F51" s="30">
        <f>IF(OR(1361213.47779="",7795.97754="",8269.452=""),"-",(8269.452-7795.97754)/1361213.47779*100)</f>
        <v>3.4783262708264512E-2</v>
      </c>
      <c r="G51" s="30">
        <f>IF(OR(1170176.53664="",14266.01887="",8269.452=""),"-",(14266.01887-8269.452)/1170176.53664*100)</f>
        <v>0.51244976140252407</v>
      </c>
    </row>
    <row r="52" spans="1:7" s="31" customFormat="1" x14ac:dyDescent="0.2">
      <c r="A52" s="126" t="s">
        <v>75</v>
      </c>
      <c r="B52" s="29">
        <v>11803.65034</v>
      </c>
      <c r="C52" s="30" t="s">
        <v>345</v>
      </c>
      <c r="D52" s="30">
        <f>IF(381.21341="","-",381.21341/1170176.53664*100)</f>
        <v>3.2577427256796784E-2</v>
      </c>
      <c r="E52" s="30">
        <f>IF(11803.65034="","-",11803.65034/1331532.33197*100)</f>
        <v>0.88647117734922121</v>
      </c>
      <c r="F52" s="30">
        <f>IF(OR(1361213.47779="",1273.77288="",381.21341=""),"-",(381.21341-1273.77288)/1361213.47779*100)</f>
        <v>-6.5570866330909097E-2</v>
      </c>
      <c r="G52" s="30">
        <f>IF(OR(1170176.53664="",11803.65034="",381.21341=""),"-",(11803.65034-381.21341)/1170176.53664*100)</f>
        <v>0.97612937640998565</v>
      </c>
    </row>
    <row r="53" spans="1:7" s="33" customFormat="1" x14ac:dyDescent="0.2">
      <c r="A53" s="126" t="s">
        <v>19</v>
      </c>
      <c r="B53" s="35">
        <v>11519.454320000001</v>
      </c>
      <c r="C53" s="30">
        <f>IF(OR(12371.62955="",11519.45432=""),"-",11519.45432/12371.62955*100)</f>
        <v>93.11185946397822</v>
      </c>
      <c r="D53" s="30">
        <f>IF(12371.62955="","-",12371.62955/1170176.53664*100)</f>
        <v>1.0572447115991079</v>
      </c>
      <c r="E53" s="30">
        <f>IF(11519.45432="","-",11519.45432/1331532.33197*100)</f>
        <v>0.86512764605249859</v>
      </c>
      <c r="F53" s="30">
        <f>IF(OR(1361213.47779="",11108.34418="",12371.62955=""),"-",(12371.62955-11108.34418)/1361213.47779*100)</f>
        <v>9.2805822937560706E-2</v>
      </c>
      <c r="G53" s="30">
        <f>IF(OR(1170176.53664="",11519.45432="",12371.62955=""),"-",(11519.45432-12371.62955)/1170176.53664*100)</f>
        <v>-7.2824501544604722E-2</v>
      </c>
    </row>
    <row r="54" spans="1:7" s="32" customFormat="1" x14ac:dyDescent="0.2">
      <c r="A54" s="126" t="s">
        <v>58</v>
      </c>
      <c r="B54" s="29">
        <v>10011.74706</v>
      </c>
      <c r="C54" s="30">
        <f>IF(OR(9223.45418="",10011.74706=""),"-",10011.74706/9223.45418*100)</f>
        <v>108.54661241456938</v>
      </c>
      <c r="D54" s="30">
        <f>IF(9223.45418="","-",9223.45418/1170176.53664*100)</f>
        <v>0.78821048715297881</v>
      </c>
      <c r="E54" s="30">
        <f>IF(10011.74706="","-",10011.74706/1331532.33197*100)</f>
        <v>0.75189665467511668</v>
      </c>
      <c r="F54" s="30">
        <f>IF(OR(1361213.47779="",9074.14472="",9223.45418=""),"-",(9223.45418-9074.14472)/1361213.47779*100)</f>
        <v>1.0968849665109985E-2</v>
      </c>
      <c r="G54" s="30">
        <f>IF(OR(1170176.53664="",10011.74706="",9223.45418=""),"-",(10011.74706-9223.45418)/1170176.53664*100)</f>
        <v>6.7365295347954338E-2</v>
      </c>
    </row>
    <row r="55" spans="1:7" s="31" customFormat="1" x14ac:dyDescent="0.2">
      <c r="A55" s="126" t="s">
        <v>59</v>
      </c>
      <c r="B55" s="29">
        <v>6556.7649499999998</v>
      </c>
      <c r="C55" s="30">
        <f>IF(OR(4696.94796="",6556.76495=""),"-",6556.76495/4696.94796*100)</f>
        <v>139.59628690457109</v>
      </c>
      <c r="D55" s="30">
        <f>IF(4696.94796="","-",4696.94796/1170176.53664*100)</f>
        <v>0.40138797975616874</v>
      </c>
      <c r="E55" s="30">
        <f>IF(6556.76495="","-",6556.76495/1331532.33197*100)</f>
        <v>0.4924225114608578</v>
      </c>
      <c r="F55" s="30">
        <f>IF(OR(1361213.47779="",7885.86709="",4696.94796=""),"-",(4696.94796-7885.86709)/1361213.47779*100)</f>
        <v>-0.23427031703927687</v>
      </c>
      <c r="G55" s="30">
        <f>IF(OR(1170176.53664="",6556.76495="",4696.94796=""),"-",(6556.76495-4696.94796)/1170176.53664*100)</f>
        <v>0.15893473606471434</v>
      </c>
    </row>
    <row r="56" spans="1:7" s="33" customFormat="1" x14ac:dyDescent="0.2">
      <c r="A56" s="126" t="s">
        <v>62</v>
      </c>
      <c r="B56" s="29">
        <v>5891.6514699999998</v>
      </c>
      <c r="C56" s="30" t="s">
        <v>343</v>
      </c>
      <c r="D56" s="30">
        <f>IF(2490.22242="","-",2490.22242/1170176.53664*100)</f>
        <v>0.21280741341390494</v>
      </c>
      <c r="E56" s="30">
        <f>IF(5891.65147="","-",5891.65147/1331532.33197*100)</f>
        <v>0.44247152912038651</v>
      </c>
      <c r="F56" s="30">
        <f>IF(OR(1361213.47779="",4498.12174="",2490.22242=""),"-",(2490.22242-4498.12174)/1361213.47779*100)</f>
        <v>-0.14750803990421307</v>
      </c>
      <c r="G56" s="30">
        <f>IF(OR(1170176.53664="",5891.65147="",2490.22242=""),"-",(5891.65147-2490.22242)/1170176.53664*100)</f>
        <v>0.29067657259363039</v>
      </c>
    </row>
    <row r="57" spans="1:7" s="33" customFormat="1" x14ac:dyDescent="0.2">
      <c r="A57" s="126" t="s">
        <v>66</v>
      </c>
      <c r="B57" s="35">
        <v>4931.1803600000003</v>
      </c>
      <c r="C57" s="30">
        <f>IF(OR(4090.58002="",4931.18036=""),"-",4931.18036/4090.58002*100)</f>
        <v>120.54966131673426</v>
      </c>
      <c r="D57" s="30">
        <f>IF(4090.58002="","-",4090.58002/1170176.53664*100)</f>
        <v>0.34956947878527239</v>
      </c>
      <c r="E57" s="30">
        <f>IF(4931.18036="","-",4931.18036/1331532.33197*100)</f>
        <v>0.37033876246206704</v>
      </c>
      <c r="F57" s="30">
        <f>IF(OR(1361213.47779="",5160.84755="",4090.58002=""),"-",(4090.58002-5160.84755)/1361213.47779*100)</f>
        <v>-7.8625986846503668E-2</v>
      </c>
      <c r="G57" s="30">
        <f>IF(OR(1170176.53664="",4931.18036="",4090.58002=""),"-",(4931.18036-4090.58002)/1170176.53664*100)</f>
        <v>7.1835343957046674E-2</v>
      </c>
    </row>
    <row r="58" spans="1:7" s="32" customFormat="1" x14ac:dyDescent="0.2">
      <c r="A58" s="126" t="s">
        <v>68</v>
      </c>
      <c r="B58" s="29">
        <v>4264.7123000000001</v>
      </c>
      <c r="C58" s="30" t="s">
        <v>102</v>
      </c>
      <c r="D58" s="30">
        <f>IF(2659.16345="","-",2659.16345/1170176.53664*100)</f>
        <v>0.22724463931189559</v>
      </c>
      <c r="E58" s="30">
        <f>IF(4264.7123="","-",4264.7123/1331532.33197*100)</f>
        <v>0.32028604920846082</v>
      </c>
      <c r="F58" s="30">
        <f>IF(OR(1361213.47779="",4922.58227="",2659.16345=""),"-",(2659.16345-4922.58227)/1361213.47779*100)</f>
        <v>-0.16627948936229878</v>
      </c>
      <c r="G58" s="30">
        <f>IF(OR(1170176.53664="",4264.7123="",2659.16345=""),"-",(4264.7123-2659.16345)/1170176.53664*100)</f>
        <v>0.137205695015054</v>
      </c>
    </row>
    <row r="59" spans="1:7" s="33" customFormat="1" x14ac:dyDescent="0.2">
      <c r="A59" s="126" t="s">
        <v>57</v>
      </c>
      <c r="B59" s="29">
        <v>3459.5062200000002</v>
      </c>
      <c r="C59" s="30">
        <f>IF(OR(3634.05403="",3459.50622=""),"-",3459.50622/3634.05403*100)</f>
        <v>95.196884565857715</v>
      </c>
      <c r="D59" s="30">
        <f>IF(3634.05403="","-",3634.05403/1170176.53664*100)</f>
        <v>0.31055604998154235</v>
      </c>
      <c r="E59" s="30">
        <f>IF(3459.50622="","-",3459.50622/1331532.33197*100)</f>
        <v>0.25981391040513946</v>
      </c>
      <c r="F59" s="30">
        <f>IF(OR(1361213.47779="",6056.02068="",3634.05403=""),"-",(3634.05403-6056.02068)/1361213.47779*100)</f>
        <v>-0.17792702537240426</v>
      </c>
      <c r="G59" s="30">
        <f>IF(OR(1170176.53664="",3459.50622="",3634.05403=""),"-",(3459.50622-3634.05403)/1170176.53664*100)</f>
        <v>-1.4916365568326078E-2</v>
      </c>
    </row>
    <row r="60" spans="1:7" s="31" customFormat="1" x14ac:dyDescent="0.2">
      <c r="A60" s="126" t="s">
        <v>63</v>
      </c>
      <c r="B60" s="29">
        <v>2215.82647</v>
      </c>
      <c r="C60" s="30" t="s">
        <v>346</v>
      </c>
      <c r="D60" s="30">
        <f>IF(179.06542="","-",179.06542/1170176.53664*100)</f>
        <v>1.5302427829749651E-2</v>
      </c>
      <c r="E60" s="30">
        <f>IF(2215.82647="","-",2215.82647/1331532.33197*100)</f>
        <v>0.16641176611323347</v>
      </c>
      <c r="F60" s="30">
        <f>IF(OR(1361213.47779="",1808.30115="",179.06542=""),"-",(179.06542-1808.30115)/1361213.47779*100)</f>
        <v>-0.11968994992946647</v>
      </c>
      <c r="G60" s="30">
        <f>IF(OR(1170176.53664="",2215.82647="",179.06542=""),"-",(2215.82647-179.06542)/1170176.53664*100)</f>
        <v>0.17405587842739331</v>
      </c>
    </row>
    <row r="61" spans="1:7" s="33" customFormat="1" x14ac:dyDescent="0.2">
      <c r="A61" s="126" t="s">
        <v>210</v>
      </c>
      <c r="B61" s="29">
        <v>2085.5038500000001</v>
      </c>
      <c r="C61" s="30" t="s">
        <v>347</v>
      </c>
      <c r="D61" s="30">
        <f>IF(15.83932="","-",15.83932/1170176.53664*100)</f>
        <v>1.3535837973200535E-3</v>
      </c>
      <c r="E61" s="30">
        <f>IF(2085.50385="","-",2085.50385/1331532.33197*100)</f>
        <v>0.15662434924989771</v>
      </c>
      <c r="F61" s="30">
        <f>IF(OR(1361213.47779="",133.82131="",15.83932=""),"-",(15.83932-133.82131)/1361213.47779*100)</f>
        <v>-8.6674127111604753E-3</v>
      </c>
      <c r="G61" s="30">
        <f>IF(OR(1170176.53664="",2085.50385="",15.83932=""),"-",(2085.50385-15.83932)/1170176.53664*100)</f>
        <v>0.17686771740807206</v>
      </c>
    </row>
    <row r="62" spans="1:7" s="31" customFormat="1" x14ac:dyDescent="0.2">
      <c r="A62" s="126" t="s">
        <v>37</v>
      </c>
      <c r="B62" s="29">
        <v>1913.7915499999999</v>
      </c>
      <c r="C62" s="30">
        <f>IF(OR(2634.19724="",1913.79155=""),"-",1913.79155/2634.19724*100)</f>
        <v>72.651793910466623</v>
      </c>
      <c r="D62" s="30">
        <f>IF(2634.19724="","-",2634.19724/1170176.53664*100)</f>
        <v>0.22511109713101346</v>
      </c>
      <c r="E62" s="30">
        <f>IF(1913.79155="","-",1913.79155/1331532.33197*100)</f>
        <v>0.14372850767870943</v>
      </c>
      <c r="F62" s="30">
        <f>IF(OR(1361213.47779="",1644.15261="",2634.19724=""),"-",(2634.19724-1644.15261)/1361213.47779*100)</f>
        <v>7.2732502737732824E-2</v>
      </c>
      <c r="G62" s="30">
        <f>IF(OR(1170176.53664="",1913.79155="",2634.19724=""),"-",(1913.79155-2634.19724)/1170176.53664*100)</f>
        <v>-6.1563846773799218E-2</v>
      </c>
    </row>
    <row r="63" spans="1:7" s="33" customFormat="1" x14ac:dyDescent="0.2">
      <c r="A63" s="126" t="s">
        <v>77</v>
      </c>
      <c r="B63" s="35">
        <v>1423.7023899999999</v>
      </c>
      <c r="C63" s="30" t="s">
        <v>343</v>
      </c>
      <c r="D63" s="30">
        <f>IF(592.72355="","-",592.72355/1170176.53664*100)</f>
        <v>5.0652489726201802E-2</v>
      </c>
      <c r="E63" s="30">
        <f>IF(1423.70239="","-",1423.70239/1331532.33197*100)</f>
        <v>0.10692210439183511</v>
      </c>
      <c r="F63" s="30">
        <f>IF(OR(1361213.47779="",674.69314="",592.72355=""),"-",(592.72355-674.69314)/1361213.47779*100)</f>
        <v>-6.0218027030618133E-3</v>
      </c>
      <c r="G63" s="30">
        <f>IF(OR(1170176.53664="",1423.70239="",592.72355=""),"-",(1423.70239-592.72355)/1170176.53664*100)</f>
        <v>7.1013117592157546E-2</v>
      </c>
    </row>
    <row r="64" spans="1:7" s="31" customFormat="1" x14ac:dyDescent="0.2">
      <c r="A64" s="126" t="s">
        <v>76</v>
      </c>
      <c r="B64" s="29">
        <v>1359.54314</v>
      </c>
      <c r="C64" s="30">
        <f>IF(OR(1041.82748="",1359.54314=""),"-",1359.54314/1041.82748*100)</f>
        <v>130.49599536383894</v>
      </c>
      <c r="D64" s="30">
        <f>IF(1041.82748="","-",1041.82748/1170176.53664*100)</f>
        <v>8.903165012960039E-2</v>
      </c>
      <c r="E64" s="30">
        <f>IF(1359.54314="","-",1359.54314/1331532.33197*100)</f>
        <v>0.10210365211249194</v>
      </c>
      <c r="F64" s="30">
        <f>IF(OR(1361213.47779="",675.66082="",1041.82748=""),"-",(1041.82748-675.66082)/1361213.47779*100)</f>
        <v>2.6900017225401734E-2</v>
      </c>
      <c r="G64" s="30">
        <f>IF(OR(1170176.53664="",1359.54314="",1041.82748=""),"-",(1359.54314-1041.82748)/1170176.53664*100)</f>
        <v>2.7151087895872242E-2</v>
      </c>
    </row>
    <row r="65" spans="1:7" s="33" customFormat="1" x14ac:dyDescent="0.2">
      <c r="A65" s="126" t="s">
        <v>127</v>
      </c>
      <c r="B65" s="29">
        <v>1208.42509</v>
      </c>
      <c r="C65" s="30" t="s">
        <v>344</v>
      </c>
      <c r="D65" s="30">
        <f>IF(714.53201="","-",714.53201/1170176.53664*100)</f>
        <v>6.1061898579139164E-2</v>
      </c>
      <c r="E65" s="30">
        <f>IF(1208.42509="","-",1208.42509/1331532.33197*100)</f>
        <v>9.0754468441043179E-2</v>
      </c>
      <c r="F65" s="30">
        <f>IF(OR(1361213.47779="",550.83271="",714.53201=""),"-",(714.53201-550.83271)/1361213.47779*100)</f>
        <v>1.2025982894745813E-2</v>
      </c>
      <c r="G65" s="30">
        <f>IF(OR(1170176.53664="",1208.42509="",714.53201=""),"-",(1208.42509-714.53201)/1170176.53664*100)</f>
        <v>4.2206715357508841E-2</v>
      </c>
    </row>
    <row r="66" spans="1:7" s="33" customFormat="1" x14ac:dyDescent="0.2">
      <c r="A66" s="126" t="s">
        <v>65</v>
      </c>
      <c r="B66" s="29">
        <v>924.52368999999999</v>
      </c>
      <c r="C66" s="30">
        <f>IF(OR(4405.77965="",924.52369=""),"-",924.52369/4405.77965*100)</f>
        <v>20.984337925297737</v>
      </c>
      <c r="D66" s="30">
        <f>IF(4405.77965="","-",4405.77965/1170176.53664*100)</f>
        <v>0.3765055538244329</v>
      </c>
      <c r="E66" s="30">
        <f>IF(924.52369="","-",924.52369/1331532.33197*100)</f>
        <v>6.9433063531560563E-2</v>
      </c>
      <c r="F66" s="30">
        <f>IF(OR(1361213.47779="",5429.68179="",4405.77965=""),"-",(4405.77965-5429.68179)/1361213.47779*100)</f>
        <v>-7.5219806202797598E-2</v>
      </c>
      <c r="G66" s="30">
        <f>IF(OR(1170176.53664="",924.52369="",4405.77965=""),"-",(924.52369-4405.77965)/1170176.53664*100)</f>
        <v>-0.29749835610240016</v>
      </c>
    </row>
    <row r="67" spans="1:7" s="31" customFormat="1" x14ac:dyDescent="0.2">
      <c r="A67" s="126" t="s">
        <v>315</v>
      </c>
      <c r="B67" s="29">
        <v>730.44736</v>
      </c>
      <c r="C67" s="30">
        <f>IF(OR(773.8238="",730.44736=""),"-",730.44736/773.8238*100)</f>
        <v>94.394532708867317</v>
      </c>
      <c r="D67" s="30">
        <f>IF(773.8238="","-",773.8238/1170176.53664*100)</f>
        <v>6.6128808412269813E-2</v>
      </c>
      <c r="E67" s="30">
        <f>IF(730.44736="","-",730.44736/1331532.33197*100)</f>
        <v>5.4857651028218324E-2</v>
      </c>
      <c r="F67" s="30">
        <f>IF(OR(1361213.47779="",740.01132="",773.8238=""),"-",(773.8238-740.01132)/1361213.47779*100)</f>
        <v>2.4839953873286905E-3</v>
      </c>
      <c r="G67" s="30">
        <f>IF(OR(1170176.53664="",730.44736="",773.8238=""),"-",(730.44736-773.8238)/1170176.53664*100)</f>
        <v>-3.7068287255655839E-3</v>
      </c>
    </row>
    <row r="68" spans="1:7" s="32" customFormat="1" x14ac:dyDescent="0.2">
      <c r="A68" s="126" t="s">
        <v>88</v>
      </c>
      <c r="B68" s="29">
        <v>671.34529999999995</v>
      </c>
      <c r="C68" s="30" t="s">
        <v>348</v>
      </c>
      <c r="D68" s="30">
        <f>IF(10.25096="","-",10.25096/1170176.53664*100)</f>
        <v>8.7601824844601756E-4</v>
      </c>
      <c r="E68" s="30">
        <f>IF(671.3453="","-",671.3453/1331532.33197*100)</f>
        <v>5.0419001017177376E-2</v>
      </c>
      <c r="F68" s="30" t="str">
        <f>IF(OR(1361213.47779="",""="",10.25096=""),"-",(10.25096-"")/1361213.47779*100)</f>
        <v>-</v>
      </c>
      <c r="G68" s="30">
        <f>IF(OR(1170176.53664="",671.3453="",10.25096=""),"-",(671.3453-10.25096)/1170176.53664*100)</f>
        <v>5.6495265398009163E-2</v>
      </c>
    </row>
    <row r="69" spans="1:7" s="33" customFormat="1" x14ac:dyDescent="0.2">
      <c r="A69" s="126" t="s">
        <v>67</v>
      </c>
      <c r="B69" s="29">
        <v>545.24712</v>
      </c>
      <c r="C69" s="30">
        <f>IF(OR(2314.69693="",545.24712=""),"-",545.24712/2314.69693*100)</f>
        <v>23.555875196153647</v>
      </c>
      <c r="D69" s="30">
        <f>IF(2314.69693="","-",2314.69693/1170176.53664*100)</f>
        <v>0.19780749805891101</v>
      </c>
      <c r="E69" s="30">
        <f>IF(545.24712="","-",545.24712/1331532.33197*100)</f>
        <v>4.0948845695192984E-2</v>
      </c>
      <c r="F69" s="30">
        <f>IF(OR(1361213.47779="",22.26872="",2314.69693=""),"-",(2314.69693-22.26872)/1361213.47779*100)</f>
        <v>0.16841063120546493</v>
      </c>
      <c r="G69" s="30">
        <f>IF(OR(1170176.53664="",545.24712="",2314.69693=""),"-",(545.24712-2314.69693)/1170176.53664*100)</f>
        <v>-0.15121221068751986</v>
      </c>
    </row>
    <row r="70" spans="1:7" s="33" customFormat="1" x14ac:dyDescent="0.2">
      <c r="A70" s="126" t="s">
        <v>38</v>
      </c>
      <c r="B70" s="29">
        <v>533.80687</v>
      </c>
      <c r="C70" s="30">
        <f>IF(OR(409.46126="",533.80687=""),"-",533.80687/409.46126*100)</f>
        <v>130.36810124601288</v>
      </c>
      <c r="D70" s="30">
        <f>IF(409.46126="","-",409.46126/1170176.53664*100)</f>
        <v>3.4991409174526034E-2</v>
      </c>
      <c r="E70" s="30">
        <f>IF(533.80687="","-",533.80687/1331532.33197*100)</f>
        <v>4.0089666407892147E-2</v>
      </c>
      <c r="F70" s="30">
        <f>IF(OR(1361213.47779="",568.81406="",409.46126=""),"-",(409.46126-568.81406)/1361213.47779*100)</f>
        <v>-1.1706672215640821E-2</v>
      </c>
      <c r="G70" s="30">
        <f>IF(OR(1170176.53664="",533.80687="",409.46126=""),"-",(533.80687-409.46126)/1170176.53664*100)</f>
        <v>1.0626226565526704E-2</v>
      </c>
    </row>
    <row r="71" spans="1:7" s="33" customFormat="1" x14ac:dyDescent="0.2">
      <c r="A71" s="126" t="s">
        <v>36</v>
      </c>
      <c r="B71" s="29">
        <v>518.84906000000001</v>
      </c>
      <c r="C71" s="30" t="s">
        <v>20</v>
      </c>
      <c r="D71" s="30">
        <f>IF(255.58072="","-",255.58072/1170176.53664*100)</f>
        <v>2.1841210449652725E-2</v>
      </c>
      <c r="E71" s="30">
        <f>IF(518.84906="","-",518.84906/1331532.33197*100)</f>
        <v>3.8966313287516173E-2</v>
      </c>
      <c r="F71" s="30">
        <f>IF(OR(1361213.47779="",177.25291="",255.58072=""),"-",(255.58072-177.25291)/1361213.47779*100)</f>
        <v>5.7542634772592199E-3</v>
      </c>
      <c r="G71" s="30">
        <f>IF(OR(1170176.53664="",518.84906="",255.58072=""),"-",(518.84906-255.58072)/1170176.53664*100)</f>
        <v>2.2498172861672525E-2</v>
      </c>
    </row>
    <row r="72" spans="1:7" s="33" customFormat="1" x14ac:dyDescent="0.2">
      <c r="A72" s="126" t="s">
        <v>39</v>
      </c>
      <c r="B72" s="29">
        <v>510.70503000000002</v>
      </c>
      <c r="C72" s="30">
        <f>IF(OR(1309.92535="",510.70503=""),"-",510.70503/1309.92535*100)</f>
        <v>38.987338476959778</v>
      </c>
      <c r="D72" s="30">
        <f>IF(1309.92535="","-",1309.92535/1170176.53664*100)</f>
        <v>0.11194254105976773</v>
      </c>
      <c r="E72" s="30">
        <f>IF(510.70503="","-",510.70503/1331532.33197*100)</f>
        <v>3.8354684879819079E-2</v>
      </c>
      <c r="F72" s="30">
        <f>IF(OR(1361213.47779="",1150.83465="",1309.92535=""),"-",(1309.92535-1150.83465)/1361213.47779*100)</f>
        <v>1.1687417337234414E-2</v>
      </c>
      <c r="G72" s="30">
        <f>IF(OR(1170176.53664="",510.70503="",1309.92535=""),"-",(510.70503-1309.92535)/1170176.53664*100)</f>
        <v>-6.829912367708639E-2</v>
      </c>
    </row>
    <row r="73" spans="1:7" s="33" customFormat="1" x14ac:dyDescent="0.2">
      <c r="A73" s="126" t="s">
        <v>106</v>
      </c>
      <c r="B73" s="35">
        <v>488.06799999999998</v>
      </c>
      <c r="C73" s="30">
        <f>IF(OR(557.97836="",488.068=""),"-",488.068/557.97836*100)</f>
        <v>87.470775748364147</v>
      </c>
      <c r="D73" s="30">
        <f>IF(557.97836="","-",557.97836/1170176.53664*100)</f>
        <v>4.7683263381964366E-2</v>
      </c>
      <c r="E73" s="30">
        <f>IF(488.068="","-",488.068/1331532.33197*100)</f>
        <v>3.6654611253630183E-2</v>
      </c>
      <c r="F73" s="30">
        <f>IF(OR(1361213.47779="",845.50047="",557.97836=""),"-",(557.97836-845.50047)/1361213.47779*100)</f>
        <v>-2.1122484804279702E-2</v>
      </c>
      <c r="G73" s="30">
        <f>IF(OR(1170176.53664="",488.068="",557.97836=""),"-",(488.068-557.97836)/1170176.53664*100)</f>
        <v>-5.9743429996244749E-3</v>
      </c>
    </row>
    <row r="74" spans="1:7" s="33" customFormat="1" x14ac:dyDescent="0.2">
      <c r="A74" s="126" t="s">
        <v>142</v>
      </c>
      <c r="B74" s="29">
        <v>483.62666999999999</v>
      </c>
      <c r="C74" s="30" t="s">
        <v>349</v>
      </c>
      <c r="D74" s="30">
        <f>IF(118.09341="","-",118.09341/1170176.53664*100)</f>
        <v>1.0091931114863137E-2</v>
      </c>
      <c r="E74" s="30">
        <f>IF(483.62667="","-",483.62667/1331532.33197*100)</f>
        <v>3.6321060960230321E-2</v>
      </c>
      <c r="F74" s="30">
        <f>IF(OR(1361213.47779="",305.8273="",118.09341=""),"-",(118.09341-305.8273)/1361213.47779*100)</f>
        <v>-1.3791656713889992E-2</v>
      </c>
      <c r="G74" s="30">
        <f>IF(OR(1170176.53664="",483.62667="",118.09341=""),"-",(483.62667-118.09341)/1170176.53664*100)</f>
        <v>3.1237445680596033E-2</v>
      </c>
    </row>
    <row r="75" spans="1:7" s="33" customFormat="1" x14ac:dyDescent="0.2">
      <c r="A75" s="126" t="s">
        <v>72</v>
      </c>
      <c r="B75" s="35">
        <v>460.17577999999997</v>
      </c>
      <c r="C75" s="30">
        <f>IF(OR(574.86521="",460.17578=""),"-",460.17578/574.86521*100)</f>
        <v>80.049335391160639</v>
      </c>
      <c r="D75" s="30">
        <f>IF(574.86521="","-",574.86521/1170176.53664*100)</f>
        <v>4.9126366150755843E-2</v>
      </c>
      <c r="E75" s="30">
        <f>IF(460.17578="","-",460.17578/1331532.33197*100)</f>
        <v>3.4559865273355445E-2</v>
      </c>
      <c r="F75" s="30">
        <f>IF(OR(1361213.47779="",775.00323="",574.86521=""),"-",(574.86521-775.00323)/1361213.47779*100)</f>
        <v>-1.4702912016778907E-2</v>
      </c>
      <c r="G75" s="30">
        <f>IF(OR(1170176.53664="",460.17578="",574.86521=""),"-",(460.17578-574.86521)/1170176.53664*100)</f>
        <v>-9.8010365452476846E-3</v>
      </c>
    </row>
    <row r="76" spans="1:7" s="33" customFormat="1" x14ac:dyDescent="0.2">
      <c r="A76" s="126" t="s">
        <v>126</v>
      </c>
      <c r="B76" s="29">
        <v>399.70445000000001</v>
      </c>
      <c r="C76" s="30">
        <f>IF(OR(267.32271="",399.70445=""),"-",399.70445/267.32271*100)</f>
        <v>149.52132200066356</v>
      </c>
      <c r="D76" s="30">
        <f>IF(267.32271="","-",267.32271/1170176.53664*100)</f>
        <v>2.2844647933856214E-2</v>
      </c>
      <c r="E76" s="30">
        <f>IF(399.70445="","-",399.70445/1331532.33197*100)</f>
        <v>3.0018381108976748E-2</v>
      </c>
      <c r="F76" s="30">
        <f>IF(OR(1361213.47779="",40.49731="",267.32271=""),"-",(267.32271-40.49731)/1361213.47779*100)</f>
        <v>1.6663470036181443E-2</v>
      </c>
      <c r="G76" s="30">
        <f>IF(OR(1170176.53664="",399.70445="",267.32271=""),"-",(399.70445-267.32271)/1170176.53664*100)</f>
        <v>1.1312971663242872E-2</v>
      </c>
    </row>
    <row r="77" spans="1:7" s="33" customFormat="1" x14ac:dyDescent="0.2">
      <c r="A77" s="126" t="s">
        <v>83</v>
      </c>
      <c r="B77" s="29">
        <v>337.58773000000002</v>
      </c>
      <c r="C77" s="30">
        <f>IF(OR(132.91601="",337.58773=""),"-",337.58773/132.91601*100)</f>
        <v>253.9857538606523</v>
      </c>
      <c r="D77" s="30">
        <f>IF(132.91601="","-",132.91601/1170176.53664*100)</f>
        <v>1.1358628876771869E-2</v>
      </c>
      <c r="E77" s="30">
        <f>IF(337.58773="","-",337.58773/1331532.33197*100)</f>
        <v>2.5353325780722091E-2</v>
      </c>
      <c r="F77" s="30">
        <f>IF(OR(1361213.47779="",656.81611="",132.91601=""),"-",(132.91601-656.81611)/1361213.47779*100)</f>
        <v>-3.8487725000385588E-2</v>
      </c>
      <c r="G77" s="30">
        <f>IF(OR(1170176.53664="",337.58773="",132.91601=""),"-",(337.58773-132.91601)/1170176.53664*100)</f>
        <v>1.7490670304130908E-2</v>
      </c>
    </row>
    <row r="78" spans="1:7" x14ac:dyDescent="0.2">
      <c r="A78" s="126" t="s">
        <v>128</v>
      </c>
      <c r="B78" s="29">
        <v>305.84127000000001</v>
      </c>
      <c r="C78" s="30" t="s">
        <v>350</v>
      </c>
      <c r="D78" s="30">
        <f>IF(63.79511="","-",63.79511/1170176.53664*100)</f>
        <v>5.4517509112923107E-3</v>
      </c>
      <c r="E78" s="30">
        <f>IF(305.84127="","-",305.84127/1331532.33197*100)</f>
        <v>2.2969120813424664E-2</v>
      </c>
      <c r="F78" s="30">
        <f>IF(OR(1361213.47779="",98.70973="",63.79511=""),"-",(63.79511-98.70973)/1361213.47779*100)</f>
        <v>-2.5649628489342962E-3</v>
      </c>
      <c r="G78" s="30">
        <f>IF(OR(1170176.53664="",305.84127="",63.79511=""),"-",(305.84127-63.79511)/1170176.53664*100)</f>
        <v>2.068458496826488E-2</v>
      </c>
    </row>
    <row r="79" spans="1:7" x14ac:dyDescent="0.2">
      <c r="A79" s="126" t="s">
        <v>140</v>
      </c>
      <c r="B79" s="29">
        <v>299.39999999999998</v>
      </c>
      <c r="C79" s="30" t="s">
        <v>344</v>
      </c>
      <c r="D79" s="30">
        <f>IF(179.7168="","-",179.7168/1170176.53664*100)</f>
        <v>1.5358092934937144E-2</v>
      </c>
      <c r="E79" s="30">
        <f>IF(299.4="","-",299.4/1331532.33197*100)</f>
        <v>2.2485372139408599E-2</v>
      </c>
      <c r="F79" s="30">
        <f>IF(OR(1361213.47779="",71.9935="",179.7168=""),"-",(179.7168-71.9935)/1361213.47779*100)</f>
        <v>7.9137697178031426E-3</v>
      </c>
      <c r="G79" s="30">
        <f>IF(OR(1170176.53664="",299.4="",179.7168=""),"-",(299.4-179.7168)/1170176.53664*100)</f>
        <v>1.0227790102821042E-2</v>
      </c>
    </row>
    <row r="80" spans="1:7" x14ac:dyDescent="0.2">
      <c r="A80" s="126" t="s">
        <v>135</v>
      </c>
      <c r="B80" s="29">
        <v>279.90911999999997</v>
      </c>
      <c r="C80" s="30" t="s">
        <v>102</v>
      </c>
      <c r="D80" s="30">
        <f>IF(171.72573="","-",171.72573/1170176.53664*100)</f>
        <v>1.4675198538255317E-2</v>
      </c>
      <c r="E80" s="30">
        <f>IF(279.90912="","-",279.90912/1331532.33197*100)</f>
        <v>2.1021578919219699E-2</v>
      </c>
      <c r="F80" s="30">
        <f>IF(OR(1361213.47779="",149.53541="",171.72573=""),"-",(171.72573-149.53541)/1361213.47779*100)</f>
        <v>1.6301866211336016E-3</v>
      </c>
      <c r="G80" s="30">
        <f>IF(OR(1170176.53664="",279.90912="",171.72573=""),"-",(279.90912-171.72573)/1170176.53664*100)</f>
        <v>9.2450486411762792E-3</v>
      </c>
    </row>
    <row r="81" spans="1:7" x14ac:dyDescent="0.2">
      <c r="A81" s="126" t="s">
        <v>100</v>
      </c>
      <c r="B81" s="35">
        <v>275.38569000000001</v>
      </c>
      <c r="C81" s="30" t="s">
        <v>351</v>
      </c>
      <c r="D81" s="30">
        <f>IF(68.83726="","-",68.83726/1170176.53664*100)</f>
        <v>5.8826388877747165E-3</v>
      </c>
      <c r="E81" s="30">
        <f>IF(275.38569="","-",275.38569/1331532.33197*100)</f>
        <v>2.0681862797320687E-2</v>
      </c>
      <c r="F81" s="30">
        <f>IF(OR(1361213.47779="",227.79067="",68.83726=""),"-",(68.83726-227.79067)/1361213.47779*100)</f>
        <v>-1.1677331483528142E-2</v>
      </c>
      <c r="G81" s="30">
        <f>IF(OR(1170176.53664="",275.38569="",68.83726=""),"-",(275.38569-68.83726)/1170176.53664*100)</f>
        <v>1.765104866938071E-2</v>
      </c>
    </row>
    <row r="82" spans="1:7" x14ac:dyDescent="0.2">
      <c r="A82" s="126" t="s">
        <v>101</v>
      </c>
      <c r="B82" s="29">
        <v>260.13842</v>
      </c>
      <c r="C82" s="30">
        <f>IF(OR(267.43318="",260.13842=""),"-",260.13842/267.43318*100)</f>
        <v>97.272305553110499</v>
      </c>
      <c r="D82" s="30">
        <f>IF(267.43318="","-",267.43318/1170176.53664*100)</f>
        <v>2.2854088389765305E-2</v>
      </c>
      <c r="E82" s="30">
        <f>IF(260.13842="","-",260.13842/1331532.33197*100)</f>
        <v>1.9536770813152214E-2</v>
      </c>
      <c r="F82" s="30">
        <f>IF(OR(1361213.47779="",100.98459="",267.43318=""),"-",(267.43318-100.98459)/1361213.47779*100)</f>
        <v>1.2227956357752043E-2</v>
      </c>
      <c r="G82" s="30">
        <f>IF(OR(1170176.53664="",260.13842="",267.43318=""),"-",(260.13842-267.43318)/1170176.53664*100)</f>
        <v>-6.2338969989484576E-4</v>
      </c>
    </row>
    <row r="83" spans="1:7" x14ac:dyDescent="0.2">
      <c r="A83" s="126" t="s">
        <v>122</v>
      </c>
      <c r="B83" s="29">
        <v>241.57955000000001</v>
      </c>
      <c r="C83" s="30">
        <f>IF(OR(602.29359="",241.57955=""),"-",241.57955/602.29359*100)</f>
        <v>40.109932101385972</v>
      </c>
      <c r="D83" s="30">
        <f>IF(602.29359="","-",602.29359/1170176.53664*100)</f>
        <v>5.1470318464033021E-2</v>
      </c>
      <c r="E83" s="30">
        <f>IF(241.57955="","-",241.57955/1331532.33197*100)</f>
        <v>1.8142972889181253E-2</v>
      </c>
      <c r="F83" s="30">
        <f>IF(OR(1361213.47779="",187.01941="",602.29359=""),"-",(602.29359-187.01941)/1361213.47779*100)</f>
        <v>3.0507645330857217E-2</v>
      </c>
      <c r="G83" s="30">
        <f>IF(OR(1170176.53664="",241.57955="",602.29359=""),"-",(241.57955-602.29359)/1170176.53664*100)</f>
        <v>-3.0825608675742241E-2</v>
      </c>
    </row>
    <row r="84" spans="1:7" x14ac:dyDescent="0.2">
      <c r="A84" s="126" t="s">
        <v>93</v>
      </c>
      <c r="B84" s="29">
        <v>234.12067999999999</v>
      </c>
      <c r="C84" s="30">
        <f>IF(OR(579.12718="",234.12068=""),"-",234.12068/579.12718*100)</f>
        <v>40.426470745165169</v>
      </c>
      <c r="D84" s="30">
        <f>IF(579.12718="","-",579.12718/1170176.53664*100)</f>
        <v>4.9490582135827424E-2</v>
      </c>
      <c r="E84" s="30">
        <f>IF(234.12068="","-",234.12068/1331532.33197*100)</f>
        <v>1.758280098641081E-2</v>
      </c>
      <c r="F84" s="30">
        <f>IF(OR(1361213.47779="",49.39613="",579.12718=""),"-",(579.12718-49.39613)/1361213.47779*100)</f>
        <v>3.8916089110434433E-2</v>
      </c>
      <c r="G84" s="30">
        <f>IF(OR(1170176.53664="",234.12068="",579.12718=""),"-",(234.12068-579.12718)/1170176.53664*100)</f>
        <v>-2.9483286427075216E-2</v>
      </c>
    </row>
    <row r="85" spans="1:7" x14ac:dyDescent="0.2">
      <c r="A85" s="126" t="s">
        <v>91</v>
      </c>
      <c r="B85" s="35">
        <v>231.70498000000001</v>
      </c>
      <c r="C85" s="30" t="s">
        <v>352</v>
      </c>
      <c r="D85" s="30">
        <f>IF(32.57365="","-",32.57365/1170176.53664*100)</f>
        <v>2.7836526353135337E-3</v>
      </c>
      <c r="E85" s="30">
        <f>IF(231.70498="","-",231.70498/1331532.33197*100)</f>
        <v>1.7401378429706835E-2</v>
      </c>
      <c r="F85" s="30">
        <f>IF(OR(1361213.47779="",1175.53676="",32.57365=""),"-",(32.57365-1175.53676)/1361213.47779*100)</f>
        <v>-8.3966484952504236E-2</v>
      </c>
      <c r="G85" s="30">
        <f>IF(OR(1170176.53664="",231.70498="",32.57365=""),"-",(231.70498-32.57365)/1170176.53664*100)</f>
        <v>1.7017204136717531E-2</v>
      </c>
    </row>
    <row r="86" spans="1:7" x14ac:dyDescent="0.2">
      <c r="A86" s="126" t="s">
        <v>95</v>
      </c>
      <c r="B86" s="29">
        <v>231.46487999999999</v>
      </c>
      <c r="C86" s="30">
        <f>IF(OR(183.36195="",231.46488=""),"-",231.46488/183.36195*100)</f>
        <v>126.23386695004062</v>
      </c>
      <c r="D86" s="30">
        <f>IF(183.36195="","-",183.36195/1170176.53664*100)</f>
        <v>1.5669597215348247E-2</v>
      </c>
      <c r="E86" s="30">
        <f>IF(231.46488="","-",231.46488/1331532.33197*100)</f>
        <v>1.7383346573158168E-2</v>
      </c>
      <c r="F86" s="30">
        <f>IF(OR(1361213.47779="",323.47451="",183.36195=""),"-",(183.36195-323.47451)/1361213.47779*100)</f>
        <v>-1.0293209866499408E-2</v>
      </c>
      <c r="G86" s="30">
        <f>IF(OR(1170176.53664="",231.46488="",183.36195=""),"-",(231.46488-183.36195)/1170176.53664*100)</f>
        <v>4.1107412850817275E-3</v>
      </c>
    </row>
    <row r="87" spans="1:7" x14ac:dyDescent="0.2">
      <c r="A87" s="126" t="s">
        <v>327</v>
      </c>
      <c r="B87" s="35">
        <v>211.45376999999999</v>
      </c>
      <c r="C87" s="30" t="s">
        <v>353</v>
      </c>
      <c r="D87" s="30">
        <f>IF(50.18097="","-",50.18097/1170176.53664*100)</f>
        <v>4.2883247466307698E-3</v>
      </c>
      <c r="E87" s="30">
        <f>IF(211.45377="","-",211.45377/1331532.33197*100)</f>
        <v>1.5880483329094568E-2</v>
      </c>
      <c r="F87" s="30">
        <f>IF(OR(1361213.47779="",43.23246="",50.18097=""),"-",(50.18097-43.23246)/1361213.47779*100)</f>
        <v>5.1046438441685596E-4</v>
      </c>
      <c r="G87" s="30">
        <f>IF(OR(1170176.53664="",211.45377="",50.18097=""),"-",(211.45377-50.18097)/1170176.53664*100)</f>
        <v>1.3781920500907709E-2</v>
      </c>
    </row>
    <row r="88" spans="1:7" x14ac:dyDescent="0.2">
      <c r="A88" s="126" t="s">
        <v>214</v>
      </c>
      <c r="B88" s="29">
        <v>196.42507000000001</v>
      </c>
      <c r="C88" s="30" t="s">
        <v>343</v>
      </c>
      <c r="D88" s="30">
        <f>IF(81.7743="","-",81.7743/1170176.53664*100)</f>
        <v>6.9882019882917474E-3</v>
      </c>
      <c r="E88" s="30">
        <f>IF(196.42507="","-",196.42507/1331532.33197*100)</f>
        <v>1.4751806267399413E-2</v>
      </c>
      <c r="F88" s="30">
        <f>IF(OR(1361213.47779="",2995.41757="",81.7743=""),"-",(81.7743-2995.41757)/1361213.47779*100)</f>
        <v>-0.21404748906324744</v>
      </c>
      <c r="G88" s="30">
        <f>IF(OR(1170176.53664="",196.42507="",81.7743=""),"-",(196.42507-81.7743)/1170176.53664*100)</f>
        <v>9.7977327702368586E-3</v>
      </c>
    </row>
    <row r="89" spans="1:7" x14ac:dyDescent="0.2">
      <c r="A89" s="126" t="s">
        <v>69</v>
      </c>
      <c r="B89" s="29">
        <v>190.19476</v>
      </c>
      <c r="C89" s="30" t="s">
        <v>354</v>
      </c>
      <c r="D89" s="30">
        <f>IF(20.45424="","-",20.45424/1170176.53664*100)</f>
        <v>1.7479618980168171E-3</v>
      </c>
      <c r="E89" s="30">
        <f>IF(190.19476="","-",190.19476/1331532.33197*100)</f>
        <v>1.4283900993872762E-2</v>
      </c>
      <c r="F89" s="30">
        <f>IF(OR(1361213.47779="",187.98417="",20.45424=""),"-",(20.45424-187.98417)/1361213.47779*100)</f>
        <v>-1.2307395771014071E-2</v>
      </c>
      <c r="G89" s="30">
        <f>IF(OR(1170176.53664="",190.19476="",20.45424=""),"-",(190.19476-20.45424)/1170176.53664*100)</f>
        <v>1.450554806776304E-2</v>
      </c>
    </row>
    <row r="90" spans="1:7" x14ac:dyDescent="0.2">
      <c r="A90" s="126" t="s">
        <v>328</v>
      </c>
      <c r="B90" s="29">
        <v>183.52502000000001</v>
      </c>
      <c r="C90" s="30" t="str">
        <f>IF(OR(""="",183.52502=""),"-",183.52502/""*100)</f>
        <v>-</v>
      </c>
      <c r="D90" s="30" t="str">
        <f>IF(""="","-",""/1170176.53664*100)</f>
        <v>-</v>
      </c>
      <c r="E90" s="30">
        <f>IF(183.52502="","-",183.52502/1331532.33197*100)</f>
        <v>1.378299389309421E-2</v>
      </c>
      <c r="F90" s="30" t="str">
        <f>IF(OR(1361213.47779="",""="",""=""),"-",(""-"")/1361213.47779*100)</f>
        <v>-</v>
      </c>
      <c r="G90" s="30" t="str">
        <f>IF(OR(1170176.53664="",183.52502="",""=""),"-",(183.52502-"")/1170176.53664*100)</f>
        <v>-</v>
      </c>
    </row>
    <row r="91" spans="1:7" x14ac:dyDescent="0.2">
      <c r="A91" s="126" t="s">
        <v>211</v>
      </c>
      <c r="B91" s="35">
        <v>162.96404999999999</v>
      </c>
      <c r="C91" s="30" t="str">
        <f>IF(OR(""="",162.96405=""),"-",162.96405/""*100)</f>
        <v>-</v>
      </c>
      <c r="D91" s="30" t="str">
        <f>IF(""="","-",""/1170176.53664*100)</f>
        <v>-</v>
      </c>
      <c r="E91" s="30">
        <f>IF(162.96405="","-",162.96405/1331532.33197*100)</f>
        <v>1.2238835369389413E-2</v>
      </c>
      <c r="F91" s="30" t="str">
        <f>IF(OR(1361213.47779="",362.38012="",""=""),"-",(""-362.38012)/1361213.47779*100)</f>
        <v>-</v>
      </c>
      <c r="G91" s="30" t="str">
        <f>IF(OR(1170176.53664="",162.96405="",""=""),"-",(162.96405-"")/1170176.53664*100)</f>
        <v>-</v>
      </c>
    </row>
    <row r="92" spans="1:7" x14ac:dyDescent="0.2">
      <c r="A92" s="126" t="s">
        <v>78</v>
      </c>
      <c r="B92" s="35">
        <v>157.16102000000001</v>
      </c>
      <c r="C92" s="30">
        <f>IF(OR(139.76087="",157.16102=""),"-",157.16102/139.76087*100)</f>
        <v>112.44994396500249</v>
      </c>
      <c r="D92" s="30">
        <f>IF(139.76087="","-",139.76087/1170176.53664*100)</f>
        <v>1.1943571386357139E-2</v>
      </c>
      <c r="E92" s="30">
        <f>IF(157.16102="","-",157.16102/1331532.33197*100)</f>
        <v>1.1803019440577949E-2</v>
      </c>
      <c r="F92" s="30">
        <f>IF(OR(1361213.47779="",67.65612="",139.76087=""),"-",(139.76087-67.65612)/1361213.47779*100)</f>
        <v>5.2970934520179579E-3</v>
      </c>
      <c r="G92" s="30">
        <f>IF(OR(1170176.53664="",157.16102="",139.76087=""),"-",(157.16102-139.76087)/1170176.53664*100)</f>
        <v>1.4869679450215366E-3</v>
      </c>
    </row>
    <row r="93" spans="1:7" x14ac:dyDescent="0.2">
      <c r="A93" s="126" t="s">
        <v>123</v>
      </c>
      <c r="B93" s="35">
        <v>150.50017</v>
      </c>
      <c r="C93" s="30">
        <f>IF(OR(129.00573="",150.50017=""),"-",150.50017/129.00573*100)</f>
        <v>116.66161650339097</v>
      </c>
      <c r="D93" s="30">
        <f>IF(129.00573="","-",129.00573/1170176.53664*100)</f>
        <v>1.1024467331264571E-2</v>
      </c>
      <c r="E93" s="30">
        <f>IF(150.50017="","-",150.50017/1331532.33197*100)</f>
        <v>1.1302779991630787E-2</v>
      </c>
      <c r="F93" s="30">
        <f>IF(OR(1361213.47779="",264.90504="",129.00573=""),"-",(129.00573-264.90504)/1361213.47779*100)</f>
        <v>-9.9836882470954891E-3</v>
      </c>
      <c r="G93" s="30">
        <f>IF(OR(1170176.53664="",150.50017="",129.00573=""),"-",(150.50017-129.00573)/1170176.53664*100)</f>
        <v>1.8368544682769239E-3</v>
      </c>
    </row>
    <row r="94" spans="1:7" x14ac:dyDescent="0.2">
      <c r="A94" s="126" t="s">
        <v>70</v>
      </c>
      <c r="B94" s="35">
        <v>137.48983999999999</v>
      </c>
      <c r="C94" s="30">
        <f>IF(OR(789.02332="",137.48984=""),"-",137.48984/789.02332*100)</f>
        <v>17.425320204731083</v>
      </c>
      <c r="D94" s="30">
        <f>IF(789.02332="","-",789.02332/1170176.53664*100)</f>
        <v>6.7427716698676185E-2</v>
      </c>
      <c r="E94" s="30">
        <f>IF(137.48984="","-",137.48984/1331532.33197*100)</f>
        <v>1.0325685430152791E-2</v>
      </c>
      <c r="F94" s="30">
        <f>IF(OR(1361213.47779="",103.39917="",789.02332=""),"-",(789.02332-103.39917)/1361213.47779*100)</f>
        <v>5.0368598400388015E-2</v>
      </c>
      <c r="G94" s="30">
        <f>IF(OR(1170176.53664="",137.48984="",789.02332=""),"-",(137.48984-789.02332)/1170176.53664*100)</f>
        <v>-5.5678221157192939E-2</v>
      </c>
    </row>
    <row r="95" spans="1:7" x14ac:dyDescent="0.2">
      <c r="A95" s="126" t="s">
        <v>86</v>
      </c>
      <c r="B95" s="35">
        <v>104.18641</v>
      </c>
      <c r="C95" s="30">
        <f>IF(OR(249.24138="",104.18641=""),"-",104.18641/249.24138*100)</f>
        <v>41.801409541224658</v>
      </c>
      <c r="D95" s="30">
        <f>IF(249.24138="","-",249.24138/1170176.53664*100)</f>
        <v>2.1299468259350175E-2</v>
      </c>
      <c r="E95" s="30">
        <f>IF(104.18641="","-",104.18641/1331532.33197*100)</f>
        <v>7.8245497686005392E-3</v>
      </c>
      <c r="F95" s="30">
        <f>IF(OR(1361213.47779="",71.81214="",249.24138=""),"-",(249.24138-71.81214)/1361213.47779*100)</f>
        <v>1.3034637321404242E-2</v>
      </c>
      <c r="G95" s="30">
        <f>IF(OR(1170176.53664="",104.18641="",249.24138=""),"-",(104.18641-249.24138)/1170176.53664*100)</f>
        <v>-1.2395990302156053E-2</v>
      </c>
    </row>
    <row r="96" spans="1:7" x14ac:dyDescent="0.2">
      <c r="A96" s="126" t="s">
        <v>85</v>
      </c>
      <c r="B96" s="29">
        <v>87.93338</v>
      </c>
      <c r="C96" s="30">
        <f>IF(OR(564.59884="",87.93338=""),"-",87.93338/564.59884*100)</f>
        <v>15.574488250808308</v>
      </c>
      <c r="D96" s="30">
        <f>IF(564.59884="","-",564.59884/1170176.53664*100)</f>
        <v>4.824903100699382E-2</v>
      </c>
      <c r="E96" s="30">
        <f>IF(87.93338="","-",87.93338/1331532.33197*100)</f>
        <v>6.6039237567669645E-3</v>
      </c>
      <c r="F96" s="30">
        <f>IF(OR(1361213.47779="",1644.32272="",564.59884=""),"-",(564.59884-1644.32272)/1361213.47779*100)</f>
        <v>-7.9320686844284505E-2</v>
      </c>
      <c r="G96" s="30">
        <f>IF(OR(1170176.53664="",87.93338="",564.59884=""),"-",(87.93338-564.59884)/1170176.53664*100)</f>
        <v>-4.0734491341680709E-2</v>
      </c>
    </row>
    <row r="97" spans="1:7" x14ac:dyDescent="0.2">
      <c r="A97" s="126" t="s">
        <v>104</v>
      </c>
      <c r="B97" s="35">
        <v>85.760530000000003</v>
      </c>
      <c r="C97" s="30">
        <f>IF(OR(98.84948="",85.76053=""),"-",85.76053/98.84948*100)</f>
        <v>86.75870626734708</v>
      </c>
      <c r="D97" s="30">
        <f>IF(98.84948="","-",98.84948/1170176.53664*100)</f>
        <v>8.4473989098971854E-3</v>
      </c>
      <c r="E97" s="30">
        <f>IF(85.76053="","-",85.76053/1331532.33197*100)</f>
        <v>6.4407395855808807E-3</v>
      </c>
      <c r="F97" s="30">
        <f>IF(OR(1361213.47779="",199.5923="",98.84948=""),"-",(98.84948-199.5923)/1361213.47779*100)</f>
        <v>-7.4009566936966515E-3</v>
      </c>
      <c r="G97" s="30">
        <f>IF(OR(1170176.53664="",85.76053="",98.84948=""),"-",(85.76053-98.84948)/1170176.53664*100)</f>
        <v>-1.1185449024284067E-3</v>
      </c>
    </row>
    <row r="98" spans="1:7" x14ac:dyDescent="0.2">
      <c r="A98" s="126" t="s">
        <v>213</v>
      </c>
      <c r="B98" s="29">
        <v>83.750280000000004</v>
      </c>
      <c r="C98" s="30">
        <f>IF(OR(255.3744="",83.75028=""),"-",83.75028/255.3744*100)</f>
        <v>32.795096141195046</v>
      </c>
      <c r="D98" s="30">
        <f>IF(255.3744="","-",255.3744/1170176.53664*100)</f>
        <v>2.1823578921969521E-2</v>
      </c>
      <c r="E98" s="30">
        <f>IF(83.75028="","-",83.75028/1331532.33197*100)</f>
        <v>6.2897669090837315E-3</v>
      </c>
      <c r="F98" s="30">
        <f>IF(OR(1361213.47779="",8.71721="",255.3744=""),"-",(255.3744-8.71721)/1361213.47779*100)</f>
        <v>1.8120389933286633E-2</v>
      </c>
      <c r="G98" s="30">
        <f>IF(OR(1170176.53664="",83.75028="",255.3744=""),"-",(83.75028-255.3744)/1170176.53664*100)</f>
        <v>-1.466651523306004E-2</v>
      </c>
    </row>
    <row r="99" spans="1:7" x14ac:dyDescent="0.2">
      <c r="A99" s="126" t="s">
        <v>90</v>
      </c>
      <c r="B99" s="35">
        <v>80.473640000000003</v>
      </c>
      <c r="C99" s="30">
        <f>IF(OR(89.09929="",80.47364=""),"-",80.47364/89.09929*100)</f>
        <v>90.319058659165535</v>
      </c>
      <c r="D99" s="30">
        <f>IF(89.09929="","-",89.09929/1170176.53664*100)</f>
        <v>7.6141750590758102E-3</v>
      </c>
      <c r="E99" s="30">
        <f>IF(80.47364="","-",80.47364/1331532.33197*100)</f>
        <v>6.0436865157408072E-3</v>
      </c>
      <c r="F99" s="30">
        <f>IF(OR(1361213.47779="",60.1192="",89.09929=""),"-",(89.09929-60.1192)/1361213.47779*100)</f>
        <v>2.128989351989863E-3</v>
      </c>
      <c r="G99" s="30">
        <f>IF(OR(1170176.53664="",80.47364="",89.09929=""),"-",(80.47364-89.09929)/1170176.53664*100)</f>
        <v>-7.3712382105757762E-4</v>
      </c>
    </row>
    <row r="100" spans="1:7" x14ac:dyDescent="0.2">
      <c r="A100" s="126" t="s">
        <v>314</v>
      </c>
      <c r="B100" s="29">
        <v>75.189430000000002</v>
      </c>
      <c r="C100" s="30" t="str">
        <f>IF(OR(""="",75.18943=""),"-",75.18943/""*100)</f>
        <v>-</v>
      </c>
      <c r="D100" s="30" t="str">
        <f>IF(""="","-",""/1170176.53664*100)</f>
        <v>-</v>
      </c>
      <c r="E100" s="30">
        <f>IF(75.18943="","-",75.18943/1331532.33197*100)</f>
        <v>5.6468347177689154E-3</v>
      </c>
      <c r="F100" s="30" t="str">
        <f>IF(OR(1361213.47779="",0.20947="",""=""),"-",(""-0.20947)/1361213.47779*100)</f>
        <v>-</v>
      </c>
      <c r="G100" s="30" t="str">
        <f>IF(OR(1170176.53664="",75.18943="",""=""),"-",(75.18943-"")/1170176.53664*100)</f>
        <v>-</v>
      </c>
    </row>
    <row r="101" spans="1:7" x14ac:dyDescent="0.2">
      <c r="A101" s="126" t="s">
        <v>80</v>
      </c>
      <c r="B101" s="29">
        <v>67.95505</v>
      </c>
      <c r="C101" s="30" t="s">
        <v>355</v>
      </c>
      <c r="D101" s="30">
        <f>IF(1.28211="","-",1.28211/1170176.53664*100)</f>
        <v>1.0956551937722162E-4</v>
      </c>
      <c r="E101" s="30">
        <f>IF(67.95505="","-",67.95505/1331532.33197*100)</f>
        <v>5.1035223380164274E-3</v>
      </c>
      <c r="F101" s="30" t="str">
        <f>IF(OR(1361213.47779="",""="",1.28211=""),"-",(1.28211-"")/1361213.47779*100)</f>
        <v>-</v>
      </c>
      <c r="G101" s="30">
        <f>IF(OR(1170176.53664="",67.95505="",1.28211=""),"-",(67.95505-1.28211)/1170176.53664*100)</f>
        <v>5.6976821797711059E-3</v>
      </c>
    </row>
    <row r="102" spans="1:7" x14ac:dyDescent="0.2">
      <c r="A102" s="126" t="s">
        <v>329</v>
      </c>
      <c r="B102" s="35">
        <v>63.80829</v>
      </c>
      <c r="C102" s="30" t="str">
        <f>IF(OR(""="",63.80829=""),"-",63.80829/""*100)</f>
        <v>-</v>
      </c>
      <c r="D102" s="30" t="str">
        <f>IF(""="","-",""/1170176.53664*100)</f>
        <v>-</v>
      </c>
      <c r="E102" s="30">
        <f>IF(63.80829="","-",63.80829/1331532.33197*100)</f>
        <v>4.7920946767845843E-3</v>
      </c>
      <c r="F102" s="30" t="str">
        <f>IF(OR(1361213.47779="",17.48765="",""=""),"-",(""-17.48765)/1361213.47779*100)</f>
        <v>-</v>
      </c>
      <c r="G102" s="30" t="str">
        <f>IF(OR(1170176.53664="",63.80829="",""=""),"-",(63.80829-"")/1170176.53664*100)</f>
        <v>-</v>
      </c>
    </row>
    <row r="103" spans="1:7" x14ac:dyDescent="0.2">
      <c r="A103" s="126" t="s">
        <v>132</v>
      </c>
      <c r="B103" s="29">
        <v>63.356549999999999</v>
      </c>
      <c r="C103" s="30" t="s">
        <v>356</v>
      </c>
      <c r="D103" s="30">
        <f>IF(1.07711="","-",1.07711/1170176.53664*100)</f>
        <v>9.204679518637182E-5</v>
      </c>
      <c r="E103" s="30">
        <f>IF(63.35655="","-",63.35655/1331532.33197*100)</f>
        <v>4.758168350765023E-3</v>
      </c>
      <c r="F103" s="30">
        <f>IF(OR(1361213.47779="",46.38519="",1.07711=""),"-",(1.07711-46.38519)/1361213.47779*100)</f>
        <v>-3.3285065670639702E-3</v>
      </c>
      <c r="G103" s="30">
        <f>IF(OR(1170176.53664="",63.35655="",1.07711=""),"-",(63.35655-1.07711)/1170176.53664*100)</f>
        <v>5.3222260103442847E-3</v>
      </c>
    </row>
    <row r="104" spans="1:7" x14ac:dyDescent="0.2">
      <c r="A104" s="126" t="s">
        <v>292</v>
      </c>
      <c r="B104" s="35">
        <v>60.503999999999998</v>
      </c>
      <c r="C104" s="30">
        <f>IF(OR(87.612="",60.504=""),"-",60.504/87.612*100)</f>
        <v>69.059033009176829</v>
      </c>
      <c r="D104" s="30">
        <f>IF(87.612="","-",87.612/1170176.53664*100)</f>
        <v>7.4870754332133273E-3</v>
      </c>
      <c r="E104" s="30">
        <f>IF(60.504="","-",60.504/1331532.33197*100)</f>
        <v>4.5439377285329922E-3</v>
      </c>
      <c r="F104" s="30">
        <f>IF(OR(1361213.47779="",23.32711="",87.612=""),"-",(87.612-23.32711)/1361213.47779*100)</f>
        <v>4.7226163308616235E-3</v>
      </c>
      <c r="G104" s="30">
        <f>IF(OR(1170176.53664="",60.504="",87.612=""),"-",(60.504-87.612)/1170176.53664*100)</f>
        <v>-2.3165735383685669E-3</v>
      </c>
    </row>
    <row r="105" spans="1:7" x14ac:dyDescent="0.2">
      <c r="A105" s="126" t="s">
        <v>97</v>
      </c>
      <c r="B105" s="29">
        <v>59.401730000000001</v>
      </c>
      <c r="C105" s="30">
        <f>IF(OR(74.83124="",59.40173=""),"-",59.40173/74.83124*100)</f>
        <v>79.380924330533617</v>
      </c>
      <c r="D105" s="30">
        <f>IF(74.83124="","-",74.83124/1170176.53664*100)</f>
        <v>6.3948675825331062E-3</v>
      </c>
      <c r="E105" s="30">
        <f>IF(59.40173="","-",59.40173/1331532.33197*100)</f>
        <v>4.4611556605700471E-3</v>
      </c>
      <c r="F105" s="30">
        <f>IF(OR(1361213.47779="",30.70499="",74.83124=""),"-",(74.83124-30.70499)/1361213.47779*100)</f>
        <v>3.2416847702420076E-3</v>
      </c>
      <c r="G105" s="30">
        <f>IF(OR(1170176.53664="",59.40173="",74.83124=""),"-",(59.40173-74.83124)/1170176.53664*100)</f>
        <v>-1.3185625858046766E-3</v>
      </c>
    </row>
    <row r="106" spans="1:7" x14ac:dyDescent="0.2">
      <c r="A106" s="127" t="s">
        <v>94</v>
      </c>
      <c r="B106" s="36">
        <v>49.793750000000003</v>
      </c>
      <c r="C106" s="37" t="s">
        <v>357</v>
      </c>
      <c r="D106" s="37">
        <f>IF(0.59769="","-",0.59769/1170176.53664*100)</f>
        <v>5.1076908593312265E-5</v>
      </c>
      <c r="E106" s="37">
        <f>IF(49.79375="","-",49.79375/1331532.33197*100)</f>
        <v>3.739582494878681E-3</v>
      </c>
      <c r="F106" s="37">
        <f>IF(OR(1361213.47779="",81.87974="",0.59769=""),"-",(0.59769-81.87974)/1361213.47779*100)</f>
        <v>-5.9712933589201296E-3</v>
      </c>
      <c r="G106" s="37">
        <f>IF(OR(1170176.53664="",49.79375="",0.59769=""),"-",(49.79375-0.59769)/1170176.53664*100)</f>
        <v>4.204157104470722E-3</v>
      </c>
    </row>
    <row r="107" spans="1:7" x14ac:dyDescent="0.2">
      <c r="A107" s="28"/>
      <c r="B107" s="38"/>
      <c r="C107" s="39"/>
      <c r="D107" s="39"/>
      <c r="E107" s="39"/>
      <c r="F107" s="39"/>
      <c r="G107" s="39"/>
    </row>
    <row r="108" spans="1:7" ht="16.5" customHeight="1" x14ac:dyDescent="0.2">
      <c r="A108" s="1" t="s">
        <v>291</v>
      </c>
      <c r="B108" s="3"/>
      <c r="C108" s="3"/>
      <c r="D108" s="3"/>
      <c r="E108" s="3"/>
    </row>
    <row r="109" spans="1:7" ht="15.75" customHeight="1" x14ac:dyDescent="0.2">
      <c r="A109" s="2" t="s">
        <v>386</v>
      </c>
      <c r="B109" s="2"/>
      <c r="C109" s="2"/>
      <c r="D109" s="2"/>
      <c r="E109" s="2"/>
    </row>
  </sheetData>
  <mergeCells count="10">
    <mergeCell ref="A109:E109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2:L122"/>
  <sheetViews>
    <sheetView zoomScaleNormal="100" workbookViewId="0">
      <selection activeCell="A4" sqref="A4:A119"/>
    </sheetView>
  </sheetViews>
  <sheetFormatPr defaultRowHeight="12" x14ac:dyDescent="0.2"/>
  <cols>
    <col min="1" max="1" width="30.375" style="7" customWidth="1"/>
    <col min="2" max="2" width="12.625" style="7" customWidth="1"/>
    <col min="3" max="3" width="10.25" style="7" customWidth="1"/>
    <col min="4" max="5" width="8.5" style="7" customWidth="1"/>
    <col min="6" max="6" width="9.625" style="7" customWidth="1"/>
    <col min="7" max="7" width="10.125" style="7" customWidth="1"/>
    <col min="8" max="16384" width="9" style="7"/>
  </cols>
  <sheetData>
    <row r="2" spans="1:12" x14ac:dyDescent="0.2">
      <c r="A2" s="40" t="s">
        <v>393</v>
      </c>
      <c r="B2" s="40"/>
      <c r="C2" s="40"/>
      <c r="D2" s="40"/>
      <c r="E2" s="40"/>
      <c r="F2" s="40"/>
      <c r="G2" s="40"/>
    </row>
    <row r="3" spans="1:12" x14ac:dyDescent="0.2">
      <c r="A3" s="116"/>
    </row>
    <row r="4" spans="1:12" ht="55.5" customHeight="1" x14ac:dyDescent="0.2">
      <c r="A4" s="8"/>
      <c r="B4" s="83" t="s">
        <v>317</v>
      </c>
      <c r="C4" s="10"/>
      <c r="D4" s="9" t="s">
        <v>105</v>
      </c>
      <c r="E4" s="10"/>
      <c r="F4" s="11" t="s">
        <v>117</v>
      </c>
      <c r="G4" s="12"/>
    </row>
    <row r="5" spans="1:12" ht="21" customHeight="1" x14ac:dyDescent="0.2">
      <c r="A5" s="13"/>
      <c r="B5" s="15" t="s">
        <v>299</v>
      </c>
      <c r="C5" s="15" t="s">
        <v>320</v>
      </c>
      <c r="D5" s="16" t="s">
        <v>319</v>
      </c>
      <c r="E5" s="16"/>
      <c r="F5" s="16" t="s">
        <v>388</v>
      </c>
      <c r="G5" s="9"/>
    </row>
    <row r="6" spans="1:12" ht="33.75" customHeight="1" x14ac:dyDescent="0.2">
      <c r="A6" s="17"/>
      <c r="B6" s="19"/>
      <c r="C6" s="19"/>
      <c r="D6" s="20">
        <v>2020</v>
      </c>
      <c r="E6" s="20">
        <v>2021</v>
      </c>
      <c r="F6" s="20">
        <v>2020</v>
      </c>
      <c r="G6" s="21">
        <v>2021</v>
      </c>
    </row>
    <row r="7" spans="1:12" x14ac:dyDescent="0.2">
      <c r="A7" s="128" t="s">
        <v>120</v>
      </c>
      <c r="B7" s="117">
        <v>3266364.9635600001</v>
      </c>
      <c r="C7" s="117">
        <f>IF(2393616.81978="","-",3266364.96356/2393616.81978*100)</f>
        <v>136.46148107616554</v>
      </c>
      <c r="D7" s="117">
        <v>100</v>
      </c>
      <c r="E7" s="117">
        <v>100</v>
      </c>
      <c r="F7" s="117">
        <f>IF(2808282.38613="","-",(2393616.81978-2808282.38613)/2808282.38613*100)</f>
        <v>-14.765807327568533</v>
      </c>
      <c r="G7" s="117">
        <f>IF(2393616.81978="","-",(3266364.96356-2393616.81978)/2393616.81978*100)</f>
        <v>36.461481076165533</v>
      </c>
      <c r="H7" s="54"/>
      <c r="I7" s="54"/>
      <c r="J7" s="54"/>
      <c r="K7" s="54"/>
      <c r="L7" s="54"/>
    </row>
    <row r="8" spans="1:12" x14ac:dyDescent="0.2">
      <c r="A8" s="129" t="s">
        <v>124</v>
      </c>
      <c r="B8" s="118"/>
      <c r="C8" s="118"/>
      <c r="D8" s="118"/>
      <c r="E8" s="118"/>
      <c r="F8" s="118"/>
      <c r="G8" s="118"/>
    </row>
    <row r="9" spans="1:12" ht="16.5" customHeight="1" x14ac:dyDescent="0.2">
      <c r="A9" s="125" t="s">
        <v>136</v>
      </c>
      <c r="B9" s="26">
        <v>1548552.15854</v>
      </c>
      <c r="C9" s="27">
        <f>IF(1118395.29231="","-",1548552.15854/1118395.29231*100)</f>
        <v>138.4619703952373</v>
      </c>
      <c r="D9" s="27">
        <f>IF(1118395.29231="","-",1118395.29231/2393616.81978*100)</f>
        <v>46.72407392310992</v>
      </c>
      <c r="E9" s="27">
        <f>IF(1548552.15854="","-",1548552.15854/3266364.96356*100)</f>
        <v>47.409036522735605</v>
      </c>
      <c r="F9" s="27">
        <f>IF(2808282.38613="","-",(1118395.29231-1375278.96616)/2808282.38613*100)</f>
        <v>-9.1473590803666625</v>
      </c>
      <c r="G9" s="27">
        <f>IF(2393616.81978="","-",(1548552.15854-1118395.29231)/2393616.81978*100)</f>
        <v>17.970999479755339</v>
      </c>
    </row>
    <row r="10" spans="1:12" x14ac:dyDescent="0.2">
      <c r="A10" s="126" t="s">
        <v>2</v>
      </c>
      <c r="B10" s="29">
        <v>420084.93069000001</v>
      </c>
      <c r="C10" s="30">
        <f>IF(OR(294046.1009="",420084.93069=""),"-",420084.93069/294046.1009*100)</f>
        <v>142.86362900382875</v>
      </c>
      <c r="D10" s="30">
        <f>IF(294046.1009="","-",294046.1009/2393616.81978*100)</f>
        <v>12.284593693949148</v>
      </c>
      <c r="E10" s="30">
        <f>IF(420084.93069="","-",420084.93069/3266364.96356*100)</f>
        <v>12.86093058725902</v>
      </c>
      <c r="F10" s="30">
        <f>IF(OR(2808282.38613="",398735.55201="",294046.1009=""),"-",(294046.1009-398735.55201)/2808282.38613*100)</f>
        <v>-3.7278819119849622</v>
      </c>
      <c r="G10" s="30">
        <f>IF(OR(2393616.81978="",420084.93069="",294046.1009=""),"-",(420084.93069-294046.1009)/2393616.81978*100)</f>
        <v>5.2656226656021055</v>
      </c>
    </row>
    <row r="11" spans="1:12" s="33" customFormat="1" x14ac:dyDescent="0.2">
      <c r="A11" s="126" t="s">
        <v>4</v>
      </c>
      <c r="B11" s="29">
        <v>271900.99303999997</v>
      </c>
      <c r="C11" s="30">
        <f>IF(OR(197851.2621="",271900.99304=""),"-",271900.99304/197851.2621*100)</f>
        <v>137.42696920607614</v>
      </c>
      <c r="D11" s="30">
        <f>IF(197851.2621="","-",197851.2621/2393616.81978*100)</f>
        <v>8.2657867568872092</v>
      </c>
      <c r="E11" s="30">
        <f>IF(271900.99304="","-",271900.99304/3266364.96356*100)</f>
        <v>8.3242686005196429</v>
      </c>
      <c r="F11" s="30">
        <f>IF(OR(2808282.38613="",238032.18999="",197851.2621=""),"-",(197851.2621-238032.18999)/2808282.38613*100)</f>
        <v>-1.4308008371398866</v>
      </c>
      <c r="G11" s="30">
        <f>IF(OR(2393616.81978="",271900.99304="",197851.2621=""),"-",(271900.99304-197851.2621)/2393616.81978*100)</f>
        <v>3.0936334641400944</v>
      </c>
    </row>
    <row r="12" spans="1:12" s="33" customFormat="1" x14ac:dyDescent="0.2">
      <c r="A12" s="126" t="s">
        <v>3</v>
      </c>
      <c r="B12" s="29">
        <v>220026.30830999999</v>
      </c>
      <c r="C12" s="30">
        <f>IF(OR(160819.39079="",220026.30831=""),"-",220026.30831/160819.39079*100)</f>
        <v>136.81578274184182</v>
      </c>
      <c r="D12" s="30">
        <f>IF(160819.39079="","-",160819.39079/2393616.81978*100)</f>
        <v>6.7186773363658556</v>
      </c>
      <c r="E12" s="30">
        <f>IF(220026.30831="","-",220026.30831/3266364.96356*100)</f>
        <v>6.7361213693093891</v>
      </c>
      <c r="F12" s="30">
        <f>IF(OR(2808282.38613="",200707.15474="",160819.39079=""),"-",(160819.39079-200707.15474)/2808282.38613*100)</f>
        <v>-1.4203615757092001</v>
      </c>
      <c r="G12" s="30">
        <f>IF(OR(2393616.81978="",220026.30831="",160819.39079=""),"-",(220026.30831-160819.39079)/2393616.81978*100)</f>
        <v>2.4735336512818189</v>
      </c>
    </row>
    <row r="13" spans="1:12" s="33" customFormat="1" x14ac:dyDescent="0.2">
      <c r="A13" s="126" t="s">
        <v>5</v>
      </c>
      <c r="B13" s="29">
        <v>124519.96236</v>
      </c>
      <c r="C13" s="30">
        <f>IF(OR(93094.12442="",124519.96236=""),"-",124519.96236/93094.12442*100)</f>
        <v>133.75705839202092</v>
      </c>
      <c r="D13" s="30">
        <f>IF(93094.12442="","-",93094.12442/2393616.81978*100)</f>
        <v>3.889265969837076</v>
      </c>
      <c r="E13" s="30">
        <f>IF(124519.96236="","-",124519.96236/3266364.96356*100)</f>
        <v>3.8121876688355769</v>
      </c>
      <c r="F13" s="30">
        <f>IF(OR(2808282.38613="",93971.30847="",93094.12442=""),"-",(93094.12442-93971.30847)/2808282.38613*100)</f>
        <v>-3.123560701489243E-2</v>
      </c>
      <c r="G13" s="30">
        <f>IF(OR(2393616.81978="",124519.96236="",93094.12442=""),"-",(124519.96236-93094.12442)/2393616.81978*100)</f>
        <v>1.3129017844589008</v>
      </c>
    </row>
    <row r="14" spans="1:12" s="33" customFormat="1" x14ac:dyDescent="0.2">
      <c r="A14" s="126" t="s">
        <v>307</v>
      </c>
      <c r="B14" s="29">
        <v>86489.062160000001</v>
      </c>
      <c r="C14" s="30">
        <f>IF(OR(66048.39994="",86489.06216=""),"-",86489.06216/66048.39994*100)</f>
        <v>130.9480051576856</v>
      </c>
      <c r="D14" s="30">
        <f>IF(66048.39994="","-",66048.39994/2393616.81978*100)</f>
        <v>2.7593556075558738</v>
      </c>
      <c r="E14" s="30">
        <f>IF(86489.06216="","-",86489.06216/3266364.96356*100)</f>
        <v>2.647868903961542</v>
      </c>
      <c r="F14" s="30">
        <f>IF(OR(2808282.38613="",76428.12446="",66048.39994=""),"-",(66048.39994-76428.12446)/2808282.38613*100)</f>
        <v>-0.36961113922392808</v>
      </c>
      <c r="G14" s="30">
        <f>IF(OR(2393616.81978="",86489.06216="",66048.39994=""),"-",(86489.06216-66048.39994)/2393616.81978*100)</f>
        <v>0.85396551574527801</v>
      </c>
    </row>
    <row r="15" spans="1:12" s="33" customFormat="1" x14ac:dyDescent="0.2">
      <c r="A15" s="126" t="s">
        <v>42</v>
      </c>
      <c r="B15" s="119">
        <v>63833.860030000003</v>
      </c>
      <c r="C15" s="93">
        <f>IF(OR(48560.99087="",63833.86003=""),"-",63833.86003/48560.99087*100)</f>
        <v>131.45090099352828</v>
      </c>
      <c r="D15" s="93">
        <f>IF(48560.99087="","-",48560.99087/2393616.81978*100)</f>
        <v>2.0287704560190756</v>
      </c>
      <c r="E15" s="93">
        <f>IF(63833.86003="","-",63833.86003/3266364.96356*100)</f>
        <v>1.9542782494344324</v>
      </c>
      <c r="F15" s="93">
        <f>IF(OR(2808282.38613="",57113.88832="",48560.99087=""),"-",(48560.99087-57113.88832)/2808282.38613*100)</f>
        <v>-0.30455973702083639</v>
      </c>
      <c r="G15" s="93">
        <f>IF(OR(2393616.81978="",63833.86003="",48560.99087=""),"-",(63833.86003-48560.99087)/2393616.81978*100)</f>
        <v>0.63806658750851142</v>
      </c>
    </row>
    <row r="16" spans="1:12" s="33" customFormat="1" x14ac:dyDescent="0.2">
      <c r="A16" s="126" t="s">
        <v>7</v>
      </c>
      <c r="B16" s="29">
        <v>55912.6103</v>
      </c>
      <c r="C16" s="30">
        <f>IF(OR(38660.09692="",55912.6103=""),"-",55912.6103/38660.09692*100)</f>
        <v>144.62615139248337</v>
      </c>
      <c r="D16" s="30">
        <f>IF(38660.09692="","-",38660.09692/2393616.81978*100)</f>
        <v>1.6151330739543053</v>
      </c>
      <c r="E16" s="30">
        <f>IF(55912.6103="","-",55912.6103/3266364.96356*100)</f>
        <v>1.7117686150742026</v>
      </c>
      <c r="F16" s="30">
        <f>IF(OR(2808282.38613="",53720.88986="",38660.09692=""),"-",(38660.09692-53720.88986)/2808282.38613*100)</f>
        <v>-0.53629909208506532</v>
      </c>
      <c r="G16" s="30">
        <f>IF(OR(2393616.81978="",55912.6103="",38660.09692=""),"-",(55912.6103-38660.09692)/2393616.81978*100)</f>
        <v>0.72077173077291856</v>
      </c>
    </row>
    <row r="17" spans="1:7" s="33" customFormat="1" x14ac:dyDescent="0.2">
      <c r="A17" s="126" t="s">
        <v>8</v>
      </c>
      <c r="B17" s="29">
        <v>49033.04434</v>
      </c>
      <c r="C17" s="30" t="s">
        <v>202</v>
      </c>
      <c r="D17" s="30">
        <f>IF(27493.31414="","-",27493.31414/2393616.81978*100)</f>
        <v>1.1486096652064359</v>
      </c>
      <c r="E17" s="30">
        <f>IF(49033.04434="","-",49033.04434/3266364.96356*100)</f>
        <v>1.5011502048001106</v>
      </c>
      <c r="F17" s="30">
        <f>IF(OR(2808282.38613="",47039.67331="",27493.31414=""),"-",(27493.31414-47039.67331)/2808282.38613*100)</f>
        <v>-0.6960254163377132</v>
      </c>
      <c r="G17" s="30">
        <f>IF(OR(2393616.81978="",49033.04434="",27493.31414=""),"-",(49033.04434-27493.31414)/2393616.81978*100)</f>
        <v>0.8998821374416871</v>
      </c>
    </row>
    <row r="18" spans="1:7" s="33" customFormat="1" x14ac:dyDescent="0.2">
      <c r="A18" s="126" t="s">
        <v>40</v>
      </c>
      <c r="B18" s="29">
        <v>45980.38061</v>
      </c>
      <c r="C18" s="30">
        <f>IF(OR(36709.59168="",45980.38061=""),"-",45980.38061/36709.59168*100)</f>
        <v>125.25440492723018</v>
      </c>
      <c r="D18" s="30">
        <f>IF(36709.59168="","-",36709.59168/2393616.81978*100)</f>
        <v>1.5336452926234876</v>
      </c>
      <c r="E18" s="30">
        <f>IF(45980.38061="","-",45980.38061/3266364.96356*100)</f>
        <v>1.4076926835477117</v>
      </c>
      <c r="F18" s="30">
        <f>IF(OR(2808282.38613="",41256.03811="",36709.59168=""),"-",(36709.59168-41256.03811)/2808282.38613*100)</f>
        <v>-0.16189420453066719</v>
      </c>
      <c r="G18" s="30">
        <f>IF(OR(2393616.81978="",45980.38061="",36709.59168=""),"-",(45980.38061-36709.59168)/2393616.81978*100)</f>
        <v>0.38731299234653987</v>
      </c>
    </row>
    <row r="19" spans="1:7" s="33" customFormat="1" x14ac:dyDescent="0.2">
      <c r="A19" s="126" t="s">
        <v>6</v>
      </c>
      <c r="B19" s="29">
        <v>37084.420080000004</v>
      </c>
      <c r="C19" s="30">
        <f>IF(OR(25828.23999="",37084.42008=""),"-",37084.42008/25828.23999*100)</f>
        <v>143.58090250964872</v>
      </c>
      <c r="D19" s="30">
        <f>IF(25828.23999="","-",25828.23999/2393616.81978*100)</f>
        <v>1.079046561528336</v>
      </c>
      <c r="E19" s="30">
        <f>IF(37084.42008="","-",37084.42008/3266364.96356*100)</f>
        <v>1.1353422074299322</v>
      </c>
      <c r="F19" s="30">
        <f>IF(OR(2808282.38613="",23571.83007="",25828.23999=""),"-",(25828.23999-23571.83007)/2808282.38613*100)</f>
        <v>8.0348398406952265E-2</v>
      </c>
      <c r="G19" s="30">
        <f>IF(OR(2393616.81978="",37084.42008="",25828.23999=""),"-",(37084.42008-25828.23999)/2393616.81978*100)</f>
        <v>0.47025823001338085</v>
      </c>
    </row>
    <row r="20" spans="1:7" s="33" customFormat="1" x14ac:dyDescent="0.2">
      <c r="A20" s="126" t="s">
        <v>10</v>
      </c>
      <c r="B20" s="29">
        <v>35607.929329999999</v>
      </c>
      <c r="C20" s="30">
        <f>IF(OR(26354.94037="",35607.92933=""),"-",35607.92933/26354.94037*100)</f>
        <v>135.1091250069104</v>
      </c>
      <c r="D20" s="30">
        <f>IF(26354.94037="","-",26354.94037/2393616.81978*100)</f>
        <v>1.1010509348117929</v>
      </c>
      <c r="E20" s="30">
        <f>IF(35607.92933="","-",35607.92933/3266364.96356*100)</f>
        <v>1.0901393361503313</v>
      </c>
      <c r="F20" s="30">
        <f>IF(OR(2808282.38613="",29756.57923="",26354.94037=""),"-",(26354.94037-29756.57923)/2808282.38613*100)</f>
        <v>-0.1211288037414102</v>
      </c>
      <c r="G20" s="30">
        <f>IF(OR(2393616.81978="",35607.92933="",26354.94037=""),"-",(35607.92933-26354.94037)/2393616.81978*100)</f>
        <v>0.38656934909282809</v>
      </c>
    </row>
    <row r="21" spans="1:7" s="33" customFormat="1" ht="15.75" customHeight="1" x14ac:dyDescent="0.2">
      <c r="A21" s="126" t="s">
        <v>41</v>
      </c>
      <c r="B21" s="29">
        <v>22944.162509999998</v>
      </c>
      <c r="C21" s="30">
        <f>IF(OR(18458.9539="",22944.16251=""),"-",22944.16251/18458.9539*100)</f>
        <v>124.29828165939566</v>
      </c>
      <c r="D21" s="30">
        <f>IF(18458.9539="","-",18458.9539/2393616.81978*100)</f>
        <v>0.77117413896250042</v>
      </c>
      <c r="E21" s="30">
        <f>IF(22944.16251="","-",22944.16251/3266364.96356*100)</f>
        <v>0.70243719749532318</v>
      </c>
      <c r="F21" s="30">
        <f>IF(OR(2808282.38613="",20773.19113="",18458.9539=""),"-",(18458.9539-20773.19113)/2808282.38613*100)</f>
        <v>-8.2407568463553682E-2</v>
      </c>
      <c r="G21" s="30">
        <f>IF(OR(2393616.81978="",22944.16251="",18458.9539=""),"-",(22944.16251-18458.9539)/2393616.81978*100)</f>
        <v>0.18738206436952753</v>
      </c>
    </row>
    <row r="22" spans="1:7" s="33" customFormat="1" x14ac:dyDescent="0.2">
      <c r="A22" s="126" t="s">
        <v>44</v>
      </c>
      <c r="B22" s="29">
        <v>18119.66087</v>
      </c>
      <c r="C22" s="30" t="s">
        <v>368</v>
      </c>
      <c r="D22" s="30">
        <f>IF(11956.75441="","-",11956.75441/2393616.81978*100)</f>
        <v>0.49952667073499918</v>
      </c>
      <c r="E22" s="30">
        <f>IF(18119.66087="","-",18119.66087/3266364.96356*100)</f>
        <v>0.55473473026270281</v>
      </c>
      <c r="F22" s="30">
        <f>IF(OR(2808282.38613="",17311.78722="",11956.75441=""),"-",(11956.75441-17311.78722)/2808282.38613*100)</f>
        <v>-0.19068712022866013</v>
      </c>
      <c r="G22" s="30">
        <f>IF(OR(2393616.81978="",18119.66087="",11956.75441=""),"-",(18119.66087-11956.75441)/2393616.81978*100)</f>
        <v>0.25747255822535703</v>
      </c>
    </row>
    <row r="23" spans="1:7" s="33" customFormat="1" x14ac:dyDescent="0.2">
      <c r="A23" s="126" t="s">
        <v>52</v>
      </c>
      <c r="B23" s="29">
        <v>15626.334860000001</v>
      </c>
      <c r="C23" s="30">
        <f>IF(OR(11444.07206="",15626.33486=""),"-",15626.33486/11444.07206*100)</f>
        <v>136.54523300860794</v>
      </c>
      <c r="D23" s="30">
        <f>IF(11444.07206="","-",11444.07206/2393616.81978*100)</f>
        <v>0.47810793964306442</v>
      </c>
      <c r="E23" s="30">
        <f>IF(15626.33486="","-",15626.33486/3266364.96356*100)</f>
        <v>0.4784013738308322</v>
      </c>
      <c r="F23" s="30">
        <f>IF(OR(2808282.38613="",10767.85225="",11444.07206=""),"-",(11444.07206-10767.85225)/2808282.38613*100)</f>
        <v>2.4079480515913375E-2</v>
      </c>
      <c r="G23" s="30">
        <f>IF(OR(2393616.81978="",15626.33486="",11444.07206=""),"-",(15626.33486-11444.07206)/2393616.81978*100)</f>
        <v>0.17472566057521258</v>
      </c>
    </row>
    <row r="24" spans="1:7" s="33" customFormat="1" x14ac:dyDescent="0.2">
      <c r="A24" s="126" t="s">
        <v>9</v>
      </c>
      <c r="B24" s="29">
        <v>14220.71545</v>
      </c>
      <c r="C24" s="30">
        <f>IF(OR(12257.49323="",14220.71545=""),"-",14220.71545/12257.49323*100)</f>
        <v>116.01650666381809</v>
      </c>
      <c r="D24" s="30">
        <f>IF(12257.49323="","-",12257.49323/2393616.81978*100)</f>
        <v>0.51209087138377485</v>
      </c>
      <c r="E24" s="30">
        <f>IF(14220.71545="","-",14220.71545/3266364.96356*100)</f>
        <v>0.43536823375979672</v>
      </c>
      <c r="F24" s="30">
        <f>IF(OR(2808282.38613="",10475.60672="",12257.49323=""),"-",(12257.49323-10475.60672)/2808282.38613*100)</f>
        <v>6.3451115842219782E-2</v>
      </c>
      <c r="G24" s="30">
        <f>IF(OR(2393616.81978="",14220.71545="",12257.49323=""),"-",(14220.71545-12257.49323)/2393616.81978*100)</f>
        <v>8.2019068539986348E-2</v>
      </c>
    </row>
    <row r="25" spans="1:7" s="33" customFormat="1" x14ac:dyDescent="0.2">
      <c r="A25" s="126" t="s">
        <v>51</v>
      </c>
      <c r="B25" s="29">
        <v>13552.922909999999</v>
      </c>
      <c r="C25" s="30" t="s">
        <v>102</v>
      </c>
      <c r="D25" s="30">
        <f>IF(8245.95119="","-",8245.95119/2393616.81978*100)</f>
        <v>0.34449754538230115</v>
      </c>
      <c r="E25" s="30">
        <f>IF(13552.92291="","-",13552.92291/3266364.96356*100)</f>
        <v>0.41492371676766687</v>
      </c>
      <c r="F25" s="30">
        <f>IF(OR(2808282.38613="",8584.84942="",8245.95119=""),"-",(8245.95119-8584.84942)/2808282.38613*100)</f>
        <v>-1.2067811687094082E-2</v>
      </c>
      <c r="G25" s="30">
        <f>IF(OR(2393616.81978="",13552.92291="",8245.95119=""),"-",(13552.92291-8245.95119)/2393616.81978*100)</f>
        <v>0.22171350385513122</v>
      </c>
    </row>
    <row r="26" spans="1:7" s="33" customFormat="1" x14ac:dyDescent="0.2">
      <c r="A26" s="126" t="s">
        <v>50</v>
      </c>
      <c r="B26" s="29">
        <v>13021.85895</v>
      </c>
      <c r="C26" s="30">
        <f>IF(OR(9232.00166="",13021.85895=""),"-",13021.85895/9232.00166*100)</f>
        <v>141.0513064184176</v>
      </c>
      <c r="D26" s="30">
        <f>IF(9232.00166="","-",9232.00166/2393616.81978*100)</f>
        <v>0.38569254626346267</v>
      </c>
      <c r="E26" s="30">
        <f>IF(13021.85895="","-",13021.85895/3266364.96356*100)</f>
        <v>0.3986651551579074</v>
      </c>
      <c r="F26" s="30">
        <f>IF(OR(2808282.38613="",12130.4513="",9232.00166=""),"-",(9232.00166-12130.4513)/2808282.38613*100)</f>
        <v>-0.10321076164973057</v>
      </c>
      <c r="G26" s="30">
        <f>IF(OR(2393616.81978="",13021.85895="",9232.00166=""),"-",(13021.85895-9232.00166)/2393616.81978*100)</f>
        <v>0.15833182899961112</v>
      </c>
    </row>
    <row r="27" spans="1:7" s="33" customFormat="1" x14ac:dyDescent="0.2">
      <c r="A27" s="126" t="s">
        <v>48</v>
      </c>
      <c r="B27" s="29">
        <v>8570.7293100000006</v>
      </c>
      <c r="C27" s="30">
        <f>IF(OR(6045.97596="",8570.72931=""),"-",8570.72931/6045.97596*100)</f>
        <v>141.75923567516136</v>
      </c>
      <c r="D27" s="30">
        <f>IF(6045.97596="","-",6045.97596/2393616.81978*100)</f>
        <v>0.25258746136968119</v>
      </c>
      <c r="E27" s="30">
        <f>IF(8570.72931="","-",8570.72931/3266364.96356*100)</f>
        <v>0.26239349875522766</v>
      </c>
      <c r="F27" s="30">
        <f>IF(OR(2808282.38613="",6163.98277="",6045.97596=""),"-",(6045.97596-6163.98277)/2808282.38613*100)</f>
        <v>-4.2020991401303161E-3</v>
      </c>
      <c r="G27" s="30">
        <f>IF(OR(2393616.81978="",8570.72931="",6045.97596=""),"-",(8570.72931-6045.97596)/2393616.81978*100)</f>
        <v>0.10547859327927241</v>
      </c>
    </row>
    <row r="28" spans="1:7" s="33" customFormat="1" x14ac:dyDescent="0.2">
      <c r="A28" s="126" t="s">
        <v>45</v>
      </c>
      <c r="B28" s="29">
        <v>7554.5414899999996</v>
      </c>
      <c r="C28" s="30">
        <f>IF(OR(5097.40527="",7554.54149=""),"-",7554.54149/5097.40527*100)</f>
        <v>148.20366617622301</v>
      </c>
      <c r="D28" s="30">
        <f>IF(5097.40527="","-",5097.40527/2393616.81978*100)</f>
        <v>0.21295828254033192</v>
      </c>
      <c r="E28" s="30">
        <f>IF(7554.54149="","-",7554.54149/3266364.96356*100)</f>
        <v>0.23128283502546299</v>
      </c>
      <c r="F28" s="30">
        <f>IF(OR(2808282.38613="",5110.16333="",5097.40527=""),"-",(5097.40527-5110.16333)/2808282.38613*100)</f>
        <v>-4.5430117936186504E-4</v>
      </c>
      <c r="G28" s="30">
        <f>IF(OR(2393616.81978="",7554.54149="",5097.40527=""),"-",(7554.54149-5097.40527)/2393616.81978*100)</f>
        <v>0.10265369961035942</v>
      </c>
    </row>
    <row r="29" spans="1:7" s="33" customFormat="1" x14ac:dyDescent="0.2">
      <c r="A29" s="126" t="s">
        <v>49</v>
      </c>
      <c r="B29" s="29">
        <v>6743.3887599999998</v>
      </c>
      <c r="C29" s="30">
        <f>IF(OR(4749.71207="",6743.38876=""),"-",6743.38876/4749.71207*100)</f>
        <v>141.97468521497137</v>
      </c>
      <c r="D29" s="30">
        <f>IF(4749.71207="","-",4749.71207/2393616.81978*100)</f>
        <v>0.19843243207308975</v>
      </c>
      <c r="E29" s="30">
        <f>IF(6743.38876="","-",6743.38876/3266364.96356*100)</f>
        <v>0.20644933543036795</v>
      </c>
      <c r="F29" s="30">
        <f>IF(OR(2808282.38613="",6595.25957="",4749.71207=""),"-",(4749.71207-6595.25957)/2808282.38613*100)</f>
        <v>-6.5718017145109386E-2</v>
      </c>
      <c r="G29" s="30">
        <f>IF(OR(2393616.81978="",6743.38876="",4749.71207=""),"-",(6743.38876-4749.71207)/2393616.81978*100)</f>
        <v>8.3291388727091298E-2</v>
      </c>
    </row>
    <row r="30" spans="1:7" s="33" customFormat="1" x14ac:dyDescent="0.2">
      <c r="A30" s="126" t="s">
        <v>43</v>
      </c>
      <c r="B30" s="29">
        <v>5190.6181299999998</v>
      </c>
      <c r="C30" s="30">
        <f>IF(OR(6471.39272="",5190.61813=""),"-",5190.61813/6471.39272*100)</f>
        <v>80.208671526891976</v>
      </c>
      <c r="D30" s="30">
        <f>IF(6471.39272="","-",6471.39272/2393616.81978*100)</f>
        <v>0.27036042972804614</v>
      </c>
      <c r="E30" s="30">
        <f>IF(5190.61813="","-",5190.61813/3266364.96356*100)</f>
        <v>0.1589111500982659</v>
      </c>
      <c r="F30" s="30">
        <f>IF(OR(2808282.38613="",7881.52531="",6471.39272=""),"-",(6471.39272-7881.52531)/2808282.38613*100)</f>
        <v>-5.0213347381466752E-2</v>
      </c>
      <c r="G30" s="30">
        <f>IF(OR(2393616.81978="",5190.61813="",6471.39272=""),"-",(5190.61813-6471.39272)/2393616.81978*100)</f>
        <v>-5.3507920708784018E-2</v>
      </c>
    </row>
    <row r="31" spans="1:7" s="33" customFormat="1" x14ac:dyDescent="0.2">
      <c r="A31" s="126" t="s">
        <v>308</v>
      </c>
      <c r="B31" s="29">
        <v>4181.4051600000003</v>
      </c>
      <c r="C31" s="30" t="s">
        <v>102</v>
      </c>
      <c r="D31" s="30">
        <f>IF(2694.65721="","-",2694.65721/2393616.81978*100)</f>
        <v>0.11257679958347172</v>
      </c>
      <c r="E31" s="30">
        <f>IF(4181.40516="","-",4181.40516/3266364.96356*100)</f>
        <v>0.12801402190656311</v>
      </c>
      <c r="F31" s="30">
        <f>IF(OR(2808282.38613="",2668.92383="",2694.65721=""),"-",(2694.65721-2668.92383)/2808282.38613*100)</f>
        <v>9.1633876020074951E-4</v>
      </c>
      <c r="G31" s="30">
        <f>IF(OR(2393616.81978="",4181.40516="",2694.65721=""),"-",(4181.40516-2694.65721)/2393616.81978*100)</f>
        <v>6.2113030695391293E-2</v>
      </c>
    </row>
    <row r="32" spans="1:7" s="33" customFormat="1" x14ac:dyDescent="0.2">
      <c r="A32" s="126" t="s">
        <v>53</v>
      </c>
      <c r="B32" s="29">
        <v>3354.3427499999998</v>
      </c>
      <c r="C32" s="30">
        <f>IF(OR(3823.7802="",3354.34275=""),"-",3354.34275/3823.7802*100)</f>
        <v>87.723210397919829</v>
      </c>
      <c r="D32" s="30">
        <f>IF(3823.7802="","-",3823.7802/2393616.81978*100)</f>
        <v>0.15974905291446975</v>
      </c>
      <c r="E32" s="30">
        <f>IF(3354.34275="","-",3354.34275/3266364.96356*100)</f>
        <v>0.10269344630564838</v>
      </c>
      <c r="F32" s="30">
        <f>IF(OR(2808282.38613="",2950.54452="",3823.7802=""),"-",(3823.7802-2950.54452)/2808282.38613*100)</f>
        <v>3.1095009686806358E-2</v>
      </c>
      <c r="G32" s="30">
        <f>IF(OR(2393616.81978="",3354.34275="",3823.7802=""),"-",(3354.34275-3823.7802)/2393616.81978*100)</f>
        <v>-1.961205511762517E-2</v>
      </c>
    </row>
    <row r="33" spans="1:7" s="33" customFormat="1" x14ac:dyDescent="0.2">
      <c r="A33" s="126" t="s">
        <v>46</v>
      </c>
      <c r="B33" s="29">
        <v>3236.53901</v>
      </c>
      <c r="C33" s="30" t="s">
        <v>341</v>
      </c>
      <c r="D33" s="30">
        <f>IF(1673.0394="","-",1673.0394/2393616.81978*100)</f>
        <v>6.9895874150557258E-2</v>
      </c>
      <c r="E33" s="30">
        <f>IF(3236.53901="","-",3236.53901/3266364.96356*100)</f>
        <v>9.9086876270939026E-2</v>
      </c>
      <c r="F33" s="30">
        <f>IF(OR(2808282.38613="",2343.87571="",1673.0394=""),"-",(1673.0394-2343.87571)/2808282.38613*100)</f>
        <v>-2.3887779708808309E-2</v>
      </c>
      <c r="G33" s="30">
        <f>IF(OR(2393616.81978="",3236.53901="",1673.0394=""),"-",(3236.53901-1673.0394)/2393616.81978*100)</f>
        <v>6.531954476087376E-2</v>
      </c>
    </row>
    <row r="34" spans="1:7" s="33" customFormat="1" x14ac:dyDescent="0.2">
      <c r="A34" s="126" t="s">
        <v>54</v>
      </c>
      <c r="B34" s="29">
        <v>1309.69256</v>
      </c>
      <c r="C34" s="30" t="s">
        <v>369</v>
      </c>
      <c r="D34" s="30">
        <f>IF(517.66669="","-",517.66669/2393616.81978*100)</f>
        <v>2.1626965758353055E-2</v>
      </c>
      <c r="E34" s="30">
        <f>IF(1309.69256="","-",1309.69256/3266364.96356*100)</f>
        <v>4.009633260860631E-2</v>
      </c>
      <c r="F34" s="30">
        <f>IF(OR(2808282.38613="",773.82471="",517.66669=""),"-",(517.66669-773.82471)/2808282.38613*100)</f>
        <v>-9.1215193053645425E-3</v>
      </c>
      <c r="G34" s="30">
        <f>IF(OR(2393616.81978="",1309.69256="",517.66669=""),"-",(1309.69256-517.66669)/2393616.81978*100)</f>
        <v>3.3089083576576632E-2</v>
      </c>
    </row>
    <row r="35" spans="1:7" s="33" customFormat="1" x14ac:dyDescent="0.2">
      <c r="A35" s="126" t="s">
        <v>47</v>
      </c>
      <c r="B35" s="29">
        <v>369.24063000000001</v>
      </c>
      <c r="C35" s="30" t="s">
        <v>102</v>
      </c>
      <c r="D35" s="30">
        <f>IF(228.91915="","-",228.91915/2393616.81978*100)</f>
        <v>9.563734182860573E-3</v>
      </c>
      <c r="E35" s="30">
        <f>IF(369.24063="","-",369.24063/3266364.96356*100)</f>
        <v>1.1304328638082313E-2</v>
      </c>
      <c r="F35" s="30">
        <f>IF(OR(2808282.38613="",365.41995="",228.91915=""),"-",(228.91915-365.41995)/2808282.38613*100)</f>
        <v>-4.8606507904679474E-3</v>
      </c>
      <c r="G35" s="30">
        <f>IF(OR(2393616.81978="",369.24063="",228.91915=""),"-",(369.24063-228.91915)/2393616.81978*100)</f>
        <v>5.8623201023836847E-3</v>
      </c>
    </row>
    <row r="36" spans="1:7" s="33" customFormat="1" x14ac:dyDescent="0.2">
      <c r="A36" s="126" t="s">
        <v>55</v>
      </c>
      <c r="B36" s="29">
        <v>65.477930000000001</v>
      </c>
      <c r="C36" s="30" t="s">
        <v>342</v>
      </c>
      <c r="D36" s="30">
        <f>IF(31.06507="","-",31.06507/2393616.81978*100)</f>
        <v>1.2978297003634536E-3</v>
      </c>
      <c r="E36" s="30">
        <f>IF(65.47793="","-",65.47793/3266364.96356*100)</f>
        <v>2.0046115706750609E-3</v>
      </c>
      <c r="F36" s="30">
        <f>IF(OR(2808282.38613="",48.47985="",31.06507=""),"-",(31.06507-48.47985)/2808282.38613*100)</f>
        <v>-6.2012211044056454E-4</v>
      </c>
      <c r="G36" s="30">
        <f>IF(OR(2393616.81978="",65.47793="",31.06507=""),"-",(65.47793-31.06507)/2393616.81978*100)</f>
        <v>1.4376929388039195E-3</v>
      </c>
    </row>
    <row r="37" spans="1:7" s="33" customFormat="1" ht="15.75" customHeight="1" x14ac:dyDescent="0.2">
      <c r="A37" s="130" t="s">
        <v>309</v>
      </c>
      <c r="B37" s="119">
        <v>17.026009999999999</v>
      </c>
      <c r="C37" s="93" t="str">
        <f>IF(OR(""="",17.02601=""),"-",17.02601/""*100)</f>
        <v>-</v>
      </c>
      <c r="D37" s="93" t="str">
        <f>IF(""="","-",""/2393616.81978*100)</f>
        <v>-</v>
      </c>
      <c r="E37" s="93">
        <f>IF(17.02601="","-",17.02601/3266364.96356*100)</f>
        <v>5.2125252964516891E-4</v>
      </c>
      <c r="F37" s="93" t="str">
        <f>IF(OR(2808282.38613="",""="",""=""),"-",(""-"")/2808282.38613*100)</f>
        <v>-</v>
      </c>
      <c r="G37" s="93" t="str">
        <f>IF(OR(2393616.81978="",17.02601="",""=""),"-",(17.02601-"")/2393616.81978*100)</f>
        <v>-</v>
      </c>
    </row>
    <row r="38" spans="1:7" s="33" customFormat="1" x14ac:dyDescent="0.2">
      <c r="A38" s="125" t="s">
        <v>203</v>
      </c>
      <c r="B38" s="120">
        <v>742658.31807000004</v>
      </c>
      <c r="C38" s="105">
        <f>IF(585629.02156="","-",742658.31807/585629.02156*100)</f>
        <v>126.81378325338197</v>
      </c>
      <c r="D38" s="105">
        <f>IF(585629.02156="","-",585629.02156/2393616.81978*100)</f>
        <v>24.466281182542236</v>
      </c>
      <c r="E38" s="105">
        <f>IF(742658.31807="","-",742658.31807/3266364.96356*100)</f>
        <v>22.736538211595906</v>
      </c>
      <c r="F38" s="105">
        <f>IF(2808282.38613="","-",(585629.02156-696515.83291)/2808282.38613*100)</f>
        <v>-3.9485634314293221</v>
      </c>
      <c r="G38" s="105">
        <f>IF(2393616.81978="","-",(742658.31807-585629.02156)/2393616.81978*100)</f>
        <v>6.5603356064498559</v>
      </c>
    </row>
    <row r="39" spans="1:7" s="33" customFormat="1" x14ac:dyDescent="0.2">
      <c r="A39" s="126" t="s">
        <v>325</v>
      </c>
      <c r="B39" s="121">
        <v>375153.07419000001</v>
      </c>
      <c r="C39" s="107">
        <f>IF(OR(295667.83921="",375153.07419=""),"-",375153.07419/295667.83921*100)</f>
        <v>126.8832874053458</v>
      </c>
      <c r="D39" s="107">
        <f>IF(295667.83921="","-",295667.83921/2393616.81978*100)</f>
        <v>12.352346322381507</v>
      </c>
      <c r="E39" s="107">
        <f>IF(375153.07419="","-",375153.07419/3266364.96356*100)</f>
        <v>11.485338545302113</v>
      </c>
      <c r="F39" s="107">
        <f>IF(OR(2808282.38613="",349252.8024="",295667.83921=""),"-",(295667.83921-349252.8024)/2808282.38613*100)</f>
        <v>-1.9081045216340804</v>
      </c>
      <c r="G39" s="107">
        <f>IF(OR(2393616.81978="",375153.07419="",295667.83921=""),"-",(375153.07419-295667.83921)/2393616.81978*100)</f>
        <v>3.3207167631494832</v>
      </c>
    </row>
    <row r="40" spans="1:7" s="33" customFormat="1" x14ac:dyDescent="0.2">
      <c r="A40" s="126" t="s">
        <v>12</v>
      </c>
      <c r="B40" s="121">
        <v>295005.10139999999</v>
      </c>
      <c r="C40" s="107">
        <f>IF(OR(228665.84046="",295005.1014=""),"-",295005.1014/228665.84046*100)</f>
        <v>129.01144342615729</v>
      </c>
      <c r="D40" s="107">
        <f>IF(228665.84046="","-",228665.84046/2393616.81978*100)</f>
        <v>9.5531514722986</v>
      </c>
      <c r="E40" s="107">
        <f>IF(295005.1014="","-",295005.1014/3266364.96356*100)</f>
        <v>9.0316025518004253</v>
      </c>
      <c r="F40" s="107">
        <f>IF(OR(2808282.38613="",272340.70528="",228665.84046=""),"-",(228665.84046-272340.70528)/2808282.38613*100)</f>
        <v>-1.5552162786658668</v>
      </c>
      <c r="G40" s="107">
        <f>IF(OR(2393616.81978="",295005.1014="",228665.84046=""),"-",(295005.1014-228665.84046)/2393616.81978*100)</f>
        <v>2.7715071348010203</v>
      </c>
    </row>
    <row r="41" spans="1:7" s="33" customFormat="1" x14ac:dyDescent="0.2">
      <c r="A41" s="126" t="s">
        <v>11</v>
      </c>
      <c r="B41" s="121">
        <v>58221.419459999997</v>
      </c>
      <c r="C41" s="107">
        <f>IF(OR(46724.68515="",58221.41946=""),"-",58221.41946/46724.68515*100)</f>
        <v>124.60526865636889</v>
      </c>
      <c r="D41" s="107">
        <f>IF(46724.68515="","-",46724.68515/2393616.81978*100)</f>
        <v>1.9520536772587735</v>
      </c>
      <c r="E41" s="107">
        <f>IF(58221.41946="","-",58221.41946/3266364.96356*100)</f>
        <v>1.7824529747755031</v>
      </c>
      <c r="F41" s="107">
        <f>IF(OR(2808282.38613="",63404.69742="",46724.68515=""),"-",(46724.68515-63404.69742)/2808282.38613*100)</f>
        <v>-0.59395779969927343</v>
      </c>
      <c r="G41" s="107">
        <f>IF(OR(2393616.81978="",58221.41946="",46724.68515=""),"-",(58221.41946-46724.68515)/2393616.81978*100)</f>
        <v>0.48030805160604934</v>
      </c>
    </row>
    <row r="42" spans="1:7" s="33" customFormat="1" x14ac:dyDescent="0.2">
      <c r="A42" s="126" t="s">
        <v>13</v>
      </c>
      <c r="B42" s="121">
        <v>6849.2722400000002</v>
      </c>
      <c r="C42" s="107">
        <f>IF(OR(5106.68649="",6849.27224=""),"-",6849.27224/5106.68649*100)</f>
        <v>134.12360937786883</v>
      </c>
      <c r="D42" s="107">
        <f>IF(5106.68649="","-",5106.68649/2393616.81978*100)</f>
        <v>0.21334603131963961</v>
      </c>
      <c r="E42" s="107">
        <f>IF(6849.27224="","-",6849.27224/3266364.96356*100)</f>
        <v>0.20969096584158192</v>
      </c>
      <c r="F42" s="107">
        <f>IF(OR(2808282.38613="",4278.66319="",5106.68649=""),"-",(5106.68649-4278.66319)/2808282.38613*100)</f>
        <v>2.948504409989449E-2</v>
      </c>
      <c r="G42" s="107">
        <f>IF(OR(2393616.81978="",6849.27224="",5106.68649=""),"-",(6849.27224-5106.68649)/2393616.81978*100)</f>
        <v>7.280136635069949E-2</v>
      </c>
    </row>
    <row r="43" spans="1:7" s="33" customFormat="1" x14ac:dyDescent="0.2">
      <c r="A43" s="126" t="s">
        <v>15</v>
      </c>
      <c r="B43" s="121">
        <v>5354.50612</v>
      </c>
      <c r="C43" s="107">
        <f>IF(OR(3704.9632="",5354.50612=""),"-",5354.50612/3704.9632*100)</f>
        <v>144.52251833432516</v>
      </c>
      <c r="D43" s="107">
        <f>IF(3704.9632="","-",3704.9632/2393616.81978*100)</f>
        <v>0.15478514227438156</v>
      </c>
      <c r="E43" s="107">
        <f>IF(5354.50612="","-",5354.50612/3266364.96356*100)</f>
        <v>0.16392859278542291</v>
      </c>
      <c r="F43" s="107">
        <f>IF(OR(2808282.38613="",4303.80562="",3704.9632=""),"-",(3704.9632-4303.80562)/2808282.38613*100)</f>
        <v>-2.1324152548107694E-2</v>
      </c>
      <c r="G43" s="107">
        <f>IF(OR(2393616.81978="",5354.50612="",3704.9632=""),"-",(5354.50612-3704.9632)/2393616.81978*100)</f>
        <v>6.8914243347922802E-2</v>
      </c>
    </row>
    <row r="44" spans="1:7" s="33" customFormat="1" x14ac:dyDescent="0.2">
      <c r="A44" s="126" t="s">
        <v>14</v>
      </c>
      <c r="B44" s="121">
        <v>829.36004000000003</v>
      </c>
      <c r="C44" s="107">
        <f>IF(OR(3899.74063="",829.36004=""),"-",829.36004/3899.74063*100)</f>
        <v>21.267056419595782</v>
      </c>
      <c r="D44" s="107">
        <f>IF(3899.74063="","-",3899.74063/2393616.81978*100)</f>
        <v>0.16292251114605844</v>
      </c>
      <c r="E44" s="107">
        <f>IF(829.36004="","-",829.36004/3266364.96356*100)</f>
        <v>2.5390917709822707E-2</v>
      </c>
      <c r="F44" s="107">
        <f>IF(OR(2808282.38613="",362.04084="",3899.74063=""),"-",(3899.74063-362.04084)/2808282.38613*100)</f>
        <v>0.12597379122101698</v>
      </c>
      <c r="G44" s="107">
        <f>IF(OR(2393616.81978="",829.36004="",3899.74063=""),"-",(829.36004-3899.74063)/2393616.81978*100)</f>
        <v>-0.12827368878040396</v>
      </c>
    </row>
    <row r="45" spans="1:7" s="33" customFormat="1" x14ac:dyDescent="0.2">
      <c r="A45" s="126" t="s">
        <v>16</v>
      </c>
      <c r="B45" s="121">
        <v>752.05528000000004</v>
      </c>
      <c r="C45" s="107">
        <f>IF(OR(1390.92304="",752.05528=""),"-",752.05528/1390.92304*100)</f>
        <v>54.06879161337352</v>
      </c>
      <c r="D45" s="107">
        <f>IF(1390.92304="","-",1390.92304/2393616.81978*100)</f>
        <v>5.8109678562830329E-2</v>
      </c>
      <c r="E45" s="107">
        <f>IF(752.05528="","-",752.05528/3266364.96356*100)</f>
        <v>2.3024226881871081E-2</v>
      </c>
      <c r="F45" s="107">
        <f>IF(OR(2808282.38613="",1964.37546="",1390.92304=""),"-",(1390.92304-1964.37546)/2808282.38613*100)</f>
        <v>-2.0420041190738501E-2</v>
      </c>
      <c r="G45" s="107">
        <f>IF(OR(2393616.81978="",752.05528="",1390.92304=""),"-",(752.05528-1390.92304)/2393616.81978*100)</f>
        <v>-2.6690477553492416E-2</v>
      </c>
    </row>
    <row r="46" spans="1:7" s="33" customFormat="1" x14ac:dyDescent="0.2">
      <c r="A46" s="126" t="s">
        <v>17</v>
      </c>
      <c r="B46" s="121">
        <v>375.36851000000001</v>
      </c>
      <c r="C46" s="107">
        <f>IF(OR(411.46325="",375.36851=""),"-",375.36851/411.46325*100)</f>
        <v>91.227712316956627</v>
      </c>
      <c r="D46" s="107">
        <f>IF(411.46325="","-",411.46325/2393616.81978*100)</f>
        <v>1.7190021669292E-2</v>
      </c>
      <c r="E46" s="107">
        <f>IF(375.36851="","-",375.36851/3266364.96356*100)</f>
        <v>1.1491934128233091E-2</v>
      </c>
      <c r="F46" s="107">
        <f>IF(OR(2808282.38613="",523.43224="",411.46325=""),"-",(411.46325-523.43224)/2808282.38613*100)</f>
        <v>-3.9870986818494655E-3</v>
      </c>
      <c r="G46" s="107">
        <f>IF(OR(2393616.81978="",375.36851="",411.46325=""),"-",(375.36851-411.46325)/2393616.81978*100)</f>
        <v>-1.5079581536077905E-3</v>
      </c>
    </row>
    <row r="47" spans="1:7" s="33" customFormat="1" x14ac:dyDescent="0.2">
      <c r="A47" s="126" t="s">
        <v>326</v>
      </c>
      <c r="B47" s="121">
        <v>104.09096</v>
      </c>
      <c r="C47" s="107" t="s">
        <v>202</v>
      </c>
      <c r="D47" s="107">
        <f>IF(56.69462="","-",56.69462/2393616.81978*100)</f>
        <v>2.3685754349441306E-3</v>
      </c>
      <c r="E47" s="107">
        <f>IF(104.09096="","-",104.09096/3266364.96356*100)</f>
        <v>3.1867522815500573E-3</v>
      </c>
      <c r="F47" s="107">
        <f>IF(OR(2808282.38613="",85.24136="",56.69462=""),"-",(56.69462-85.24136)/2808282.38613*100)</f>
        <v>-1.0165195687225495E-3</v>
      </c>
      <c r="G47" s="107">
        <f>IF(OR(2393616.81978="",104.09096="",56.69462=""),"-",(104.09096-56.69462)/2393616.81978*100)</f>
        <v>1.9801139266875743E-3</v>
      </c>
    </row>
    <row r="48" spans="1:7" s="33" customFormat="1" x14ac:dyDescent="0.2">
      <c r="A48" s="126" t="s">
        <v>18</v>
      </c>
      <c r="B48" s="121">
        <v>14.06987</v>
      </c>
      <c r="C48" s="107" t="s">
        <v>370</v>
      </c>
      <c r="D48" s="107">
        <f>IF(0.18551="","-",0.18551/2393616.81978*100)</f>
        <v>7.7501962079732733E-6</v>
      </c>
      <c r="E48" s="107">
        <f>IF(14.06987="","-",14.06987/3266364.96356*100)</f>
        <v>4.3075008937964164E-4</v>
      </c>
      <c r="F48" s="107">
        <f>IF(OR(2808282.38613="",0.0691="",0.18551=""),"-",(0.18551-0.0691)/2808282.38613*100)</f>
        <v>4.1452384053307664E-6</v>
      </c>
      <c r="G48" s="107">
        <f>IF(OR(2393616.81978="",14.06987="",0.18551=""),"-",(14.06987-0.18551)/2393616.81978*100)</f>
        <v>5.8005775549639258E-4</v>
      </c>
    </row>
    <row r="49" spans="1:7" s="33" customFormat="1" x14ac:dyDescent="0.2">
      <c r="A49" s="125" t="s">
        <v>137</v>
      </c>
      <c r="B49" s="26">
        <v>975154.48695000005</v>
      </c>
      <c r="C49" s="27">
        <f>IF(689592.50591="","-",975154.48695/689592.50591*100)</f>
        <v>141.4102500524084</v>
      </c>
      <c r="D49" s="27">
        <f>IF(689592.50591="","-",689592.50591/2393616.81978*100)</f>
        <v>28.809644894347841</v>
      </c>
      <c r="E49" s="27">
        <f>IF(975154.48695="","-",975154.48695/3266364.96356*100)</f>
        <v>29.854425265668489</v>
      </c>
      <c r="F49" s="27">
        <f>IF(2808282.38613="","-",(689592.50591-736487.58706)/2808282.38613*100)</f>
        <v>-1.6698848157725563</v>
      </c>
      <c r="G49" s="27">
        <f>IF(2393616.81978="","-",(975154.48695-689592.50591)/2393616.81978*100)</f>
        <v>11.930145989960348</v>
      </c>
    </row>
    <row r="50" spans="1:7" s="33" customFormat="1" x14ac:dyDescent="0.2">
      <c r="A50" s="126" t="s">
        <v>59</v>
      </c>
      <c r="B50" s="29">
        <v>384586.40042999998</v>
      </c>
      <c r="C50" s="30">
        <f>IF(OR(262582.07315="",384586.40043=""),"-",384586.40043/262582.07315*100)</f>
        <v>146.46331176245417</v>
      </c>
      <c r="D50" s="30">
        <f>IF(262582.07315="","-",262582.07315/2393616.81978*100)</f>
        <v>10.970096423960381</v>
      </c>
      <c r="E50" s="30">
        <f>IF(384586.40043="","-",384586.40043/3266364.96356*100)</f>
        <v>11.774140511562448</v>
      </c>
      <c r="F50" s="30">
        <f>IF(OR(2808282.38613="",277937.81489="",262582.07315=""),"-",(262582.07315-277937.81489)/2808282.38613*100)</f>
        <v>-0.54680191051446225</v>
      </c>
      <c r="G50" s="30">
        <f>IF(OR(2393616.81978="",384586.40043="",262582.07315=""),"-",(384586.40043-262582.07315)/2393616.81978*100)</f>
        <v>5.0970701021065485</v>
      </c>
    </row>
    <row r="51" spans="1:7" s="33" customFormat="1" x14ac:dyDescent="0.2">
      <c r="A51" s="126" t="s">
        <v>56</v>
      </c>
      <c r="B51" s="35">
        <v>234474.35081999999</v>
      </c>
      <c r="C51" s="30">
        <f>IF(OR(163423.44539="",234474.35082=""),"-",234474.35082/163423.44539*100)</f>
        <v>143.47656804104292</v>
      </c>
      <c r="D51" s="30">
        <f>IF(163423.44539="","-",163423.44539/2393616.81978*100)</f>
        <v>6.8274689599240208</v>
      </c>
      <c r="E51" s="30">
        <f>IF(234474.35082="","-",234474.35082/3266364.96356*100)</f>
        <v>7.1784492374804065</v>
      </c>
      <c r="F51" s="30">
        <f>IF(OR(2808282.38613="",181709.29785="",163423.44539=""),"-",(163423.44539-181709.29785)/2808282.38613*100)</f>
        <v>-0.65114009012459451</v>
      </c>
      <c r="G51" s="30">
        <f>IF(OR(2393616.81978="",234474.35082="",163423.44539=""),"-",(234474.35082-163423.44539)/2393616.81978*100)</f>
        <v>2.9683491878424531</v>
      </c>
    </row>
    <row r="52" spans="1:7" s="33" customFormat="1" x14ac:dyDescent="0.2">
      <c r="A52" s="126" t="s">
        <v>19</v>
      </c>
      <c r="B52" s="35">
        <v>53238.26973</v>
      </c>
      <c r="C52" s="30" t="s">
        <v>102</v>
      </c>
      <c r="D52" s="30">
        <f>IF(32555.63779="","-",32555.63779/2393616.81978*100)</f>
        <v>1.3601023154989453</v>
      </c>
      <c r="E52" s="30">
        <f>IF(53238.26973="","-",53238.26973/3266364.96356*100)</f>
        <v>1.6298934847738442</v>
      </c>
      <c r="F52" s="30">
        <f>IF(OR(2808282.38613="",35933.63281="",32555.63779=""),"-",(32555.63779-35933.63281)/2808282.38613*100)</f>
        <v>-0.12028687131621062</v>
      </c>
      <c r="G52" s="30">
        <f>IF(OR(2393616.81978="",53238.26973="",32555.63779=""),"-",(53238.26973-32555.63779)/2393616.81978*100)</f>
        <v>0.86407447378736935</v>
      </c>
    </row>
    <row r="53" spans="1:7" s="33" customFormat="1" x14ac:dyDescent="0.2">
      <c r="A53" s="126" t="s">
        <v>76</v>
      </c>
      <c r="B53" s="35">
        <v>31816.273840000002</v>
      </c>
      <c r="C53" s="30">
        <f>IF(OR(24186.6149="",31816.27384=""),"-",31816.27384/24186.6149*100)</f>
        <v>131.54496390480836</v>
      </c>
      <c r="D53" s="30">
        <f>IF(24186.6149="","-",24186.6149/2393616.81978*100)</f>
        <v>1.0104631075504817</v>
      </c>
      <c r="E53" s="30">
        <f>IF(31816.27384="","-",31816.27384/3266364.96356*100)</f>
        <v>0.97405752862728334</v>
      </c>
      <c r="F53" s="30">
        <f>IF(OR(2808282.38613="",22736.89939="",24186.6149=""),"-",(24186.6149-22736.89939)/2808282.38613*100)</f>
        <v>5.1622853782799467E-2</v>
      </c>
      <c r="G53" s="30">
        <f>IF(OR(2393616.81978="",31816.27384="",24186.6149=""),"-",(31816.27384-24186.6149)/2393616.81978*100)</f>
        <v>0.31875022254820434</v>
      </c>
    </row>
    <row r="54" spans="1:7" s="33" customFormat="1" ht="24" x14ac:dyDescent="0.2">
      <c r="A54" s="126" t="s">
        <v>310</v>
      </c>
      <c r="B54" s="35">
        <v>30984.128400000001</v>
      </c>
      <c r="C54" s="30">
        <f>IF(OR(23617.74824="",30984.1284=""),"-",30984.1284/23617.74824*100)</f>
        <v>131.19001898548478</v>
      </c>
      <c r="D54" s="30">
        <f>IF(23617.74824="","-",23617.74824/2393616.81978*100)</f>
        <v>0.98669712064317527</v>
      </c>
      <c r="E54" s="30">
        <f>IF(30984.1284="","-",30984.1284/3266364.96356*100)</f>
        <v>0.94858133569466485</v>
      </c>
      <c r="F54" s="30">
        <f>IF(OR(2808282.38613="",27544.84667="",23617.74824=""),"-",(23617.74824-27544.84667)/2808282.38613*100)</f>
        <v>-0.13983986971523193</v>
      </c>
      <c r="G54" s="30">
        <f>IF(OR(2393616.81978="",30984.1284="",23617.74824=""),"-",(30984.1284-23617.74824)/2393616.81978*100)</f>
        <v>0.30775101925783815</v>
      </c>
    </row>
    <row r="55" spans="1:7" s="33" customFormat="1" x14ac:dyDescent="0.2">
      <c r="A55" s="126" t="s">
        <v>72</v>
      </c>
      <c r="B55" s="35">
        <v>22834.584009999999</v>
      </c>
      <c r="C55" s="30" t="s">
        <v>368</v>
      </c>
      <c r="D55" s="30">
        <f>IF(14979.21815="","-",14979.21815/2393616.81978*100)</f>
        <v>0.62579849983577396</v>
      </c>
      <c r="E55" s="30">
        <f>IF(22834.58401="","-",22834.58401/3266364.96356*100)</f>
        <v>0.69908244377911344</v>
      </c>
      <c r="F55" s="30">
        <f>IF(OR(2808282.38613="",20992.05308="",14979.21815=""),"-",(14979.21815-20992.05308)/2808282.38613*100)</f>
        <v>-0.21411076605747215</v>
      </c>
      <c r="G55" s="30">
        <f>IF(OR(2393616.81978="",22834.58401="",14979.21815=""),"-",(22834.58401-14979.21815)/2393616.81978*100)</f>
        <v>0.32817975688865664</v>
      </c>
    </row>
    <row r="56" spans="1:7" s="33" customFormat="1" x14ac:dyDescent="0.2">
      <c r="A56" s="126" t="s">
        <v>69</v>
      </c>
      <c r="B56" s="29">
        <v>22060.359069999999</v>
      </c>
      <c r="C56" s="30">
        <f>IF(OR(16957.18039="",22060.35907=""),"-",22060.35907/16957.18039*100)</f>
        <v>130.09450016235863</v>
      </c>
      <c r="D56" s="30">
        <f>IF(16957.18039="","-",16957.18039/2393616.81978*100)</f>
        <v>0.70843337370759929</v>
      </c>
      <c r="E56" s="30">
        <f>IF(22060.35907="","-",22060.35907/3266364.96356*100)</f>
        <v>0.67537949115020168</v>
      </c>
      <c r="F56" s="30">
        <f>IF(OR(2808282.38613="",18239.67978="",16957.18039=""),"-",(16957.18039-18239.67978)/2808282.38613*100)</f>
        <v>-4.5668462556835918E-2</v>
      </c>
      <c r="G56" s="30">
        <f>IF(OR(2393616.81978="",22060.35907="",16957.18039=""),"-",(22060.35907-16957.18039)/2393616.81978*100)</f>
        <v>0.21319948280063625</v>
      </c>
    </row>
    <row r="57" spans="1:7" s="33" customFormat="1" x14ac:dyDescent="0.2">
      <c r="A57" s="126" t="s">
        <v>36</v>
      </c>
      <c r="B57" s="29">
        <v>21630.947059999999</v>
      </c>
      <c r="C57" s="30">
        <f>IF(OR(18398.85963="",21630.94706=""),"-",21630.94706/18398.85963*100)</f>
        <v>117.56678128425942</v>
      </c>
      <c r="D57" s="30">
        <f>IF(18398.85963="","-",18398.85963/2393616.81978*100)</f>
        <v>0.76866353369337781</v>
      </c>
      <c r="E57" s="30">
        <f>IF(21630.94706="","-",21630.94706/3266364.96356*100)</f>
        <v>0.66223301135414159</v>
      </c>
      <c r="F57" s="30">
        <f>IF(OR(2808282.38613="",16392.52252="",18398.85963=""),"-",(18398.85963-16392.52252)/2808282.38613*100)</f>
        <v>7.1443567068227298E-2</v>
      </c>
      <c r="G57" s="30">
        <f>IF(OR(2393616.81978="",21630.94706="",18398.85963=""),"-",(21630.94706-18398.85963)/2393616.81978*100)</f>
        <v>0.13502944177577531</v>
      </c>
    </row>
    <row r="58" spans="1:7" s="33" customFormat="1" x14ac:dyDescent="0.2">
      <c r="A58" s="126" t="s">
        <v>316</v>
      </c>
      <c r="B58" s="29">
        <v>18764.275420000002</v>
      </c>
      <c r="C58" s="30">
        <f>IF(OR(13937.06773="",18764.27542=""),"-",18764.27542/13937.06773*100)</f>
        <v>134.63574823281712</v>
      </c>
      <c r="D58" s="30">
        <f>IF(13937.06773="","-",13937.06773/2393616.81978*100)</f>
        <v>0.5822597675128709</v>
      </c>
      <c r="E58" s="30">
        <f>IF(18764.27542="","-",18764.27542/3266364.96356*100)</f>
        <v>0.57446965141179085</v>
      </c>
      <c r="F58" s="30">
        <f>IF(OR(2808282.38613="",16994.82107="",13937.06773=""),"-",(13937.06773-16994.82107)/2808282.38613*100)</f>
        <v>-0.10888339987111442</v>
      </c>
      <c r="G58" s="30">
        <f>IF(OR(2393616.81978="",18764.27542="",13937.06773=""),"-",(18764.27542-13937.06773)/2393616.81978*100)</f>
        <v>0.20167002713674426</v>
      </c>
    </row>
    <row r="59" spans="1:7" s="33" customFormat="1" x14ac:dyDescent="0.2">
      <c r="A59" s="126" t="s">
        <v>66</v>
      </c>
      <c r="B59" s="35">
        <v>13365.61541</v>
      </c>
      <c r="C59" s="30">
        <f>IF(OR(12810.4898="",13365.61541=""),"-",13365.61541/12810.4898*100)</f>
        <v>104.33336756569605</v>
      </c>
      <c r="D59" s="30">
        <f>IF(12810.4898="","-",12810.4898/2393616.81978*100)</f>
        <v>0.53519384114193458</v>
      </c>
      <c r="E59" s="30">
        <f>IF(13365.61541="","-",13365.61541/3266364.96356*100)</f>
        <v>0.40918928408517041</v>
      </c>
      <c r="F59" s="30">
        <f>IF(OR(2808282.38613="",9704.01609="",12810.4898=""),"-",(12810.4898-9704.01609)/2808282.38613*100)</f>
        <v>0.11061828131468388</v>
      </c>
      <c r="G59" s="30">
        <f>IF(OR(2393616.81978="",13365.61541="",12810.4898=""),"-",(13365.61541-12810.4898)/2393616.81978*100)</f>
        <v>2.3191916325647443E-2</v>
      </c>
    </row>
    <row r="60" spans="1:7" s="33" customFormat="1" x14ac:dyDescent="0.2">
      <c r="A60" s="126" t="s">
        <v>81</v>
      </c>
      <c r="B60" s="29">
        <v>13061.48344</v>
      </c>
      <c r="C60" s="30" t="s">
        <v>371</v>
      </c>
      <c r="D60" s="30">
        <f>IF(2482.86478="","-",2482.86478/2393616.81978*100)</f>
        <v>0.10372858176306611</v>
      </c>
      <c r="E60" s="30">
        <f>IF(13061.48344="","-",13061.48344/3266364.96356*100)</f>
        <v>0.39987826178996033</v>
      </c>
      <c r="F60" s="30">
        <f>IF(OR(2808282.38613="",1747.01795="",2482.86478=""),"-",(2482.86478-1747.01795)/2808282.38613*100)</f>
        <v>2.6202736364203241E-2</v>
      </c>
      <c r="G60" s="30">
        <f>IF(OR(2393616.81978="",13061.48344="",2482.86478=""),"-",(13061.48344-2482.86478)/2393616.81978*100)</f>
        <v>0.44195121677714033</v>
      </c>
    </row>
    <row r="61" spans="1:7" s="33" customFormat="1" x14ac:dyDescent="0.2">
      <c r="A61" s="126" t="s">
        <v>79</v>
      </c>
      <c r="B61" s="29">
        <v>12396.601060000001</v>
      </c>
      <c r="C61" s="30">
        <f>IF(OR(10212.09971="",12396.60106=""),"-",12396.60106/10212.09971*100)</f>
        <v>121.39130455082483</v>
      </c>
      <c r="D61" s="30">
        <f>IF(10212.09971="","-",10212.09971/2393616.81978*100)</f>
        <v>0.42663886824369013</v>
      </c>
      <c r="E61" s="30">
        <f>IF(12396.60106="","-",12396.60106/3266364.96356*100)</f>
        <v>0.37952283955706489</v>
      </c>
      <c r="F61" s="30">
        <f>IF(OR(2808282.38613="",9156.31567="",10212.09971=""),"-",(10212.09971-9156.31567)/2808282.38613*100)</f>
        <v>3.7595365950891468E-2</v>
      </c>
      <c r="G61" s="30">
        <f>IF(OR(2393616.81978="",12396.60106="",10212.09971=""),"-",(12396.60106-10212.09971)/2393616.81978*100)</f>
        <v>9.126361963820008E-2</v>
      </c>
    </row>
    <row r="62" spans="1:7" s="33" customFormat="1" x14ac:dyDescent="0.2">
      <c r="A62" s="126" t="s">
        <v>70</v>
      </c>
      <c r="B62" s="35">
        <v>11174.06379</v>
      </c>
      <c r="C62" s="30">
        <f>IF(OR(8011.77601="",11174.06379=""),"-",11174.06379/8011.77601*100)</f>
        <v>139.47049662962309</v>
      </c>
      <c r="D62" s="30">
        <f>IF(8011.77601="","-",8011.77601/2393616.81978*100)</f>
        <v>0.3347142259276224</v>
      </c>
      <c r="E62" s="30">
        <f>IF(11174.06379="","-",11174.06379/3266364.96356*100)</f>
        <v>0.34209477246600839</v>
      </c>
      <c r="F62" s="30">
        <f>IF(OR(2808282.38613="",10665.48966="",8011.77601=""),"-",(8011.77601-10665.48966)/2808282.38613*100)</f>
        <v>-9.4495968892109664E-2</v>
      </c>
      <c r="G62" s="30">
        <f>IF(OR(2393616.81978="",11174.06379="",8011.77601=""),"-",(11174.06379-8011.77601)/2393616.81978*100)</f>
        <v>0.13211336726363118</v>
      </c>
    </row>
    <row r="63" spans="1:7" s="33" customFormat="1" x14ac:dyDescent="0.2">
      <c r="A63" s="126" t="s">
        <v>61</v>
      </c>
      <c r="B63" s="35">
        <v>7192.2629299999999</v>
      </c>
      <c r="C63" s="30">
        <f>IF(OR(5121.43945="",7192.26293=""),"-",7192.26293/5121.43945*100)</f>
        <v>140.43440326137215</v>
      </c>
      <c r="D63" s="30">
        <f>IF(5121.43945="","-",5121.43945/2393616.81978*100)</f>
        <v>0.21396237725596853</v>
      </c>
      <c r="E63" s="30">
        <f>IF(7192.26293="","-",7192.26293/3266364.96356*100)</f>
        <v>0.22019165066481661</v>
      </c>
      <c r="F63" s="30">
        <f>IF(OR(2808282.38613="",5805.16866="",5121.43945=""),"-",(5121.43945-5805.16866)/2808282.38613*100)</f>
        <v>-2.434688239960885E-2</v>
      </c>
      <c r="G63" s="30">
        <f>IF(OR(2393616.81978="",7192.26293="",5121.43945=""),"-",(7192.26293-5121.43945)/2393616.81978*100)</f>
        <v>8.6514410447296727E-2</v>
      </c>
    </row>
    <row r="64" spans="1:7" s="33" customFormat="1" x14ac:dyDescent="0.2">
      <c r="A64" s="126" t="s">
        <v>82</v>
      </c>
      <c r="B64" s="35">
        <v>6533.4618300000002</v>
      </c>
      <c r="C64" s="30">
        <f>IF(OR(4380.70482="",6533.46183=""),"-",6533.46183/4380.70482*100)</f>
        <v>149.14179563461207</v>
      </c>
      <c r="D64" s="30">
        <f>IF(4380.70482="","-",4380.70482/2393616.81978*100)</f>
        <v>0.18301612788644406</v>
      </c>
      <c r="E64" s="30">
        <f>IF(6533.46183="","-",6533.46183/3266364.96356*100)</f>
        <v>0.20002240725969589</v>
      </c>
      <c r="F64" s="30">
        <f>IF(OR(2808282.38613="",4893.66622="",4380.70482=""),"-",(4380.70482-4893.66622)/2808282.38613*100)</f>
        <v>-1.8266019205671662E-2</v>
      </c>
      <c r="G64" s="30">
        <f>IF(OR(2393616.81978="",6533.46183="",4380.70482=""),"-",(6533.46183-4380.70482)/2393616.81978*100)</f>
        <v>8.9937411544336598E-2</v>
      </c>
    </row>
    <row r="65" spans="1:7" s="33" customFormat="1" x14ac:dyDescent="0.2">
      <c r="A65" s="126" t="s">
        <v>78</v>
      </c>
      <c r="B65" s="35">
        <v>6319.2587199999998</v>
      </c>
      <c r="C65" s="30" t="s">
        <v>102</v>
      </c>
      <c r="D65" s="30">
        <f>IF(3968.80731="","-",3968.80731/2393616.81978*100)</f>
        <v>0.16580796379784704</v>
      </c>
      <c r="E65" s="30">
        <f>IF(6319.25872="","-",6319.25872/3266364.96356*100)</f>
        <v>0.19346456352852442</v>
      </c>
      <c r="F65" s="30">
        <f>IF(OR(2808282.38613="",4169.73362="",3968.80731=""),"-",(3968.80731-4169.73362)/2808282.38613*100)</f>
        <v>-7.1547758513305941E-3</v>
      </c>
      <c r="G65" s="30">
        <f>IF(OR(2393616.81978="",6319.25872="",3968.80731=""),"-",(6319.25872-3968.80731)/2393616.81978*100)</f>
        <v>9.8196644950716561E-2</v>
      </c>
    </row>
    <row r="66" spans="1:7" s="33" customFormat="1" x14ac:dyDescent="0.2">
      <c r="A66" s="126" t="s">
        <v>62</v>
      </c>
      <c r="B66" s="35">
        <v>6211.4501099999998</v>
      </c>
      <c r="C66" s="30">
        <f>IF(OR(5704.74095="",6211.45011=""),"-",6211.45011/5704.74095*100)</f>
        <v>108.88224661629901</v>
      </c>
      <c r="D66" s="30">
        <f>IF(5704.74095="","-",5704.74095/2393616.81978*100)</f>
        <v>0.23833141975181846</v>
      </c>
      <c r="E66" s="30">
        <f>IF(6211.45011="","-",6211.45011/3266364.96356*100)</f>
        <v>0.1901639951228892</v>
      </c>
      <c r="F66" s="30">
        <f>IF(OR(2808282.38613="",6169.86558="",5704.74095=""),"-",(5704.74095-6169.86558)/2808282.38613*100)</f>
        <v>-1.6562601834389311E-2</v>
      </c>
      <c r="G66" s="30">
        <f>IF(OR(2393616.81978="",6211.45011="",5704.74095=""),"-",(6211.45011-5704.74095)/2393616.81978*100)</f>
        <v>2.1169184466483304E-2</v>
      </c>
    </row>
    <row r="67" spans="1:7" s="33" customFormat="1" x14ac:dyDescent="0.2">
      <c r="A67" s="126" t="s">
        <v>71</v>
      </c>
      <c r="B67" s="29">
        <v>5917.8044099999997</v>
      </c>
      <c r="C67" s="30">
        <f>IF(OR(4381.92138="",5917.80441=""),"-",5917.80441/4381.92138*100)</f>
        <v>135.05044697995015</v>
      </c>
      <c r="D67" s="30">
        <f>IF(4381.92138="","-",4381.92138/2393616.81978*100)</f>
        <v>0.18306695306405588</v>
      </c>
      <c r="E67" s="30">
        <f>IF(5917.80441="","-",5917.80441/3266364.96356*100)</f>
        <v>0.18117401074343528</v>
      </c>
      <c r="F67" s="30">
        <f>IF(OR(2808282.38613="",4913.33785="",4381.92138=""),"-",(4381.92138-4913.33785)/2808282.38613*100)</f>
        <v>-1.892318495549614E-2</v>
      </c>
      <c r="G67" s="30">
        <f>IF(OR(2393616.81978="",5917.80441="",4381.92138=""),"-",(5917.80441-4381.92138)/2393616.81978*100)</f>
        <v>6.4165785321527141E-2</v>
      </c>
    </row>
    <row r="68" spans="1:7" s="33" customFormat="1" x14ac:dyDescent="0.2">
      <c r="A68" s="126" t="s">
        <v>74</v>
      </c>
      <c r="B68" s="35">
        <v>5788.8465800000004</v>
      </c>
      <c r="C68" s="30">
        <f>IF(OR(4432.5405="",5788.84658=""),"-",5788.84658/4432.5405*100)</f>
        <v>130.59884235688315</v>
      </c>
      <c r="D68" s="30">
        <f>IF(4432.5405="","-",4432.5405/2393616.81978*100)</f>
        <v>0.1851817075887443</v>
      </c>
      <c r="E68" s="30">
        <f>IF(5788.84658="","-",5788.84658/3266364.96356*100)</f>
        <v>0.17722595743528782</v>
      </c>
      <c r="F68" s="30">
        <f>IF(OR(2808282.38613="",3386.86621="",4432.5405=""),"-",(4432.5405-3386.86621)/2808282.38613*100)</f>
        <v>3.7235368322094162E-2</v>
      </c>
      <c r="G68" s="30">
        <f>IF(OR(2393616.81978="",5788.84658="",4432.5405=""),"-",(5788.84658-4432.5405)/2393616.81978*100)</f>
        <v>5.6663458778864188E-2</v>
      </c>
    </row>
    <row r="69" spans="1:7" s="33" customFormat="1" x14ac:dyDescent="0.2">
      <c r="A69" s="126" t="s">
        <v>83</v>
      </c>
      <c r="B69" s="29">
        <v>5131.7491799999998</v>
      </c>
      <c r="C69" s="30">
        <f>IF(OR(4739.60809="",5131.74918=""),"-",5131.74918/4739.60809*100)</f>
        <v>108.27370285799304</v>
      </c>
      <c r="D69" s="30">
        <f>IF(4739.60809="","-",4739.60809/2393616.81978*100)</f>
        <v>0.19801031020644405</v>
      </c>
      <c r="E69" s="30">
        <f>IF(5131.74918="","-",5131.74918/3266364.96356*100)</f>
        <v>0.1571088729290962</v>
      </c>
      <c r="F69" s="30">
        <f>IF(OR(2808282.38613="",4782.16544="",4739.60809=""),"-",(4739.60809-4782.16544)/2808282.38613*100)</f>
        <v>-1.5154227441723516E-3</v>
      </c>
      <c r="G69" s="30">
        <f>IF(OR(2393616.81978="",5131.74918="",4739.60809=""),"-",(5131.74918-4739.60809)/2393616.81978*100)</f>
        <v>1.6382784694671481E-2</v>
      </c>
    </row>
    <row r="70" spans="1:7" s="33" customFormat="1" x14ac:dyDescent="0.2">
      <c r="A70" s="126" t="s">
        <v>65</v>
      </c>
      <c r="B70" s="29">
        <v>4017.3282100000001</v>
      </c>
      <c r="C70" s="30">
        <f>IF(OR(2875.41159="",4017.32821=""),"-",4017.32821/2875.41159*100)</f>
        <v>139.71315355239281</v>
      </c>
      <c r="D70" s="30">
        <f>IF(2875.41159="","-",2875.41159/2393616.81978*100)</f>
        <v>0.12012831653916446</v>
      </c>
      <c r="E70" s="30">
        <f>IF(4017.32821="","-",4017.32821/3266364.96356*100)</f>
        <v>0.12299079419531636</v>
      </c>
      <c r="F70" s="30">
        <f>IF(OR(2808282.38613="",2533.35398="",2875.41159=""),"-",(2875.41159-2533.35398)/2808282.38613*100)</f>
        <v>1.2180313906087573E-2</v>
      </c>
      <c r="G70" s="30">
        <f>IF(OR(2393616.81978="",4017.32821="",2875.41159=""),"-",(4017.32821-2875.41159)/2393616.81978*100)</f>
        <v>4.7706742807102881E-2</v>
      </c>
    </row>
    <row r="71" spans="1:7" s="33" customFormat="1" x14ac:dyDescent="0.2">
      <c r="A71" s="126" t="s">
        <v>85</v>
      </c>
      <c r="B71" s="35">
        <v>4006.5983799999999</v>
      </c>
      <c r="C71" s="30" t="s">
        <v>202</v>
      </c>
      <c r="D71" s="30">
        <f>IF(2197.62702="","-",2197.62702/2393616.81978*100)</f>
        <v>9.1811981008805998E-2</v>
      </c>
      <c r="E71" s="30">
        <f>IF(4006.59838="","-",4006.59838/3266364.96356*100)</f>
        <v>0.12266229967251492</v>
      </c>
      <c r="F71" s="30">
        <f>IF(OR(2808282.38613="",4311.41864="",2197.62702=""),"-",(2197.62702-4311.41864)/2808282.38613*100)</f>
        <v>-7.5269909836700774E-2</v>
      </c>
      <c r="G71" s="30">
        <f>IF(OR(2393616.81978="",4006.59838="",2197.62702=""),"-",(4006.59838-2197.62702)/2393616.81978*100)</f>
        <v>7.5574809846392393E-2</v>
      </c>
    </row>
    <row r="72" spans="1:7" s="33" customFormat="1" x14ac:dyDescent="0.2">
      <c r="A72" s="126" t="s">
        <v>84</v>
      </c>
      <c r="B72" s="35">
        <v>3830.08005</v>
      </c>
      <c r="C72" s="30">
        <f>IF(OR(2915.23802="",3830.08005=""),"-",3830.08005/2915.23802*100)</f>
        <v>131.38138374032323</v>
      </c>
      <c r="D72" s="30">
        <f>IF(2915.23802="","-",2915.23802/2393616.81978*100)</f>
        <v>0.12179217642145172</v>
      </c>
      <c r="E72" s="30">
        <f>IF(3830.08005="","-",3830.08005/3266364.96356*100)</f>
        <v>0.11725817821121891</v>
      </c>
      <c r="F72" s="30">
        <f>IF(OR(2808282.38613="",2673.7985="",2915.23802=""),"-",(2915.23802-2673.7985)/2808282.38613*100)</f>
        <v>8.5974089070408495E-3</v>
      </c>
      <c r="G72" s="30">
        <f>IF(OR(2393616.81978="",3830.08005="",2915.23802=""),"-",(3830.08005-2915.23802)/2393616.81978*100)</f>
        <v>3.822007024850721E-2</v>
      </c>
    </row>
    <row r="73" spans="1:7" s="33" customFormat="1" x14ac:dyDescent="0.2">
      <c r="A73" s="126" t="s">
        <v>63</v>
      </c>
      <c r="B73" s="29">
        <v>3778.33329</v>
      </c>
      <c r="C73" s="30">
        <f>IF(OR(4705.85014="",3778.33329=""),"-",3778.33329/4705.85014*100)</f>
        <v>80.290132018526208</v>
      </c>
      <c r="D73" s="30">
        <f>IF(4705.85014="","-",4705.85014/2393616.81978*100)</f>
        <v>0.19659997795438786</v>
      </c>
      <c r="E73" s="30">
        <f>IF(3778.33329="","-",3778.33329/3266364.96356*100)</f>
        <v>0.11567394740488543</v>
      </c>
      <c r="F73" s="30">
        <f>IF(OR(2808282.38613="",5009.73796="",4705.85014=""),"-",(4705.85014-5009.73796)/2808282.38613*100)</f>
        <v>-1.0821127586773012E-2</v>
      </c>
      <c r="G73" s="30">
        <f>IF(OR(2393616.81978="",3778.33329="",4705.85014=""),"-",(3778.33329-4705.85014)/2393616.81978*100)</f>
        <v>-3.8749596106416422E-2</v>
      </c>
    </row>
    <row r="74" spans="1:7" s="33" customFormat="1" x14ac:dyDescent="0.2">
      <c r="A74" s="126" t="s">
        <v>68</v>
      </c>
      <c r="B74" s="29">
        <v>3184.32539</v>
      </c>
      <c r="C74" s="30">
        <f>IF(OR(2307.18863="",3184.32539=""),"-",3184.32539/2307.18863*100)</f>
        <v>138.01755732473421</v>
      </c>
      <c r="D74" s="30">
        <f>IF(2307.18863="","-",2307.18863/2393616.81978*100)</f>
        <v>9.6389221989677379E-2</v>
      </c>
      <c r="E74" s="30">
        <f>IF(3184.32539="","-",3184.32539/3266364.96356*100)</f>
        <v>9.7488352511882648E-2</v>
      </c>
      <c r="F74" s="30">
        <f>IF(OR(2808282.38613="",2417.41929="",2307.18863=""),"-",(2307.18863-2417.41929)/2808282.38613*100)</f>
        <v>-3.9251985677944915E-3</v>
      </c>
      <c r="G74" s="30">
        <f>IF(OR(2393616.81978="",3184.32539="",2307.18863=""),"-",(3184.32539-2307.18863)/2393616.81978*100)</f>
        <v>3.6644827724790913E-2</v>
      </c>
    </row>
    <row r="75" spans="1:7" s="33" customFormat="1" x14ac:dyDescent="0.2">
      <c r="A75" s="126" t="s">
        <v>88</v>
      </c>
      <c r="B75" s="29">
        <v>3002.4127400000002</v>
      </c>
      <c r="C75" s="30" t="s">
        <v>369</v>
      </c>
      <c r="D75" s="30">
        <f>IF(1190.72494="","-",1190.72494/2393616.81978*100)</f>
        <v>4.9745846125422905E-2</v>
      </c>
      <c r="E75" s="30">
        <f>IF(3002.41274="","-",3002.41274/3266364.96356*100)</f>
        <v>9.1919083552980577E-2</v>
      </c>
      <c r="F75" s="30">
        <f>IF(OR(2808282.38613="",1602.59373="",1190.72494=""),"-",(1190.72494-1602.59373)/2808282.38613*100)</f>
        <v>-1.4666217045486747E-2</v>
      </c>
      <c r="G75" s="30">
        <f>IF(OR(2393616.81978="",3002.41274="",1190.72494=""),"-",(3002.41274-1190.72494)/2393616.81978*100)</f>
        <v>7.5688296682612483E-2</v>
      </c>
    </row>
    <row r="76" spans="1:7" s="33" customFormat="1" x14ac:dyDescent="0.2">
      <c r="A76" s="126" t="s">
        <v>127</v>
      </c>
      <c r="B76" s="35">
        <v>2986.0702099999999</v>
      </c>
      <c r="C76" s="30">
        <f>IF(OR(2675.64728="",2986.07021=""),"-",2986.07021/2675.64728*100)</f>
        <v>111.60178818487614</v>
      </c>
      <c r="D76" s="30">
        <f>IF(2675.64728="","-",2675.64728/2393616.81978*100)</f>
        <v>0.11178260688550483</v>
      </c>
      <c r="E76" s="30">
        <f>IF(2986.07021="","-",2986.07021/3266364.96356*100)</f>
        <v>9.141875581305195E-2</v>
      </c>
      <c r="F76" s="30">
        <f>IF(OR(2808282.38613="",3246.10899="",2675.64728=""),"-",(2675.64728-3246.10899)/2808282.38613*100)</f>
        <v>-2.0313545134117879E-2</v>
      </c>
      <c r="G76" s="30">
        <f>IF(OR(2393616.81978="",2986.07021="",2675.64728=""),"-",(2986.07021-2675.64728)/2393616.81978*100)</f>
        <v>1.2968781278389036E-2</v>
      </c>
    </row>
    <row r="77" spans="1:7" s="33" customFormat="1" x14ac:dyDescent="0.2">
      <c r="A77" s="126" t="s">
        <v>75</v>
      </c>
      <c r="B77" s="29">
        <v>2297.2506800000001</v>
      </c>
      <c r="C77" s="30">
        <f>IF(OR(2640.98994="",2297.25068=""),"-",2297.25068/2640.98994*100)</f>
        <v>86.98445401878358</v>
      </c>
      <c r="D77" s="30">
        <f>IF(2640.98994="","-",2640.98994/2393616.81978*100)</f>
        <v>0.11033470011472998</v>
      </c>
      <c r="E77" s="30">
        <f>IF(2297.25068="","-",2297.25068/3266364.96356*100)</f>
        <v>7.0330495998715173E-2</v>
      </c>
      <c r="F77" s="30">
        <f>IF(OR(2808282.38613="",2047.67188="",2640.98994=""),"-",(2640.98994-2047.67188)/2808282.38613*100)</f>
        <v>2.1127435863657274E-2</v>
      </c>
      <c r="G77" s="30">
        <f>IF(OR(2393616.81978="",2297.25068="",2640.98994=""),"-",(2297.25068-2640.98994)/2393616.81978*100)</f>
        <v>-1.4360663626669922E-2</v>
      </c>
    </row>
    <row r="78" spans="1:7" s="33" customFormat="1" x14ac:dyDescent="0.2">
      <c r="A78" s="126" t="s">
        <v>73</v>
      </c>
      <c r="B78" s="35">
        <v>2238.1896400000001</v>
      </c>
      <c r="C78" s="30" t="s">
        <v>340</v>
      </c>
      <c r="D78" s="30">
        <f>IF(1014.07489="","-",1014.07489/2393616.81978*100)</f>
        <v>4.2365798970831293E-2</v>
      </c>
      <c r="E78" s="30">
        <f>IF(2238.18964="","-",2238.18964/3266364.96356*100)</f>
        <v>6.8522337980278986E-2</v>
      </c>
      <c r="F78" s="30">
        <f>IF(OR(2808282.38613="",856.96842="",1014.07489=""),"-",(1014.07489-856.96842)/2808282.38613*100)</f>
        <v>5.5943971580615552E-3</v>
      </c>
      <c r="G78" s="30">
        <f>IF(OR(2393616.81978="",2238.18964="",1014.07489=""),"-",(2238.18964-1014.07489)/2393616.81978*100)</f>
        <v>5.1140798305073322E-2</v>
      </c>
    </row>
    <row r="79" spans="1:7" s="33" customFormat="1" x14ac:dyDescent="0.2">
      <c r="A79" s="126" t="s">
        <v>39</v>
      </c>
      <c r="B79" s="29">
        <v>1992.72081</v>
      </c>
      <c r="C79" s="30">
        <f>IF(OR(1696.04439="",1992.72081=""),"-",1992.72081/1696.04439*100)</f>
        <v>117.49225561248429</v>
      </c>
      <c r="D79" s="30">
        <f>IF(1696.04439="","-",1696.04439/2393616.81978*100)</f>
        <v>7.0856971591463216E-2</v>
      </c>
      <c r="E79" s="30">
        <f>IF(1992.72081="","-",1992.72081/3266364.96356*100)</f>
        <v>6.1007291966178219E-2</v>
      </c>
      <c r="F79" s="30">
        <f>IF(OR(2808282.38613="",1683.07679="",1696.04439=""),"-",(1696.04439-1683.07679)/2808282.38613*100)</f>
        <v>4.6176267970936372E-4</v>
      </c>
      <c r="G79" s="30">
        <f>IF(OR(2393616.81978="",1992.72081="",1696.04439=""),"-",(1992.72081-1696.04439)/2393616.81978*100)</f>
        <v>1.2394482590044126E-2</v>
      </c>
    </row>
    <row r="80" spans="1:7" s="33" customFormat="1" x14ac:dyDescent="0.2">
      <c r="A80" s="126" t="s">
        <v>58</v>
      </c>
      <c r="B80" s="29">
        <v>1838.8978199999999</v>
      </c>
      <c r="C80" s="30">
        <f>IF(OR(3041.24285="",1838.89782=""),"-",1838.89782/3041.24285*100)</f>
        <v>60.465339688344841</v>
      </c>
      <c r="D80" s="30">
        <f>IF(3041.24285="","-",3041.24285/2393616.81978*100)</f>
        <v>0.12705637865126318</v>
      </c>
      <c r="E80" s="30">
        <f>IF(1838.89782="","-",1838.89782/3266364.96356*100)</f>
        <v>5.6297989983207244E-2</v>
      </c>
      <c r="F80" s="30">
        <f>IF(OR(2808282.38613="",1423.46346="",3041.24285=""),"-",(3041.24285-1423.46346)/2808282.38613*100)</f>
        <v>5.7607432856117004E-2</v>
      </c>
      <c r="G80" s="30">
        <f>IF(OR(2393616.81978="",1838.89782="",3041.24285=""),"-",(1838.89782-3041.24285)/2393616.81978*100)</f>
        <v>-5.0231307704067238E-2</v>
      </c>
    </row>
    <row r="81" spans="1:7" s="33" customFormat="1" x14ac:dyDescent="0.2">
      <c r="A81" s="126" t="s">
        <v>89</v>
      </c>
      <c r="B81" s="29">
        <v>1816.04702</v>
      </c>
      <c r="C81" s="30" t="s">
        <v>293</v>
      </c>
      <c r="D81" s="30">
        <f>IF(621.68512="","-",621.68512/2393616.81978*100)</f>
        <v>2.597262497750746E-2</v>
      </c>
      <c r="E81" s="30">
        <f>IF(1816.04702="","-",1816.04702/3266364.96356*100)</f>
        <v>5.5598411085719474E-2</v>
      </c>
      <c r="F81" s="30">
        <f>IF(OR(2808282.38613="",696.09093="",621.68512=""),"-",(621.68512-696.09093)/2808282.38613*100)</f>
        <v>-2.6495131104865891E-3</v>
      </c>
      <c r="G81" s="30">
        <f>IF(OR(2393616.81978="",1816.04702="",621.68512=""),"-",(1816.04702-621.68512)/2393616.81978*100)</f>
        <v>4.9897790244880336E-2</v>
      </c>
    </row>
    <row r="82" spans="1:7" s="33" customFormat="1" x14ac:dyDescent="0.2">
      <c r="A82" s="126" t="s">
        <v>80</v>
      </c>
      <c r="B82" s="35">
        <v>1812.8593499999999</v>
      </c>
      <c r="C82" s="30">
        <f>IF(OR(2414.04786="",1812.85935=""),"-",1812.85935/2414.04786*100)</f>
        <v>75.096247263299901</v>
      </c>
      <c r="D82" s="30">
        <f>IF(2414.04786="","-",2414.04786/2393616.81978*100)</f>
        <v>0.10085356352993366</v>
      </c>
      <c r="E82" s="30">
        <f>IF(1812.85935="","-",1812.85935/3266364.96356*100)</f>
        <v>5.5500820337730128E-2</v>
      </c>
      <c r="F82" s="30">
        <f>IF(OR(2808282.38613="",2727.89411="",2414.04786=""),"-",(2414.04786-2727.89411)/2808282.38613*100)</f>
        <v>-1.1175736868559756E-2</v>
      </c>
      <c r="G82" s="30">
        <f>IF(OR(2393616.81978="",1812.85935="",2414.04786=""),"-",(1812.85935-2414.04786)/2393616.81978*100)</f>
        <v>-2.5116322087645429E-2</v>
      </c>
    </row>
    <row r="83" spans="1:7" s="33" customFormat="1" x14ac:dyDescent="0.2">
      <c r="A83" s="126" t="s">
        <v>87</v>
      </c>
      <c r="B83" s="29">
        <v>1741.0697299999999</v>
      </c>
      <c r="C83" s="30" t="s">
        <v>344</v>
      </c>
      <c r="D83" s="30">
        <f>IF(1047.85769="","-",1047.85769/2393616.81978*100)</f>
        <v>4.37771694007527E-2</v>
      </c>
      <c r="E83" s="30">
        <f>IF(1741.06973="","-",1741.06973/3266364.96356*100)</f>
        <v>5.3302975920437687E-2</v>
      </c>
      <c r="F83" s="30">
        <f>IF(OR(2808282.38613="",1293.70826="",1047.85769=""),"-",(1047.85769-1293.70826)/2808282.38613*100)</f>
        <v>-8.7544817862422481E-3</v>
      </c>
      <c r="G83" s="30">
        <f>IF(OR(2393616.81978="",1741.06973="",1047.85769=""),"-",(1741.06973-1047.85769)/2393616.81978*100)</f>
        <v>2.8960860997948441E-2</v>
      </c>
    </row>
    <row r="84" spans="1:7" s="33" customFormat="1" x14ac:dyDescent="0.2">
      <c r="A84" s="126" t="s">
        <v>91</v>
      </c>
      <c r="B84" s="35">
        <v>1706.0112899999999</v>
      </c>
      <c r="C84" s="30" t="s">
        <v>20</v>
      </c>
      <c r="D84" s="30">
        <f>IF(866.66793="","-",866.66793/2393616.81978*100)</f>
        <v>3.6207463234639886E-2</v>
      </c>
      <c r="E84" s="30">
        <f>IF(1706.01129="","-",1706.01129/3266364.96356*100)</f>
        <v>5.2229659239934542E-2</v>
      </c>
      <c r="F84" s="30">
        <f>IF(OR(2808282.38613="",1424.43395="",866.66793=""),"-",(866.66793-1424.43395)/2808282.38613*100)</f>
        <v>-1.9861464885254608E-2</v>
      </c>
      <c r="G84" s="30">
        <f>IF(OR(2393616.81978="",1706.01129="",866.66793=""),"-",(1706.01129-866.66793)/2393616.81978*100)</f>
        <v>3.5065903325209126E-2</v>
      </c>
    </row>
    <row r="85" spans="1:7" s="33" customFormat="1" x14ac:dyDescent="0.2">
      <c r="A85" s="126" t="s">
        <v>330</v>
      </c>
      <c r="B85" s="29">
        <v>1610.3985499999999</v>
      </c>
      <c r="C85" s="30" t="s">
        <v>341</v>
      </c>
      <c r="D85" s="30">
        <f>IF(827.17652="","-",827.17652/2393616.81978*100)</f>
        <v>3.4557599744641947E-2</v>
      </c>
      <c r="E85" s="30">
        <f>IF(1610.39855="","-",1610.39855/3266364.96356*100)</f>
        <v>4.9302468277911973E-2</v>
      </c>
      <c r="F85" s="30">
        <f>IF(OR(2808282.38613="",1733.5922="",827.17652=""),"-",(827.17652-1733.5922)/2808282.38613*100)</f>
        <v>-3.2276514800532619E-2</v>
      </c>
      <c r="G85" s="30">
        <f>IF(OR(2393616.81978="",1610.39855="",827.17652=""),"-",(1610.39855-827.17652)/2393616.81978*100)</f>
        <v>3.2721278674503411E-2</v>
      </c>
    </row>
    <row r="86" spans="1:7" s="33" customFormat="1" x14ac:dyDescent="0.2">
      <c r="A86" s="126" t="s">
        <v>37</v>
      </c>
      <c r="B86" s="29">
        <v>1383.3052600000001</v>
      </c>
      <c r="C86" s="30">
        <f>IF(OR(1790.79367="",1383.30526=""),"-",1383.30526/1790.79367*100)</f>
        <v>77.245373555514078</v>
      </c>
      <c r="D86" s="30">
        <f>IF(1790.79367="","-",1790.79367/2393616.81978*100)</f>
        <v>7.4815386289130176E-2</v>
      </c>
      <c r="E86" s="30">
        <f>IF(1383.30526="","-",1383.30526/3266364.96356*100)</f>
        <v>4.2349990752176707E-2</v>
      </c>
      <c r="F86" s="30">
        <f>IF(OR(2808282.38613="",1106.21585="",1790.79367=""),"-",(1790.79367-1106.21585)/2808282.38613*100)</f>
        <v>2.4377100514574451E-2</v>
      </c>
      <c r="G86" s="30">
        <f>IF(OR(2393616.81978="",1383.30526="",1790.79367=""),"-",(1383.30526-1790.79367)/2393616.81978*100)</f>
        <v>-1.7023961673090709E-2</v>
      </c>
    </row>
    <row r="87" spans="1:7" s="33" customFormat="1" x14ac:dyDescent="0.2">
      <c r="A87" s="126" t="s">
        <v>93</v>
      </c>
      <c r="B87" s="29">
        <v>1266.2529300000001</v>
      </c>
      <c r="C87" s="30" t="s">
        <v>212</v>
      </c>
      <c r="D87" s="30">
        <f>IF(539.14358="","-",539.14358/2393616.81978*100)</f>
        <v>2.2524222571662634E-2</v>
      </c>
      <c r="E87" s="30">
        <f>IF(1266.25293="","-",1266.25293/3266364.96356*100)</f>
        <v>3.8766425189055279E-2</v>
      </c>
      <c r="F87" s="30">
        <f>IF(OR(2808282.38613="",401.35061="",539.14358=""),"-",(539.14358-401.35061)/2808282.38613*100)</f>
        <v>4.9066636133372581E-3</v>
      </c>
      <c r="G87" s="30">
        <f>IF(OR(2393616.81978="",1266.25293="",539.14358=""),"-",(1266.25293-539.14358)/2393616.81978*100)</f>
        <v>3.0377015401605905E-2</v>
      </c>
    </row>
    <row r="88" spans="1:7" s="33" customFormat="1" x14ac:dyDescent="0.2">
      <c r="A88" s="126" t="s">
        <v>86</v>
      </c>
      <c r="B88" s="35">
        <v>1232.78216</v>
      </c>
      <c r="C88" s="30">
        <f>IF(OR(2621.44151="",1232.78216=""),"-",1232.78216/2621.44151*100)</f>
        <v>47.026880260242763</v>
      </c>
      <c r="D88" s="30">
        <f>IF(2621.44151="","-",2621.44151/2393616.81978*100)</f>
        <v>0.10951801008153594</v>
      </c>
      <c r="E88" s="30">
        <f>IF(1232.78216="","-",1232.78216/3266364.96356*100)</f>
        <v>3.7741715140625159E-2</v>
      </c>
      <c r="F88" s="30">
        <f>IF(OR(2808282.38613="",1283.83797="",2621.44151=""),"-",(2621.44151-1283.83797)/2808282.38613*100)</f>
        <v>4.7630663732620808E-2</v>
      </c>
      <c r="G88" s="30">
        <f>IF(OR(2393616.81978="",1232.78216="",2621.44151=""),"-",(1232.78216-2621.44151)/2393616.81978*100)</f>
        <v>-5.8015106617091423E-2</v>
      </c>
    </row>
    <row r="89" spans="1:7" s="33" customFormat="1" x14ac:dyDescent="0.2">
      <c r="A89" s="126" t="s">
        <v>315</v>
      </c>
      <c r="B89" s="29">
        <v>1155.11582</v>
      </c>
      <c r="C89" s="30">
        <f>IF(OR(850.62993="",1155.11582=""),"-",1155.11582/850.62993*100)</f>
        <v>135.79534169459569</v>
      </c>
      <c r="D89" s="30">
        <f>IF(850.62993="","-",850.62993/2393616.81978*100)</f>
        <v>3.5537431178236052E-2</v>
      </c>
      <c r="E89" s="30">
        <f>IF(1155.11582="","-",1155.11582/3266364.96356*100)</f>
        <v>3.5363954514777897E-2</v>
      </c>
      <c r="F89" s="30">
        <f>IF(OR(2808282.38613="",1099.28612="",850.62993=""),"-",(850.62993-1099.28612)/2808282.38613*100)</f>
        <v>-8.8543869814554088E-3</v>
      </c>
      <c r="G89" s="30">
        <f>IF(OR(2393616.81978="",1155.11582="",850.62993=""),"-",(1155.11582-850.62993)/2393616.81978*100)</f>
        <v>1.2720744919731374E-2</v>
      </c>
    </row>
    <row r="90" spans="1:7" x14ac:dyDescent="0.2">
      <c r="A90" s="126" t="s">
        <v>38</v>
      </c>
      <c r="B90" s="29">
        <v>1112.54844</v>
      </c>
      <c r="C90" s="30">
        <f>IF(OR(1482.21709="",1112.54844=""),"-",1112.54844/1482.21709*100)</f>
        <v>75.059749850813006</v>
      </c>
      <c r="D90" s="30">
        <f>IF(1482.21709="","-",1482.21709/2393616.81978*100)</f>
        <v>6.1923741417234543E-2</v>
      </c>
      <c r="E90" s="30">
        <f>IF(1112.54844="","-",1112.54844/3266364.96356*100)</f>
        <v>3.4060751092169363E-2</v>
      </c>
      <c r="F90" s="30">
        <f>IF(OR(2808282.38613="",1304.72071="",1482.21709=""),"-",(1482.21709-1304.72071)/2808282.38613*100)</f>
        <v>6.320460537610032E-3</v>
      </c>
      <c r="G90" s="30">
        <f>IF(OR(2393616.81978="",1112.54844="",1482.21709=""),"-",(1112.54844-1482.21709)/2393616.81978*100)</f>
        <v>-1.5443936011194002E-2</v>
      </c>
    </row>
    <row r="91" spans="1:7" x14ac:dyDescent="0.2">
      <c r="A91" s="126" t="s">
        <v>96</v>
      </c>
      <c r="B91" s="35">
        <v>941.47814000000005</v>
      </c>
      <c r="C91" s="30">
        <f>IF(OR(743.62848="",941.47814=""),"-",941.47814/743.62848*100)</f>
        <v>126.60598206244065</v>
      </c>
      <c r="D91" s="30">
        <f>IF(743.62848="","-",743.62848/2393616.81978*100)</f>
        <v>3.106714800192404E-2</v>
      </c>
      <c r="E91" s="30">
        <f>IF(941.47814="","-",941.47814/3266364.96356*100)</f>
        <v>2.8823421464020553E-2</v>
      </c>
      <c r="F91" s="30">
        <f>IF(OR(2808282.38613="",566.28353="",743.62848=""),"-",(743.62848-566.28353)/2808282.38613*100)</f>
        <v>6.3150682736145018E-3</v>
      </c>
      <c r="G91" s="30">
        <f>IF(OR(2393616.81978="",941.47814="",743.62848=""),"-",(941.47814-743.62848)/2393616.81978*100)</f>
        <v>8.2657198247037995E-3</v>
      </c>
    </row>
    <row r="92" spans="1:7" x14ac:dyDescent="0.2">
      <c r="A92" s="126" t="s">
        <v>119</v>
      </c>
      <c r="B92" s="35">
        <v>847.73945000000003</v>
      </c>
      <c r="C92" s="30" t="s">
        <v>372</v>
      </c>
      <c r="D92" s="30">
        <f>IF(41.22198="","-",41.22198/2393616.81978*100)</f>
        <v>1.7221628649730478E-3</v>
      </c>
      <c r="E92" s="30">
        <f>IF(847.73945="","-",847.73945/3266364.96356*100)</f>
        <v>2.5953604678518587E-2</v>
      </c>
      <c r="F92" s="30">
        <f>IF(OR(2808282.38613="",0.95953="",41.22198=""),"-",(41.22198-0.95953)/2808282.38613*100)</f>
        <v>1.4337037542540136E-3</v>
      </c>
      <c r="G92" s="30">
        <f>IF(OR(2393616.81978="",847.73945="",41.22198=""),"-",(847.73945-41.22198)/2393616.81978*100)</f>
        <v>3.3694510471986405E-2</v>
      </c>
    </row>
    <row r="93" spans="1:7" x14ac:dyDescent="0.2">
      <c r="A93" s="126" t="s">
        <v>141</v>
      </c>
      <c r="B93" s="29">
        <v>706.29034999999999</v>
      </c>
      <c r="C93" s="30" t="s">
        <v>344</v>
      </c>
      <c r="D93" s="30">
        <f>IF(420.05081="","-",420.05081/2393616.81978*100)</f>
        <v>1.7548790872826812E-2</v>
      </c>
      <c r="E93" s="30">
        <f>IF(706.29035="","-",706.29035/3266364.96356*100)</f>
        <v>2.1623130234357416E-2</v>
      </c>
      <c r="F93" s="30">
        <f>IF(OR(2808282.38613="",583.91204="",420.05081=""),"-",(420.05081-583.91204)/2808282.38613*100)</f>
        <v>-5.8349271002554595E-3</v>
      </c>
      <c r="G93" s="30">
        <f>IF(OR(2393616.81978="",706.29035="",420.05081=""),"-",(706.29035-420.05081)/2393616.81978*100)</f>
        <v>1.1958452900005464E-2</v>
      </c>
    </row>
    <row r="94" spans="1:7" x14ac:dyDescent="0.2">
      <c r="A94" s="126" t="s">
        <v>331</v>
      </c>
      <c r="B94" s="35">
        <v>653.21790999999996</v>
      </c>
      <c r="C94" s="30" t="s">
        <v>344</v>
      </c>
      <c r="D94" s="30">
        <f>IF(384.172="","-",384.172/2393616.81978*100)</f>
        <v>1.6049853795533978E-2</v>
      </c>
      <c r="E94" s="30">
        <f>IF(653.21791="","-",653.21791/3266364.96356*100)</f>
        <v>1.9998313638781504E-2</v>
      </c>
      <c r="F94" s="30">
        <f>IF(OR(2808282.38613="",439.25026="",384.172=""),"-",(384.172-439.25026)/2808282.38613*100)</f>
        <v>-1.9612792599501185E-3</v>
      </c>
      <c r="G94" s="30">
        <f>IF(OR(2393616.81978="",653.21791="",384.172=""),"-",(653.21791-384.172)/2393616.81978*100)</f>
        <v>1.1240141186204073E-2</v>
      </c>
    </row>
    <row r="95" spans="1:7" x14ac:dyDescent="0.2">
      <c r="A95" s="126" t="s">
        <v>67</v>
      </c>
      <c r="B95" s="35">
        <v>533.55592000000001</v>
      </c>
      <c r="C95" s="30">
        <f>IF(OR(583.97011="",533.55592=""),"-",533.55592/583.97011*100)</f>
        <v>91.366991368787694</v>
      </c>
      <c r="D95" s="30">
        <f>IF(583.97011="","-",583.97011/2393616.81978*100)</f>
        <v>2.439697553820136E-2</v>
      </c>
      <c r="E95" s="30">
        <f>IF(533.55592="","-",533.55592/3266364.96356*100)</f>
        <v>1.6334853145696226E-2</v>
      </c>
      <c r="F95" s="30">
        <f>IF(OR(2808282.38613="",976.35545="",583.97011=""),"-",(583.97011-976.35545)/2808282.38613*100)</f>
        <v>-1.3972431758927675E-2</v>
      </c>
      <c r="G95" s="30">
        <f>IF(OR(2393616.81978="",533.55592="",583.97011=""),"-",(533.55592-583.97011)/2393616.81978*100)</f>
        <v>-2.1061930039676774E-3</v>
      </c>
    </row>
    <row r="96" spans="1:7" x14ac:dyDescent="0.2">
      <c r="A96" s="126" t="s">
        <v>64</v>
      </c>
      <c r="B96" s="35">
        <v>523.69906000000003</v>
      </c>
      <c r="C96" s="30">
        <f>IF(OR(362.93412="",523.69906=""),"-",523.69906/362.93412*100)</f>
        <v>144.29590141593741</v>
      </c>
      <c r="D96" s="30">
        <f>IF(362.93412="","-",362.93412/2393616.81978*100)</f>
        <v>1.5162582289731641E-2</v>
      </c>
      <c r="E96" s="30">
        <f>IF(523.69906="","-",523.69906/3266364.96356*100)</f>
        <v>1.6033084662689445E-2</v>
      </c>
      <c r="F96" s="30">
        <f>IF(OR(2808282.38613="",222.08877="",362.93412=""),"-",(362.93412-222.08877)/2808282.38613*100)</f>
        <v>5.0153556741882451E-3</v>
      </c>
      <c r="G96" s="30">
        <f>IF(OR(2393616.81978="",523.69906="",362.93412=""),"-",(523.69906-362.93412)/2393616.81978*100)</f>
        <v>6.7164025031699152E-3</v>
      </c>
    </row>
    <row r="97" spans="1:7" x14ac:dyDescent="0.2">
      <c r="A97" s="126" t="s">
        <v>97</v>
      </c>
      <c r="B97" s="35">
        <v>503.27562</v>
      </c>
      <c r="C97" s="30" t="s">
        <v>212</v>
      </c>
      <c r="D97" s="30">
        <f>IF(221.3578="","-",221.3578/2393616.81978*100)</f>
        <v>9.2478377562681575E-3</v>
      </c>
      <c r="E97" s="30">
        <f>IF(503.27562="","-",503.27562/3266364.96356*100)</f>
        <v>1.5407819567458304E-2</v>
      </c>
      <c r="F97" s="30">
        <f>IF(OR(2808282.38613="",541.43486="",221.3578=""),"-",(221.3578-541.43486)/2808282.38613*100)</f>
        <v>-1.1397609498989433E-2</v>
      </c>
      <c r="G97" s="30">
        <f>IF(OR(2393616.81978="",503.27562="",221.3578=""),"-",(503.27562-221.3578)/2393616.81978*100)</f>
        <v>1.1777901027028687E-2</v>
      </c>
    </row>
    <row r="98" spans="1:7" x14ac:dyDescent="0.2">
      <c r="A98" s="126" t="s">
        <v>101</v>
      </c>
      <c r="B98" s="29">
        <v>489.60993000000002</v>
      </c>
      <c r="C98" s="30">
        <f>IF(OR(408.4775="",489.60993=""),"-",489.60993/408.4775*100)</f>
        <v>119.86215397420909</v>
      </c>
      <c r="D98" s="30">
        <f>IF(408.4775="","-",408.4775/2393616.81978*100)</f>
        <v>1.7065283658791452E-2</v>
      </c>
      <c r="E98" s="30">
        <f>IF(489.60993="","-",489.60993/3266364.96356*100)</f>
        <v>1.4989443478060572E-2</v>
      </c>
      <c r="F98" s="30">
        <f>IF(OR(2808282.38613="",242.81974="",408.4775=""),"-",(408.4775-242.81974)/2808282.38613*100)</f>
        <v>5.8988996554683185E-3</v>
      </c>
      <c r="G98" s="30">
        <f>IF(OR(2393616.81978="",489.60993="",408.4775=""),"-",(489.60993-408.4775)/2393616.81978*100)</f>
        <v>3.3895329164447033E-3</v>
      </c>
    </row>
    <row r="99" spans="1:7" x14ac:dyDescent="0.2">
      <c r="A99" s="126" t="s">
        <v>215</v>
      </c>
      <c r="B99" s="35">
        <v>414.77334000000002</v>
      </c>
      <c r="C99" s="30" t="s">
        <v>373</v>
      </c>
      <c r="D99" s="30">
        <f>IF(117.71513="","-",117.71513/2393616.81978*100)</f>
        <v>4.9178769562130383E-3</v>
      </c>
      <c r="E99" s="30">
        <f>IF(414.77334="","-",414.77334/3266364.96356*100)</f>
        <v>1.2698315853472173E-2</v>
      </c>
      <c r="F99" s="30">
        <f>IF(OR(2808282.38613="",124.31549="",117.71513=""),"-",(117.71513-124.31549)/2808282.38613*100)</f>
        <v>-2.350319196032038E-4</v>
      </c>
      <c r="G99" s="30">
        <f>IF(OR(2393616.81978="",414.77334="",117.71513=""),"-",(414.77334-117.71513)/2393616.81978*100)</f>
        <v>1.2410432929164619E-2</v>
      </c>
    </row>
    <row r="100" spans="1:7" x14ac:dyDescent="0.2">
      <c r="A100" s="126" t="s">
        <v>121</v>
      </c>
      <c r="B100" s="29">
        <v>394.26862999999997</v>
      </c>
      <c r="C100" s="30" t="s">
        <v>374</v>
      </c>
      <c r="D100" s="30">
        <f>IF(143.5722="","-",143.5722/2393616.81978*100)</f>
        <v>5.9981279715938781E-3</v>
      </c>
      <c r="E100" s="30">
        <f>IF(394.26863="","-",394.26863/3266364.96356*100)</f>
        <v>1.2070562671303207E-2</v>
      </c>
      <c r="F100" s="30">
        <f>IF(OR(2808282.38613="",129.2512="",143.5722=""),"-",(143.5722-129.2512)/2808282.38613*100)</f>
        <v>5.0995583886901373E-4</v>
      </c>
      <c r="G100" s="30">
        <f>IF(OR(2393616.81978="",394.26863="",143.5722=""),"-",(394.26863-143.5722)/2393616.81978*100)</f>
        <v>1.0473540623893249E-2</v>
      </c>
    </row>
    <row r="101" spans="1:7" x14ac:dyDescent="0.2">
      <c r="A101" s="126" t="s">
        <v>92</v>
      </c>
      <c r="B101" s="29">
        <v>320.51028000000002</v>
      </c>
      <c r="C101" s="30">
        <f>IF(OR(384.60837="",320.51028=""),"-",320.51028/384.60837*100)</f>
        <v>83.334192649005544</v>
      </c>
      <c r="D101" s="30">
        <f>IF(384.60837="","-",384.60837/2393616.81978*100)</f>
        <v>1.6068084365957528E-2</v>
      </c>
      <c r="E101" s="30">
        <f>IF(320.51028="","-",320.51028/3266364.96356*100)</f>
        <v>9.8124454424308102E-3</v>
      </c>
      <c r="F101" s="30">
        <f>IF(OR(2808282.38613="",326.65833="",384.60837=""),"-",(384.60837-326.65833)/2808282.38613*100)</f>
        <v>2.0635403435998122E-3</v>
      </c>
      <c r="G101" s="30">
        <f>IF(OR(2393616.81978="",320.51028="",384.60837=""),"-",(320.51028-384.60837)/2393616.81978*100)</f>
        <v>-2.6778759854257411E-3</v>
      </c>
    </row>
    <row r="102" spans="1:7" x14ac:dyDescent="0.2">
      <c r="A102" s="126" t="s">
        <v>94</v>
      </c>
      <c r="B102" s="35">
        <v>303.98347999999999</v>
      </c>
      <c r="C102" s="30">
        <f>IF(OR(454.35975="",303.98348=""),"-",303.98348/454.35975*100)</f>
        <v>66.903699106269869</v>
      </c>
      <c r="D102" s="30">
        <f>IF(454.35975="","-",454.35975/2393616.81978*100)</f>
        <v>1.898214226459859E-2</v>
      </c>
      <c r="E102" s="30">
        <f>IF(303.98348="","-",303.98348/3266364.96356*100)</f>
        <v>9.3064762631022546E-3</v>
      </c>
      <c r="F102" s="30">
        <f>IF(OR(2808282.38613="",247.02959="",454.35975=""),"-",(454.35975-247.02959)/2808282.38613*100)</f>
        <v>7.3828102552647773E-3</v>
      </c>
      <c r="G102" s="30">
        <f>IF(OR(2393616.81978="",303.98348="",454.35975=""),"-",(303.98348-454.35975)/2393616.81978*100)</f>
        <v>-6.2823869199674694E-3</v>
      </c>
    </row>
    <row r="103" spans="1:7" x14ac:dyDescent="0.2">
      <c r="A103" s="126" t="s">
        <v>104</v>
      </c>
      <c r="B103" s="35">
        <v>216.4014</v>
      </c>
      <c r="C103" s="30">
        <f>IF(OR(152.31187="",216.4014=""),"-",216.4014/152.31187*100)</f>
        <v>142.07783017830457</v>
      </c>
      <c r="D103" s="30">
        <f>IF(152.31187="","-",152.31187/2393616.81978*100)</f>
        <v>6.3632519934414215E-3</v>
      </c>
      <c r="E103" s="30">
        <f>IF(216.4014="","-",216.4014/3266364.96356*100)</f>
        <v>6.6251445387824903E-3</v>
      </c>
      <c r="F103" s="30">
        <f>IF(OR(2808282.38613="",136.49542="",152.31187=""),"-",(152.31187-136.49542)/2808282.38613*100)</f>
        <v>5.63207250030013E-4</v>
      </c>
      <c r="G103" s="30">
        <f>IF(OR(2393616.81978="",216.4014="",152.31187=""),"-",(216.4014-152.31187)/2393616.81978*100)</f>
        <v>2.6775183676178605E-3</v>
      </c>
    </row>
    <row r="104" spans="1:7" x14ac:dyDescent="0.2">
      <c r="A104" s="126" t="s">
        <v>100</v>
      </c>
      <c r="B104" s="35">
        <v>207.85607999999999</v>
      </c>
      <c r="C104" s="30">
        <f>IF(OR(219.88377="",207.85608=""),"-",207.85608/219.88377*100)</f>
        <v>94.529978269883216</v>
      </c>
      <c r="D104" s="30">
        <f>IF(219.88377="","-",219.88377/2393616.81978*100)</f>
        <v>9.1862560533063839E-3</v>
      </c>
      <c r="E104" s="30">
        <f>IF(207.85608="","-",207.85608/3266364.96356*100)</f>
        <v>6.3635289478937576E-3</v>
      </c>
      <c r="F104" s="30">
        <f>IF(OR(2808282.38613="",529.84361="",219.88377=""),"-",(219.88377-529.84361)/2808282.38613*100)</f>
        <v>-1.1037345871301257E-2</v>
      </c>
      <c r="G104" s="30">
        <f>IF(OR(2393616.81978="",207.85608="",219.88377=""),"-",(207.85608-219.88377)/2393616.81978*100)</f>
        <v>-5.024902023000275E-4</v>
      </c>
    </row>
    <row r="105" spans="1:7" x14ac:dyDescent="0.2">
      <c r="A105" s="126" t="s">
        <v>60</v>
      </c>
      <c r="B105" s="35">
        <v>205.82144</v>
      </c>
      <c r="C105" s="30" t="s">
        <v>341</v>
      </c>
      <c r="D105" s="30">
        <f>IF(108.38257="","-",108.38257/2393616.81978*100)</f>
        <v>4.5279833056137021E-3</v>
      </c>
      <c r="E105" s="30">
        <f>IF(205.82144="","-",205.82144/3266364.96356*100)</f>
        <v>6.3012382968887799E-3</v>
      </c>
      <c r="F105" s="30">
        <f>IF(OR(2808282.38613="",304.95103="",108.38257=""),"-",(108.38257-304.95103)/2808282.38613*100)</f>
        <v>-6.9995973685140836E-3</v>
      </c>
      <c r="G105" s="30">
        <f>IF(OR(2393616.81978="",205.82144="",108.38257=""),"-",(205.82144-108.38257)/2393616.81978*100)</f>
        <v>4.0707798004592779E-3</v>
      </c>
    </row>
    <row r="106" spans="1:7" x14ac:dyDescent="0.2">
      <c r="A106" s="126" t="s">
        <v>132</v>
      </c>
      <c r="B106" s="29">
        <v>199.42234999999999</v>
      </c>
      <c r="C106" s="30" t="s">
        <v>293</v>
      </c>
      <c r="D106" s="30">
        <f>IF(68.43114="","-",68.43114/2393616.81978*100)</f>
        <v>2.85890120066459E-3</v>
      </c>
      <c r="E106" s="30">
        <f>IF(199.42235="","-",199.42235/3266364.96356*100)</f>
        <v>6.105329692939465E-3</v>
      </c>
      <c r="F106" s="30">
        <f>IF(OR(2808282.38613="",72.40079="",68.43114=""),"-",(68.43114-72.40079)/2808282.38613*100)</f>
        <v>-1.4135508663964678E-4</v>
      </c>
      <c r="G106" s="30">
        <f>IF(OR(2393616.81978="",199.42235="",68.43114=""),"-",(199.42235-68.43114)/2393616.81978*100)</f>
        <v>5.4725221229035117E-3</v>
      </c>
    </row>
    <row r="107" spans="1:7" x14ac:dyDescent="0.2">
      <c r="A107" s="126" t="s">
        <v>90</v>
      </c>
      <c r="B107" s="35">
        <v>186.26141000000001</v>
      </c>
      <c r="C107" s="30">
        <f>IF(OR(197.24883="",186.26141=""),"-",186.26141/197.24883*100)</f>
        <v>94.429665311576244</v>
      </c>
      <c r="D107" s="30">
        <f>IF(197.24883="","-",197.24883/2393616.81978*100)</f>
        <v>8.2406184803685226E-3</v>
      </c>
      <c r="E107" s="30">
        <f>IF(186.26141="","-",186.26141/3266364.96356*100)</f>
        <v>5.7024065613597054E-3</v>
      </c>
      <c r="F107" s="30">
        <f>IF(OR(2808282.38613="",299.40968="",197.24883=""),"-",(197.24883-299.40968)/2808282.38613*100)</f>
        <v>-3.6378410698499741E-3</v>
      </c>
      <c r="G107" s="30">
        <f>IF(OR(2393616.81978="",186.26141="",197.24883=""),"-",(186.26141-197.24883)/2393616.81978*100)</f>
        <v>-4.5903002975262563E-4</v>
      </c>
    </row>
    <row r="108" spans="1:7" x14ac:dyDescent="0.2">
      <c r="A108" s="126" t="s">
        <v>128</v>
      </c>
      <c r="B108" s="29">
        <v>113.22028</v>
      </c>
      <c r="C108" s="30">
        <f>IF(OR(857.74555="",113.22028=""),"-",113.22028/857.74555*100)</f>
        <v>13.199751371487734</v>
      </c>
      <c r="D108" s="30">
        <f>IF(857.74555="","-",857.74555/2393616.81978*100)</f>
        <v>3.5834705994371996E-2</v>
      </c>
      <c r="E108" s="30">
        <f>IF(113.22028="","-",113.22028/3266364.96356*100)</f>
        <v>3.4662470747482427E-3</v>
      </c>
      <c r="F108" s="30">
        <f>IF(OR(2808282.38613="",74.99849="",857.74555=""),"-",(857.74555-74.99849)/2808282.38613*100)</f>
        <v>2.7872804525141699E-2</v>
      </c>
      <c r="G108" s="30">
        <f>IF(OR(2393616.81978="",113.22028="",857.74555=""),"-",(113.22028-857.74555)/2393616.81978*100)</f>
        <v>-3.1104613898411279E-2</v>
      </c>
    </row>
    <row r="109" spans="1:7" x14ac:dyDescent="0.2">
      <c r="A109" s="126" t="s">
        <v>108</v>
      </c>
      <c r="B109" s="29">
        <v>98.960470000000001</v>
      </c>
      <c r="C109" s="30">
        <f>IF(OR(422.9867="",98.96047=""),"-",98.96047/422.9867*100)</f>
        <v>23.395645773259538</v>
      </c>
      <c r="D109" s="30">
        <f>IF(422.9867="","-",422.9867/2393616.81978*100)</f>
        <v>1.7671445843152004E-2</v>
      </c>
      <c r="E109" s="30">
        <f>IF(98.96047="","-",98.96047/3266364.96356*100)</f>
        <v>3.0296819585078857E-3</v>
      </c>
      <c r="F109" s="30">
        <f>IF(OR(2808282.38613="",271.0003="",422.9867=""),"-",(422.9867-271.0003)/2808282.38613*100)</f>
        <v>5.4120768178675706E-3</v>
      </c>
      <c r="G109" s="30">
        <f>IF(OR(2393616.81978="",98.96047="",422.9867=""),"-",(98.96047-422.9867)/2393616.81978*100)</f>
        <v>-1.3537096970674763E-2</v>
      </c>
    </row>
    <row r="110" spans="1:7" x14ac:dyDescent="0.2">
      <c r="A110" s="126" t="s">
        <v>131</v>
      </c>
      <c r="B110" s="35">
        <v>94.521659999999997</v>
      </c>
      <c r="C110" s="30">
        <f>IF(OR(114.48174="",94.52166=""),"-",94.52166/114.48174*100)</f>
        <v>82.564835230491767</v>
      </c>
      <c r="D110" s="30">
        <f>IF(114.48174="","-",114.48174/2393616.81978*100)</f>
        <v>4.782793095952682E-3</v>
      </c>
      <c r="E110" s="30">
        <f>IF(94.52166="","-",94.52166/3266364.96356*100)</f>
        <v>2.8937874687763356E-3</v>
      </c>
      <c r="F110" s="30">
        <f>IF(OR(2808282.38613="",22.59244="",114.48174=""),"-",(114.48174-22.59244)/2808282.38613*100)</f>
        <v>3.2720819121979249E-3</v>
      </c>
      <c r="G110" s="30">
        <f>IF(OR(2393616.81978="",94.52166="",114.48174=""),"-",(94.52166-114.48174)/2393616.81978*100)</f>
        <v>-8.3388785686401383E-4</v>
      </c>
    </row>
    <row r="111" spans="1:7" x14ac:dyDescent="0.2">
      <c r="A111" s="126" t="s">
        <v>216</v>
      </c>
      <c r="B111" s="35">
        <v>91.76643</v>
      </c>
      <c r="C111" s="30" t="s">
        <v>363</v>
      </c>
      <c r="D111" s="30">
        <f>IF(12.5543="","-",12.5543/2393616.81978*100)</f>
        <v>5.2449079970761064E-4</v>
      </c>
      <c r="E111" s="30">
        <f>IF(91.76643="","-",91.76643/3266364.96356*100)</f>
        <v>2.8094359027162744E-3</v>
      </c>
      <c r="F111" s="30">
        <f>IF(OR(2808282.38613="",3.99136="",12.5543=""),"-",(12.5543-3.99136)/2808282.38613*100)</f>
        <v>3.0491734172788447E-4</v>
      </c>
      <c r="G111" s="30">
        <f>IF(OR(2393616.81978="",91.76643="",12.5543=""),"-",(91.76643-12.5543)/2393616.81978*100)</f>
        <v>3.3093070430245588E-3</v>
      </c>
    </row>
    <row r="112" spans="1:7" x14ac:dyDescent="0.2">
      <c r="A112" s="126" t="s">
        <v>300</v>
      </c>
      <c r="B112" s="29">
        <v>87.427070000000001</v>
      </c>
      <c r="C112" s="30" t="s">
        <v>375</v>
      </c>
      <c r="D112" s="30">
        <f>IF(8.60914="","-",8.60914/2393616.81978*100)</f>
        <v>3.5967076805515076E-4</v>
      </c>
      <c r="E112" s="30">
        <f>IF(87.42707="","-",87.42707/3266364.96356*100)</f>
        <v>2.6765860819396477E-3</v>
      </c>
      <c r="F112" s="30">
        <f>IF(OR(2808282.38613="",40.57151="",8.60914=""),"-",(8.60914-40.57151)/2808282.38613*100)</f>
        <v>-1.1381465823330635E-3</v>
      </c>
      <c r="G112" s="30">
        <f>IF(OR(2393616.81978="",87.42707="",8.60914=""),"-",(87.42707-8.60914)/2393616.81978*100)</f>
        <v>3.2928382416382023E-3</v>
      </c>
    </row>
    <row r="113" spans="1:7" x14ac:dyDescent="0.2">
      <c r="A113" s="126" t="s">
        <v>201</v>
      </c>
      <c r="B113" s="35">
        <v>84.474559999999997</v>
      </c>
      <c r="C113" s="30">
        <f>IF(OR(76.63094="",84.47456=""),"-",84.47456/76.63094*100)</f>
        <v>110.23557847522163</v>
      </c>
      <c r="D113" s="30">
        <f>IF(76.63094="","-",76.63094/2393616.81978*100)</f>
        <v>3.2014706517245828E-3</v>
      </c>
      <c r="E113" s="30">
        <f>IF(84.47456="","-",84.47456/3266364.96356*100)</f>
        <v>2.5861947743871052E-3</v>
      </c>
      <c r="F113" s="30">
        <f>IF(OR(2808282.38613="",25.24948="",76.63094=""),"-",(76.63094-25.24948)/2808282.38613*100)</f>
        <v>1.8296400765738898E-3</v>
      </c>
      <c r="G113" s="30">
        <f>IF(OR(2393616.81978="",84.47456="",76.63094=""),"-",(84.47456-76.63094)/2393616.81978*100)</f>
        <v>3.2768904091845898E-4</v>
      </c>
    </row>
    <row r="114" spans="1:7" x14ac:dyDescent="0.2">
      <c r="A114" s="126" t="s">
        <v>134</v>
      </c>
      <c r="B114" s="35">
        <v>80.631339999999994</v>
      </c>
      <c r="C114" s="30">
        <f>IF(OR(56.18831="",80.63134=""),"-",80.63134/56.18831*100)</f>
        <v>143.50198466549358</v>
      </c>
      <c r="D114" s="30">
        <f>IF(56.18831="","-",56.18831/2393616.81978*100)</f>
        <v>2.3474229264968285E-3</v>
      </c>
      <c r="E114" s="30">
        <f>IF(80.63134="","-",80.63134/3266364.96356*100)</f>
        <v>2.4685343156546774E-3</v>
      </c>
      <c r="F114" s="30">
        <f>IF(OR(2808282.38613="",81.78938="",56.18831=""),"-",(56.18831-81.78938)/2808282.38613*100)</f>
        <v>-9.1162733941724326E-4</v>
      </c>
      <c r="G114" s="30">
        <f>IF(OR(2393616.81978="",80.63134="",56.18831=""),"-",(80.63134-56.18831)/2393616.81978*100)</f>
        <v>1.021175561518931E-3</v>
      </c>
    </row>
    <row r="115" spans="1:7" x14ac:dyDescent="0.2">
      <c r="A115" s="126" t="s">
        <v>129</v>
      </c>
      <c r="B115" s="35">
        <v>67.266270000000006</v>
      </c>
      <c r="C115" s="30">
        <f>IF(OR(77.63454="",67.26627=""),"-",67.26627/77.63454*100)</f>
        <v>86.644771772976313</v>
      </c>
      <c r="D115" s="30">
        <f>IF(77.63454="","-",77.63454/2393616.81978*100)</f>
        <v>3.2433988330319088E-3</v>
      </c>
      <c r="E115" s="30">
        <f>IF(67.26627="","-",67.26627/3266364.96356*100)</f>
        <v>2.0593617293361709E-3</v>
      </c>
      <c r="F115" s="30">
        <f>IF(OR(2808282.38613="",50.55826="",77.63454=""),"-",(77.63454-50.55826)/2808282.38613*100)</f>
        <v>9.6415802533707869E-4</v>
      </c>
      <c r="G115" s="30">
        <f>IF(OR(2393616.81978="",67.26627="",77.63454=""),"-",(67.26627-77.63454)/2393616.81978*100)</f>
        <v>-4.3316331646403431E-4</v>
      </c>
    </row>
    <row r="116" spans="1:7" x14ac:dyDescent="0.2">
      <c r="A116" s="126" t="s">
        <v>208</v>
      </c>
      <c r="B116" s="29">
        <v>55.735140000000001</v>
      </c>
      <c r="C116" s="30" t="s">
        <v>343</v>
      </c>
      <c r="D116" s="30">
        <f>IF(23.02316="","-",23.02316/2393616.81978*100)</f>
        <v>9.618565431920756E-4</v>
      </c>
      <c r="E116" s="30">
        <f>IF(55.73514="","-",55.73514/3266364.96356*100)</f>
        <v>1.7063353489823888E-3</v>
      </c>
      <c r="F116" s="30">
        <f>IF(OR(2808282.38613="",63.26887="",23.02316=""),"-",(23.02316-63.26887)/2808282.38613*100)</f>
        <v>-1.43310766035396E-3</v>
      </c>
      <c r="G116" s="30">
        <f>IF(OR(2393616.81978="",55.73514="",23.02316=""),"-",(55.73514-23.02316)/2393616.81978*100)</f>
        <v>1.3666339461554499E-3</v>
      </c>
    </row>
    <row r="117" spans="1:7" x14ac:dyDescent="0.2">
      <c r="A117" s="126" t="s">
        <v>301</v>
      </c>
      <c r="B117" s="35">
        <v>53.92962</v>
      </c>
      <c r="C117" s="30">
        <f>IF(OR(41.42354="",53.92962=""),"-",53.92962/41.42354*100)</f>
        <v>130.19075627046843</v>
      </c>
      <c r="D117" s="30">
        <f>IF(41.42354="","-",41.42354/2393616.81978*100)</f>
        <v>1.7305835945708005E-3</v>
      </c>
      <c r="E117" s="30">
        <f>IF(53.92962="","-",53.92962/3266364.96356*100)</f>
        <v>1.6510592233766276E-3</v>
      </c>
      <c r="F117" s="30">
        <f>IF(OR(2808282.38613="",44.82431="",41.42354=""),"-",(41.42354-44.82431)/2808282.38613*100)</f>
        <v>-1.210978645451137E-4</v>
      </c>
      <c r="G117" s="30">
        <f>IF(OR(2393616.81978="",53.92962="",41.42354=""),"-",(53.92962-41.42354)/2393616.81978*100)</f>
        <v>5.2247627509358183E-4</v>
      </c>
    </row>
    <row r="118" spans="1:7" x14ac:dyDescent="0.2">
      <c r="A118" s="126" t="s">
        <v>332</v>
      </c>
      <c r="B118" s="35">
        <v>52.457830000000001</v>
      </c>
      <c r="C118" s="30" t="s">
        <v>344</v>
      </c>
      <c r="D118" s="30">
        <f>IF(30.94467="","-",30.94467/2393616.81978*100)</f>
        <v>1.2927996554955759E-3</v>
      </c>
      <c r="E118" s="30">
        <f>IF(52.45783="","-",52.45783/3266364.96356*100)</f>
        <v>1.6060002658988355E-3</v>
      </c>
      <c r="F118" s="30">
        <f>IF(OR(2808282.38613="",33.28052="",30.94467=""),"-",(30.94467-33.28052)/2808282.38613*100)</f>
        <v>-8.3177176609328134E-5</v>
      </c>
      <c r="G118" s="30">
        <f>IF(OR(2393616.81978="",52.45783="",30.94467=""),"-",(52.45783-30.94467)/2393616.81978*100)</f>
        <v>8.9877209343713178E-4</v>
      </c>
    </row>
    <row r="119" spans="1:7" x14ac:dyDescent="0.2">
      <c r="A119" s="127" t="s">
        <v>311</v>
      </c>
      <c r="B119" s="36">
        <v>50.337899999999998</v>
      </c>
      <c r="C119" s="37" t="s">
        <v>353</v>
      </c>
      <c r="D119" s="37">
        <f>IF(11.91355="","-",11.91355/2393616.81978*100)</f>
        <v>4.9772168634305424E-4</v>
      </c>
      <c r="E119" s="37">
        <f>IF(50.3379="","-",50.3379/3266364.96356*100)</f>
        <v>1.5410984553647946E-3</v>
      </c>
      <c r="F119" s="37">
        <f>IF(OR(2808282.38613="",28.73305="",11.91355=""),"-",(11.91355-28.73305)/2808282.38613*100)</f>
        <v>-5.9892481194451339E-4</v>
      </c>
      <c r="G119" s="37">
        <f>IF(OR(2393616.81978="",50.3379="",11.91355=""),"-",(50.3379-11.91355)/2393616.81978*100)</f>
        <v>1.6052840906896544E-3</v>
      </c>
    </row>
    <row r="120" spans="1:7" x14ac:dyDescent="0.2">
      <c r="A120" s="114"/>
      <c r="B120" s="122"/>
      <c r="C120" s="115"/>
      <c r="D120" s="115"/>
      <c r="E120" s="115"/>
      <c r="F120" s="115"/>
      <c r="G120" s="115"/>
    </row>
    <row r="121" spans="1:7" x14ac:dyDescent="0.2">
      <c r="A121" s="1" t="s">
        <v>291</v>
      </c>
      <c r="B121" s="3"/>
      <c r="C121" s="3"/>
      <c r="D121" s="3"/>
      <c r="E121" s="3"/>
    </row>
    <row r="122" spans="1:7" ht="13.5" x14ac:dyDescent="0.2">
      <c r="A122" s="2" t="s">
        <v>386</v>
      </c>
      <c r="B122" s="2"/>
      <c r="C122" s="2"/>
      <c r="D122" s="2"/>
      <c r="E122" s="2"/>
    </row>
  </sheetData>
  <mergeCells count="10">
    <mergeCell ref="A122:E122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D142"/>
  <sheetViews>
    <sheetView workbookViewId="0">
      <selection activeCell="A6" sqref="A6:A140"/>
    </sheetView>
  </sheetViews>
  <sheetFormatPr defaultRowHeight="12" x14ac:dyDescent="0.2"/>
  <cols>
    <col min="1" max="1" width="42.125" style="7" customWidth="1"/>
    <col min="2" max="2" width="15" style="7" customWidth="1"/>
    <col min="3" max="3" width="14.5" style="7" customWidth="1"/>
    <col min="4" max="4" width="16.75" style="7" customWidth="1"/>
    <col min="5" max="16384" width="9" style="7"/>
  </cols>
  <sheetData>
    <row r="2" spans="1:4" x14ac:dyDescent="0.2">
      <c r="A2" s="40" t="s">
        <v>392</v>
      </c>
      <c r="B2" s="40"/>
      <c r="C2" s="40"/>
      <c r="D2" s="40"/>
    </row>
    <row r="3" spans="1:4" x14ac:dyDescent="0.2">
      <c r="A3" s="41"/>
    </row>
    <row r="4" spans="1:4" ht="28.5" customHeight="1" x14ac:dyDescent="0.2">
      <c r="A4" s="42"/>
      <c r="B4" s="43" t="s">
        <v>321</v>
      </c>
      <c r="C4" s="44"/>
      <c r="D4" s="45" t="s">
        <v>322</v>
      </c>
    </row>
    <row r="5" spans="1:4" ht="27" customHeight="1" x14ac:dyDescent="0.2">
      <c r="A5" s="47"/>
      <c r="B5" s="48">
        <v>2020</v>
      </c>
      <c r="C5" s="49">
        <v>2021</v>
      </c>
      <c r="D5" s="50"/>
    </row>
    <row r="6" spans="1:4" ht="16.5" customHeight="1" x14ac:dyDescent="0.2">
      <c r="A6" s="131" t="s">
        <v>209</v>
      </c>
      <c r="B6" s="23">
        <f>IF(-1223440.28314="","-",-1223440.28314)</f>
        <v>-1223440.28314</v>
      </c>
      <c r="C6" s="23">
        <f>IF(-1934832.63159="","-",-1934832.63159)</f>
        <v>-1934832.6315899999</v>
      </c>
      <c r="D6" s="102" t="s">
        <v>102</v>
      </c>
    </row>
    <row r="7" spans="1:4" x14ac:dyDescent="0.2">
      <c r="A7" s="132" t="s">
        <v>130</v>
      </c>
      <c r="B7" s="103"/>
      <c r="C7" s="103"/>
      <c r="D7" s="104"/>
    </row>
    <row r="8" spans="1:4" x14ac:dyDescent="0.2">
      <c r="A8" s="125" t="s">
        <v>306</v>
      </c>
      <c r="B8" s="105">
        <f>IF(-375817.01614="","-",-375817.01614)</f>
        <v>-375817.01614000002</v>
      </c>
      <c r="C8" s="105">
        <f>IF(-689703.34091="","-",-689703.34091)</f>
        <v>-689703.34091000003</v>
      </c>
      <c r="D8" s="106" t="s">
        <v>202</v>
      </c>
    </row>
    <row r="9" spans="1:4" x14ac:dyDescent="0.2">
      <c r="A9" s="126" t="s">
        <v>4</v>
      </c>
      <c r="B9" s="107">
        <f>IF(-94285.48592="","-",-94285.48592)</f>
        <v>-94285.485920000006</v>
      </c>
      <c r="C9" s="107">
        <f>IF(-137261.616="","-",-137261.616)</f>
        <v>-137261.61600000001</v>
      </c>
      <c r="D9" s="108">
        <f>IF(OR(-94285.48592="",-137261.616="",-94285.48592=0),"-",-137261.616/-94285.48592*100)</f>
        <v>145.5808544238343</v>
      </c>
    </row>
    <row r="10" spans="1:4" x14ac:dyDescent="0.2">
      <c r="A10" s="126" t="s">
        <v>3</v>
      </c>
      <c r="B10" s="107">
        <f>IF(-54666.53543="","-",-54666.53543)</f>
        <v>-54666.535430000004</v>
      </c>
      <c r="C10" s="107">
        <f>IF(-125786.95146="","-",-125786.95146)</f>
        <v>-125786.95146</v>
      </c>
      <c r="D10" s="108" t="s">
        <v>212</v>
      </c>
    </row>
    <row r="11" spans="1:4" x14ac:dyDescent="0.2">
      <c r="A11" s="126" t="s">
        <v>5</v>
      </c>
      <c r="B11" s="107">
        <f>IF(-46297.33121="","-",-46297.33121)</f>
        <v>-46297.331209999997</v>
      </c>
      <c r="C11" s="107">
        <f>IF(-72739.11838="","-",-72739.11838)</f>
        <v>-72739.11838</v>
      </c>
      <c r="D11" s="108" t="s">
        <v>102</v>
      </c>
    </row>
    <row r="12" spans="1:4" x14ac:dyDescent="0.2">
      <c r="A12" s="126" t="s">
        <v>307</v>
      </c>
      <c r="B12" s="107">
        <f>IF(-47663.55594="","-",-47663.55594)</f>
        <v>-47663.555939999998</v>
      </c>
      <c r="C12" s="107">
        <f>IF(-68648.07008="","-",-68648.07008)</f>
        <v>-68648.070080000005</v>
      </c>
      <c r="D12" s="108">
        <f>IF(OR(-47663.55594="",-68648.07008="",-47663.55594=0),"-",-68648.07008/-47663.55594*100)</f>
        <v>144.02632939601864</v>
      </c>
    </row>
    <row r="13" spans="1:4" x14ac:dyDescent="0.2">
      <c r="A13" s="126" t="s">
        <v>2</v>
      </c>
      <c r="B13" s="107">
        <f>IF(57.3311="","-",57.3311)</f>
        <v>57.331099999999999</v>
      </c>
      <c r="C13" s="107">
        <f>IF(-47272.42091="","-",-47272.42091)</f>
        <v>-47272.420910000001</v>
      </c>
      <c r="D13" s="108" t="s">
        <v>22</v>
      </c>
    </row>
    <row r="14" spans="1:4" x14ac:dyDescent="0.2">
      <c r="A14" s="126" t="s">
        <v>42</v>
      </c>
      <c r="B14" s="107">
        <f>IF(-39921.0414="","-",-39921.0414)</f>
        <v>-39921.041400000002</v>
      </c>
      <c r="C14" s="107">
        <f>IF(-44615.58152="","-",-44615.58152)</f>
        <v>-44615.58152</v>
      </c>
      <c r="D14" s="108">
        <f>IF(OR(-39921.0414="",-44615.58152="",-39921.0414=0),"-",-44615.58152/-39921.0414*100)</f>
        <v>111.75956326630296</v>
      </c>
    </row>
    <row r="15" spans="1:4" x14ac:dyDescent="0.2">
      <c r="A15" s="126" t="s">
        <v>8</v>
      </c>
      <c r="B15" s="107">
        <f>IF(-18141.722="","-",-18141.722)</f>
        <v>-18141.722000000002</v>
      </c>
      <c r="C15" s="107">
        <f>IF(-39000.00666="","-",-39000.00666)</f>
        <v>-39000.006659999999</v>
      </c>
      <c r="D15" s="108" t="s">
        <v>340</v>
      </c>
    </row>
    <row r="16" spans="1:4" x14ac:dyDescent="0.2">
      <c r="A16" s="126" t="s">
        <v>40</v>
      </c>
      <c r="B16" s="107">
        <f>IF(-14965.40278="","-",-14965.40278)</f>
        <v>-14965.40278</v>
      </c>
      <c r="C16" s="107">
        <f>IF(-27374.47634="","-",-27374.47634)</f>
        <v>-27374.476340000001</v>
      </c>
      <c r="D16" s="108" t="s">
        <v>202</v>
      </c>
    </row>
    <row r="17" spans="1:4" x14ac:dyDescent="0.2">
      <c r="A17" s="126" t="s">
        <v>6</v>
      </c>
      <c r="B17" s="107">
        <f>IF(-7151.27769="","-",-7151.27769)</f>
        <v>-7151.2776899999999</v>
      </c>
      <c r="C17" s="107">
        <f>IF(-20620.86359="","-",-20620.86359)</f>
        <v>-20620.863590000001</v>
      </c>
      <c r="D17" s="108" t="s">
        <v>293</v>
      </c>
    </row>
    <row r="18" spans="1:4" x14ac:dyDescent="0.2">
      <c r="A18" s="126" t="s">
        <v>10</v>
      </c>
      <c r="B18" s="107">
        <f>IF(-9108.78848="","-",-9108.78848)</f>
        <v>-9108.7884799999993</v>
      </c>
      <c r="C18" s="107">
        <f>IF(-16852.38519="","-",-16852.38519)</f>
        <v>-16852.385190000001</v>
      </c>
      <c r="D18" s="108" t="s">
        <v>341</v>
      </c>
    </row>
    <row r="19" spans="1:4" x14ac:dyDescent="0.2">
      <c r="A19" s="126" t="s">
        <v>52</v>
      </c>
      <c r="B19" s="107">
        <f>IF(-11364.43882="","-",-11364.43882)</f>
        <v>-11364.438819999999</v>
      </c>
      <c r="C19" s="107">
        <f>IF(-15433.84547="","-",-15433.84547)</f>
        <v>-15433.84547</v>
      </c>
      <c r="D19" s="108">
        <f>IF(OR(-11364.43882="",-15433.84547="",-11364.43882=0),"-",-15433.84547/-11364.43882*100)</f>
        <v>135.80824987889724</v>
      </c>
    </row>
    <row r="20" spans="1:4" x14ac:dyDescent="0.2">
      <c r="A20" s="126" t="s">
        <v>7</v>
      </c>
      <c r="B20" s="107">
        <f>IF(569.42317="","-",569.42317)</f>
        <v>569.42317000000003</v>
      </c>
      <c r="C20" s="107">
        <f>IF(-13365.65437="","-",-13365.65437)</f>
        <v>-13365.65437</v>
      </c>
      <c r="D20" s="108" t="s">
        <v>22</v>
      </c>
    </row>
    <row r="21" spans="1:4" x14ac:dyDescent="0.2">
      <c r="A21" s="126" t="s">
        <v>50</v>
      </c>
      <c r="B21" s="107">
        <f>IF(-8998.14321="","-",-8998.14321)</f>
        <v>-8998.1432100000002</v>
      </c>
      <c r="C21" s="107">
        <f>IF(-12565.38168="","-",-12565.38168)</f>
        <v>-12565.38168</v>
      </c>
      <c r="D21" s="108">
        <f>IF(OR(-8998.14321="",-12565.38168="",-8998.14321=0),"-",-12565.38168/-8998.14321*100)</f>
        <v>139.64416198705956</v>
      </c>
    </row>
    <row r="22" spans="1:4" x14ac:dyDescent="0.2">
      <c r="A22" s="126" t="s">
        <v>44</v>
      </c>
      <c r="B22" s="107">
        <f>IF(-7117.42549="","-",-7117.42549)</f>
        <v>-7117.4254899999996</v>
      </c>
      <c r="C22" s="107">
        <f>IF(-11638.25156="","-",-11638.25156)</f>
        <v>-11638.251560000001</v>
      </c>
      <c r="D22" s="108" t="s">
        <v>102</v>
      </c>
    </row>
    <row r="23" spans="1:4" x14ac:dyDescent="0.2">
      <c r="A23" s="126" t="s">
        <v>41</v>
      </c>
      <c r="B23" s="107">
        <f>IF(-13249.08579="","-",-13249.08579)</f>
        <v>-13249.085789999999</v>
      </c>
      <c r="C23" s="107">
        <f>IF(-11441.92615="","-",-11441.92615)</f>
        <v>-11441.926149999999</v>
      </c>
      <c r="D23" s="108">
        <f>IF(OR(-13249.08579="",-11441.92615="",-13249.08579=0),"-",-11441.92615/-13249.08579*100)</f>
        <v>86.360118210088217</v>
      </c>
    </row>
    <row r="24" spans="1:4" x14ac:dyDescent="0.2">
      <c r="A24" s="126" t="s">
        <v>48</v>
      </c>
      <c r="B24" s="107">
        <f>IF(-5632.76908="","-",-5632.76908)</f>
        <v>-5632.76908</v>
      </c>
      <c r="C24" s="107">
        <f>IF(-7786.94156="","-",-7786.94156)</f>
        <v>-7786.9415600000002</v>
      </c>
      <c r="D24" s="108">
        <f>IF(OR(-5632.76908="",-7786.94156="",-5632.76908=0),"-",-7786.94156/-5632.76908*100)</f>
        <v>138.24357876925427</v>
      </c>
    </row>
    <row r="25" spans="1:4" x14ac:dyDescent="0.2">
      <c r="A25" s="126" t="s">
        <v>49</v>
      </c>
      <c r="B25" s="107">
        <f>IF(-4017.83543="","-",-4017.83543)</f>
        <v>-4017.8354300000001</v>
      </c>
      <c r="C25" s="107">
        <f>IF(-5819.97405="","-",-5819.97405)</f>
        <v>-5819.9740499999998</v>
      </c>
      <c r="D25" s="108">
        <f>IF(OR(-4017.83543="",-5819.97405="",-4017.83543=0),"-",-5819.97405/-4017.83543*100)</f>
        <v>144.85347026769583</v>
      </c>
    </row>
    <row r="26" spans="1:4" x14ac:dyDescent="0.2">
      <c r="A26" s="126" t="s">
        <v>45</v>
      </c>
      <c r="B26" s="107">
        <f>IF(-2443.35922="","-",-2443.35922)</f>
        <v>-2443.3592199999998</v>
      </c>
      <c r="C26" s="107">
        <f>IF(-5112.95751="","-",-5112.95751)</f>
        <v>-5112.9575100000002</v>
      </c>
      <c r="D26" s="108" t="s">
        <v>342</v>
      </c>
    </row>
    <row r="27" spans="1:4" x14ac:dyDescent="0.2">
      <c r="A27" s="126" t="s">
        <v>308</v>
      </c>
      <c r="B27" s="107">
        <f>IF(-2174.59634="","-",-2174.59634)</f>
        <v>-2174.5963400000001</v>
      </c>
      <c r="C27" s="107">
        <f>IF(-3776.22462="","-",-3776.22462)</f>
        <v>-3776.22462</v>
      </c>
      <c r="D27" s="108" t="s">
        <v>344</v>
      </c>
    </row>
    <row r="28" spans="1:4" x14ac:dyDescent="0.2">
      <c r="A28" s="126" t="s">
        <v>53</v>
      </c>
      <c r="B28" s="107">
        <f>IF(-3660.99721="","-",-3660.99721)</f>
        <v>-3660.99721</v>
      </c>
      <c r="C28" s="107">
        <f>IF(-3006.14438="","-",-3006.14438)</f>
        <v>-3006.1443800000002</v>
      </c>
      <c r="D28" s="108">
        <f>IF(OR(-3660.99721="",-3006.14438="",-3660.99721=0),"-",-3006.14438/-3660.99721*100)</f>
        <v>82.11271977451193</v>
      </c>
    </row>
    <row r="29" spans="1:4" x14ac:dyDescent="0.2">
      <c r="A29" s="126" t="s">
        <v>46</v>
      </c>
      <c r="B29" s="107">
        <f>IF(1238.61599="","-",1238.61599)</f>
        <v>1238.61599</v>
      </c>
      <c r="C29" s="107">
        <f>IF(-1908.08982="","-",-1908.08982)</f>
        <v>-1908.0898199999999</v>
      </c>
      <c r="D29" s="108" t="s">
        <v>22</v>
      </c>
    </row>
    <row r="30" spans="1:4" x14ac:dyDescent="0.2">
      <c r="A30" s="126" t="s">
        <v>43</v>
      </c>
      <c r="B30" s="107">
        <f>IF(-3094.54188="","-",-3094.54188)</f>
        <v>-3094.5418800000002</v>
      </c>
      <c r="C30" s="107">
        <f>IF(-1673.67501="","-",-1673.67501)</f>
        <v>-1673.6750099999999</v>
      </c>
      <c r="D30" s="108">
        <f>IF(OR(-3094.54188="",-1673.67501="",-3094.54188=0),"-",-1673.67501/-3094.54188*100)</f>
        <v>54.084742585548717</v>
      </c>
    </row>
    <row r="31" spans="1:4" x14ac:dyDescent="0.2">
      <c r="A31" s="126" t="s">
        <v>54</v>
      </c>
      <c r="B31" s="107">
        <f>IF(-492.00875="","-",-492.00875)</f>
        <v>-492.00875000000002</v>
      </c>
      <c r="C31" s="107">
        <f>IF(-1306.04642="","-",-1306.04642)</f>
        <v>-1306.0464199999999</v>
      </c>
      <c r="D31" s="108" t="s">
        <v>374</v>
      </c>
    </row>
    <row r="32" spans="1:4" x14ac:dyDescent="0.2">
      <c r="A32" s="126" t="s">
        <v>9</v>
      </c>
      <c r="B32" s="107">
        <f>IF(8336.5304="","-",8336.5304)</f>
        <v>8336.5303999999996</v>
      </c>
      <c r="C32" s="107">
        <f>IF(-1038.232="","-",-1038.232)</f>
        <v>-1038.232</v>
      </c>
      <c r="D32" s="108" t="s">
        <v>22</v>
      </c>
    </row>
    <row r="33" spans="1:4" x14ac:dyDescent="0.2">
      <c r="A33" s="126" t="s">
        <v>55</v>
      </c>
      <c r="B33" s="107">
        <f>IF(-28.69543="","-",-28.69543)</f>
        <v>-28.695430000000002</v>
      </c>
      <c r="C33" s="107">
        <f>IF(-65.47793="","-",-65.47793)</f>
        <v>-65.477930000000001</v>
      </c>
      <c r="D33" s="108" t="s">
        <v>212</v>
      </c>
    </row>
    <row r="34" spans="1:4" x14ac:dyDescent="0.2">
      <c r="A34" s="126" t="s">
        <v>309</v>
      </c>
      <c r="B34" s="109" t="s">
        <v>294</v>
      </c>
      <c r="C34" s="107">
        <f>IF(-17.02601="","-",-17.02601)</f>
        <v>-17.026009999999999</v>
      </c>
      <c r="D34" s="108" t="str">
        <f>IF(OR(0="",-17.02601="",0=0),"-",-17.02601/0*100)</f>
        <v>-</v>
      </c>
    </row>
    <row r="35" spans="1:4" x14ac:dyDescent="0.2">
      <c r="A35" s="126" t="s">
        <v>51</v>
      </c>
      <c r="B35" s="107">
        <f>IF(715.77896="","-",715.77896)</f>
        <v>715.77895999999998</v>
      </c>
      <c r="C35" s="107">
        <f>IF(2565.04831="","-",2565.04831)</f>
        <v>2565.0483100000001</v>
      </c>
      <c r="D35" s="108" t="s">
        <v>360</v>
      </c>
    </row>
    <row r="36" spans="1:4" x14ac:dyDescent="0.2">
      <c r="A36" s="126" t="s">
        <v>47</v>
      </c>
      <c r="B36" s="107">
        <f>IF(7740.34174="","-",7740.34174)</f>
        <v>7740.3417399999998</v>
      </c>
      <c r="C36" s="107">
        <f>IF(3858.94945="","-",3858.94945)</f>
        <v>3858.9494500000001</v>
      </c>
      <c r="D36" s="108">
        <f>IF(OR(7740.34174="",3858.94945="",7740.34174=0),"-",3858.94945/7740.34174*100)</f>
        <v>49.855026814358716</v>
      </c>
    </row>
    <row r="37" spans="1:4" x14ac:dyDescent="0.2">
      <c r="A37" s="133" t="s">
        <v>333</v>
      </c>
      <c r="B37" s="105">
        <f>IF(-391803.3752="","-",-391803.3752)</f>
        <v>-391803.37520000001</v>
      </c>
      <c r="C37" s="105">
        <f>IF(-534224.2534="","-",-534224.2534)</f>
        <v>-534224.25340000005</v>
      </c>
      <c r="D37" s="106">
        <f>IF(-391803.3752="","-",-534224.2534/-391803.3752*100)</f>
        <v>136.35008966609843</v>
      </c>
    </row>
    <row r="38" spans="1:4" x14ac:dyDescent="0.2">
      <c r="A38" s="126" t="s">
        <v>12</v>
      </c>
      <c r="B38" s="107">
        <f>IF(-201239.55482="","-",-201239.55482)</f>
        <v>-201239.55481999999</v>
      </c>
      <c r="C38" s="107">
        <f>IF(-258010.37583="","-",-258010.37583)</f>
        <v>-258010.37583</v>
      </c>
      <c r="D38" s="108">
        <f>IF(OR(-201239.55482="",-258010.37583="",-201239.55482=0),"-",-258010.37583/-201239.55482*100)</f>
        <v>128.21056777867503</v>
      </c>
    </row>
    <row r="39" spans="1:4" x14ac:dyDescent="0.2">
      <c r="A39" s="126" t="s">
        <v>325</v>
      </c>
      <c r="B39" s="107">
        <f>IF(-171866.18065="","-",-171866.18065)</f>
        <v>-171866.18064999999</v>
      </c>
      <c r="C39" s="107">
        <f>IF(-246634.38496="","-",-246634.38496)</f>
        <v>-246634.38496</v>
      </c>
      <c r="D39" s="108">
        <f>IF(OR(-171866.18065="",-246634.38496="",-171866.18065=0),"-",-246634.38496/-171866.18065*100)</f>
        <v>143.5037329783124</v>
      </c>
    </row>
    <row r="40" spans="1:4" x14ac:dyDescent="0.2">
      <c r="A40" s="126" t="s">
        <v>11</v>
      </c>
      <c r="B40" s="107">
        <f>IF(-14113.08946="","-",-14113.08946)</f>
        <v>-14113.089459999999</v>
      </c>
      <c r="C40" s="107">
        <f>IF(-27592.85567="","-",-27592.85567)</f>
        <v>-27592.855670000001</v>
      </c>
      <c r="D40" s="108" t="s">
        <v>20</v>
      </c>
    </row>
    <row r="41" spans="1:4" x14ac:dyDescent="0.2">
      <c r="A41" s="126" t="s">
        <v>15</v>
      </c>
      <c r="B41" s="107">
        <f>IF(-2278.29747="","-",-2278.29747)</f>
        <v>-2278.29747</v>
      </c>
      <c r="C41" s="107">
        <f>IF(-1875.37045="","-",-1875.37045)</f>
        <v>-1875.3704499999999</v>
      </c>
      <c r="D41" s="108">
        <f>IF(OR(-2278.29747="",-1875.37045="",-2278.29747=0),"-",-1875.37045/-2278.29747*100)</f>
        <v>82.31455614090639</v>
      </c>
    </row>
    <row r="42" spans="1:4" x14ac:dyDescent="0.2">
      <c r="A42" s="126" t="s">
        <v>13</v>
      </c>
      <c r="B42" s="107">
        <f>IF(1201.76206="","-",1201.76206)</f>
        <v>1201.76206</v>
      </c>
      <c r="C42" s="107">
        <f>IF(-958.95609="","-",-958.95609)</f>
        <v>-958.95609000000002</v>
      </c>
      <c r="D42" s="108" t="s">
        <v>22</v>
      </c>
    </row>
    <row r="43" spans="1:4" x14ac:dyDescent="0.2">
      <c r="A43" s="126" t="s">
        <v>16</v>
      </c>
      <c r="B43" s="107">
        <f>IF(-1390.92304="","-",-1390.92304)</f>
        <v>-1390.9230399999999</v>
      </c>
      <c r="C43" s="107">
        <f>IF(-303.97046="","-",-303.97046)</f>
        <v>-303.97046</v>
      </c>
      <c r="D43" s="108">
        <f>IF(OR(-1390.92304="",-303.97046="",-1390.92304=0),"-",-303.97046/-1390.92304*100)</f>
        <v>21.853866192338007</v>
      </c>
    </row>
    <row r="44" spans="1:4" x14ac:dyDescent="0.2">
      <c r="A44" s="126" t="s">
        <v>17</v>
      </c>
      <c r="B44" s="107">
        <f>IF(65.51864="","-",65.51864)</f>
        <v>65.518640000000005</v>
      </c>
      <c r="C44" s="107">
        <f>IF(46.51876="","-",46.51876)</f>
        <v>46.51876</v>
      </c>
      <c r="D44" s="108">
        <f>IF(OR(65.51864="",46.51876="",65.51864=0),"-",46.51876/65.51864*100)</f>
        <v>71.00080221445377</v>
      </c>
    </row>
    <row r="45" spans="1:4" x14ac:dyDescent="0.2">
      <c r="A45" s="126" t="s">
        <v>18</v>
      </c>
      <c r="B45" s="107">
        <f>IF(144.99523="","-",144.99523)</f>
        <v>144.99522999999999</v>
      </c>
      <c r="C45" s="107">
        <f>IF(158.89271="","-",158.89271)</f>
        <v>158.89270999999999</v>
      </c>
      <c r="D45" s="108">
        <f>IF(OR(144.99523="",158.89271="",144.99523=0),"-",158.89271/144.99523*100)</f>
        <v>109.58478427186881</v>
      </c>
    </row>
    <row r="46" spans="1:4" x14ac:dyDescent="0.2">
      <c r="A46" s="126" t="s">
        <v>14</v>
      </c>
      <c r="B46" s="107">
        <f>IF(-2561.16364="","-",-2561.16364)</f>
        <v>-2561.1636400000002</v>
      </c>
      <c r="C46" s="107">
        <f>IF(370.84756="","-",370.84756)</f>
        <v>370.84755999999999</v>
      </c>
      <c r="D46" s="108" t="s">
        <v>22</v>
      </c>
    </row>
    <row r="47" spans="1:4" x14ac:dyDescent="0.2">
      <c r="A47" s="126" t="s">
        <v>326</v>
      </c>
      <c r="B47" s="107">
        <f>IF(233.55795="","-",233.55795)</f>
        <v>233.55795000000001</v>
      </c>
      <c r="C47" s="107">
        <f>IF(575.40103="","-",575.40103)</f>
        <v>575.40102999999999</v>
      </c>
      <c r="D47" s="108" t="s">
        <v>369</v>
      </c>
    </row>
    <row r="48" spans="1:4" x14ac:dyDescent="0.2">
      <c r="A48" s="125" t="s">
        <v>137</v>
      </c>
      <c r="B48" s="27">
        <f>IF(-455819.8918="","-",-455819.8918)</f>
        <v>-455819.89179999998</v>
      </c>
      <c r="C48" s="27">
        <f>IF(-710905.03728="","-",-710905.03728)</f>
        <v>-710905.03728000005</v>
      </c>
      <c r="D48" s="110" t="s">
        <v>102</v>
      </c>
    </row>
    <row r="49" spans="1:4" x14ac:dyDescent="0.2">
      <c r="A49" s="126" t="s">
        <v>59</v>
      </c>
      <c r="B49" s="30">
        <f>IF(-257885.12519="","-",-257885.12519)</f>
        <v>-257885.12518999999</v>
      </c>
      <c r="C49" s="30">
        <f>IF(-378029.63548="","-",-378029.63548)</f>
        <v>-378029.63548</v>
      </c>
      <c r="D49" s="111">
        <f>IF(OR(-257885.12519="",-378029.63548="",-257885.12519=0),"-",-378029.63548/-257885.12519*100)</f>
        <v>146.58838318087641</v>
      </c>
    </row>
    <row r="50" spans="1:4" x14ac:dyDescent="0.2">
      <c r="A50" s="126" t="s">
        <v>56</v>
      </c>
      <c r="B50" s="30">
        <f>IF(-78118.77621="","-",-78118.77621)</f>
        <v>-78118.776209999996</v>
      </c>
      <c r="C50" s="30">
        <f>IF(-119654.50082="","-",-119654.50082)</f>
        <v>-119654.50082</v>
      </c>
      <c r="D50" s="111" t="s">
        <v>368</v>
      </c>
    </row>
    <row r="51" spans="1:4" x14ac:dyDescent="0.2">
      <c r="A51" s="126" t="s">
        <v>19</v>
      </c>
      <c r="B51" s="30">
        <f>IF(-20184.00824="","-",-20184.00824)</f>
        <v>-20184.008239999999</v>
      </c>
      <c r="C51" s="30">
        <f>IF(-41718.81541="","-",-41718.81541)</f>
        <v>-41718.815410000003</v>
      </c>
      <c r="D51" s="111" t="s">
        <v>342</v>
      </c>
    </row>
    <row r="52" spans="1:4" x14ac:dyDescent="0.2">
      <c r="A52" s="126" t="s">
        <v>76</v>
      </c>
      <c r="B52" s="30">
        <f>IF(-23144.78742="","-",-23144.78742)</f>
        <v>-23144.787420000001</v>
      </c>
      <c r="C52" s="30">
        <f>IF(-30456.7307="","-",-30456.7307)</f>
        <v>-30456.7307</v>
      </c>
      <c r="D52" s="111">
        <f>IF(OR(-23144.78742="",-30456.7307="",-23144.78742=0),"-",-30456.7307/-23144.78742*100)</f>
        <v>131.59218163171187</v>
      </c>
    </row>
    <row r="53" spans="1:4" x14ac:dyDescent="0.2">
      <c r="A53" s="126" t="s">
        <v>72</v>
      </c>
      <c r="B53" s="30">
        <f>IF(-14404.35294="","-",-14404.35294)</f>
        <v>-14404.352940000001</v>
      </c>
      <c r="C53" s="30">
        <f>IF(-22374.40823="","-",-22374.40823)</f>
        <v>-22374.408230000001</v>
      </c>
      <c r="D53" s="111" t="s">
        <v>102</v>
      </c>
    </row>
    <row r="54" spans="1:4" x14ac:dyDescent="0.2">
      <c r="A54" s="126" t="s">
        <v>69</v>
      </c>
      <c r="B54" s="30">
        <f>IF(-16936.72615="","-",-16936.72615)</f>
        <v>-16936.726149999999</v>
      </c>
      <c r="C54" s="30">
        <f>IF(-21870.16431="","-",-21870.16431)</f>
        <v>-21870.16431</v>
      </c>
      <c r="D54" s="111">
        <f>IF(OR(-16936.72615="",-21870.16431="",-16936.72615=0),"-",-21870.16431/-16936.72615*100)</f>
        <v>129.12864101543028</v>
      </c>
    </row>
    <row r="55" spans="1:4" x14ac:dyDescent="0.2">
      <c r="A55" s="126" t="s">
        <v>36</v>
      </c>
      <c r="B55" s="30">
        <f>IF(-18143.27891="","-",-18143.27891)</f>
        <v>-18143.278910000001</v>
      </c>
      <c r="C55" s="30">
        <f>IF(-21112.098="","-",-21112.098)</f>
        <v>-21112.098000000002</v>
      </c>
      <c r="D55" s="111">
        <f>IF(OR(-18143.27891="",-21112.098="",-18143.27891=0),"-",-21112.098/-18143.27891*100)</f>
        <v>116.36318939220894</v>
      </c>
    </row>
    <row r="56" spans="1:4" x14ac:dyDescent="0.2">
      <c r="A56" s="126" t="s">
        <v>81</v>
      </c>
      <c r="B56" s="30">
        <f>IF(-2477.95478="","-",-2477.95478)</f>
        <v>-2477.95478</v>
      </c>
      <c r="C56" s="30">
        <f>IF(-13051.726="","-",-13051.726)</f>
        <v>-13051.726000000001</v>
      </c>
      <c r="D56" s="111" t="s">
        <v>371</v>
      </c>
    </row>
    <row r="57" spans="1:4" x14ac:dyDescent="0.2">
      <c r="A57" s="126" t="s">
        <v>79</v>
      </c>
      <c r="B57" s="30">
        <f>IF(-10212.09971="","-",-10212.09971)</f>
        <v>-10212.09971</v>
      </c>
      <c r="C57" s="30">
        <f>IF(-12395.90106="","-",-12395.90106)</f>
        <v>-12395.90106</v>
      </c>
      <c r="D57" s="111">
        <f>IF(OR(-10212.09971="",-12395.90106="",-10212.09971=0),"-",-12395.90106/-10212.09971*100)</f>
        <v>121.38444993698559</v>
      </c>
    </row>
    <row r="58" spans="1:4" x14ac:dyDescent="0.2">
      <c r="A58" s="126" t="s">
        <v>70</v>
      </c>
      <c r="B58" s="30">
        <f>IF(-7222.75269="","-",-7222.75269)</f>
        <v>-7222.7526900000003</v>
      </c>
      <c r="C58" s="30">
        <f>IF(-11036.57395="","-",-11036.57395)</f>
        <v>-11036.57395</v>
      </c>
      <c r="D58" s="111" t="s">
        <v>368</v>
      </c>
    </row>
    <row r="59" spans="1:4" x14ac:dyDescent="0.2">
      <c r="A59" s="126" t="s">
        <v>66</v>
      </c>
      <c r="B59" s="30">
        <f>IF(-8719.90978="","-",-8719.90978)</f>
        <v>-8719.90978</v>
      </c>
      <c r="C59" s="30">
        <f>IF(-8434.43505="","-",-8434.43505)</f>
        <v>-8434.43505</v>
      </c>
      <c r="D59" s="111">
        <f>IF(OR(-8719.90978="",-8434.43505="",-8719.90978=0),"-",-8434.43505/-8719.90978*100)</f>
        <v>96.726173352678884</v>
      </c>
    </row>
    <row r="60" spans="1:4" x14ac:dyDescent="0.2">
      <c r="A60" s="126" t="s">
        <v>61</v>
      </c>
      <c r="B60" s="30">
        <f>IF(-2709.05466="","-",-2709.05466)</f>
        <v>-2709.0546599999998</v>
      </c>
      <c r="C60" s="30">
        <f>IF(-7154.48531="","-",-7154.48531)</f>
        <v>-7154.48531</v>
      </c>
      <c r="D60" s="111" t="s">
        <v>376</v>
      </c>
    </row>
    <row r="61" spans="1:4" x14ac:dyDescent="0.2">
      <c r="A61" s="126" t="s">
        <v>82</v>
      </c>
      <c r="B61" s="30">
        <f>IF(-4078.31093="","-",-4078.31093)</f>
        <v>-4078.3109300000001</v>
      </c>
      <c r="C61" s="30">
        <f>IF(-6532.60868="","-",-6532.60868)</f>
        <v>-6532.6086800000003</v>
      </c>
      <c r="D61" s="111" t="s">
        <v>102</v>
      </c>
    </row>
    <row r="62" spans="1:4" x14ac:dyDescent="0.2">
      <c r="A62" s="126" t="s">
        <v>78</v>
      </c>
      <c r="B62" s="30">
        <f>IF(-3829.04644="","-",-3829.04644)</f>
        <v>-3829.0464400000001</v>
      </c>
      <c r="C62" s="30">
        <f>IF(-6162.0977="","-",-6162.0977)</f>
        <v>-6162.0977000000003</v>
      </c>
      <c r="D62" s="111" t="s">
        <v>102</v>
      </c>
    </row>
    <row r="63" spans="1:4" x14ac:dyDescent="0.2">
      <c r="A63" s="126" t="s">
        <v>71</v>
      </c>
      <c r="B63" s="30">
        <f>IF(-4115.49781="","-",-4115.49781)</f>
        <v>-4115.4978099999998</v>
      </c>
      <c r="C63" s="30">
        <f>IF(-5917.80441="","-",-5917.80441)</f>
        <v>-5917.8044099999997</v>
      </c>
      <c r="D63" s="111">
        <f>IF(OR(-4115.49781="",-5917.80441="",-4115.49781=0),"-",-5917.80441/-4115.49781*100)</f>
        <v>143.79316144017096</v>
      </c>
    </row>
    <row r="64" spans="1:4" x14ac:dyDescent="0.2">
      <c r="A64" s="126" t="s">
        <v>74</v>
      </c>
      <c r="B64" s="30">
        <f>IF(-4390.51114="","-",-4390.51114)</f>
        <v>-4390.5111399999996</v>
      </c>
      <c r="C64" s="30">
        <f>IF(-5743.09658="","-",-5743.09658)</f>
        <v>-5743.0965800000004</v>
      </c>
      <c r="D64" s="111">
        <f>IF(OR(-4390.51114="",-5743.09658="",-4390.51114=0),"-",-5743.09658/-4390.51114*100)</f>
        <v>130.8070153307936</v>
      </c>
    </row>
    <row r="65" spans="1:4" x14ac:dyDescent="0.2">
      <c r="A65" s="126" t="s">
        <v>310</v>
      </c>
      <c r="B65" s="30">
        <f>IF(-5000.23297="","-",-5000.23297)</f>
        <v>-5000.23297</v>
      </c>
      <c r="C65" s="30">
        <f>IF(-5051.39809="","-",-5051.39809)</f>
        <v>-5051.3980899999997</v>
      </c>
      <c r="D65" s="111">
        <f>IF(OR(-5000.23297="",-5051.39809="",-5000.23297=0),"-",-5051.39809/-5000.23297*100)</f>
        <v>101.02325472246945</v>
      </c>
    </row>
    <row r="66" spans="1:4" x14ac:dyDescent="0.2">
      <c r="A66" s="126" t="s">
        <v>83</v>
      </c>
      <c r="B66" s="30">
        <f>IF(-4606.69208="","-",-4606.69208)</f>
        <v>-4606.6920799999998</v>
      </c>
      <c r="C66" s="30">
        <f>IF(-4794.16145="","-",-4794.16145)</f>
        <v>-4794.1614499999996</v>
      </c>
      <c r="D66" s="111">
        <f>IF(OR(-4606.69208="",-4794.16145="",-4606.69208=0),"-",-4794.16145/-4606.69208*100)</f>
        <v>104.06950077722581</v>
      </c>
    </row>
    <row r="67" spans="1:4" x14ac:dyDescent="0.2">
      <c r="A67" s="126" t="s">
        <v>85</v>
      </c>
      <c r="B67" s="30">
        <f>IF(-1633.02818="","-",-1633.02818)</f>
        <v>-1633.02818</v>
      </c>
      <c r="C67" s="30">
        <f>IF(-3918.665="","-",-3918.665)</f>
        <v>-3918.665</v>
      </c>
      <c r="D67" s="111" t="s">
        <v>343</v>
      </c>
    </row>
    <row r="68" spans="1:4" x14ac:dyDescent="0.2">
      <c r="A68" s="126" t="s">
        <v>84</v>
      </c>
      <c r="B68" s="30">
        <f>IF(-2895.84181="","-",-2895.84181)</f>
        <v>-2895.8418099999999</v>
      </c>
      <c r="C68" s="30">
        <f>IF(-3802.73857="","-",-3802.73857)</f>
        <v>-3802.73857</v>
      </c>
      <c r="D68" s="111">
        <f>IF(OR(-2895.84181="",-3802.73857="",-2895.84181=0),"-",-3802.73857/-2895.84181*100)</f>
        <v>131.3172065155037</v>
      </c>
    </row>
    <row r="69" spans="1:4" x14ac:dyDescent="0.2">
      <c r="A69" s="126" t="s">
        <v>65</v>
      </c>
      <c r="B69" s="30">
        <f>IF(1530.36806="","-",1530.36806)</f>
        <v>1530.36806</v>
      </c>
      <c r="C69" s="30">
        <f>IF(-3092.80452="","-",-3092.80452)</f>
        <v>-3092.8045200000001</v>
      </c>
      <c r="D69" s="111" t="s">
        <v>22</v>
      </c>
    </row>
    <row r="70" spans="1:4" x14ac:dyDescent="0.2">
      <c r="A70" s="126" t="s">
        <v>316</v>
      </c>
      <c r="B70" s="30">
        <f>IF(26387.58598="","-",26387.58598)</f>
        <v>26387.58598</v>
      </c>
      <c r="C70" s="30">
        <f>IF(-2465.82358="","-",-2465.82358)</f>
        <v>-2465.8235800000002</v>
      </c>
      <c r="D70" s="111" t="s">
        <v>22</v>
      </c>
    </row>
    <row r="71" spans="1:4" x14ac:dyDescent="0.2">
      <c r="A71" s="126" t="s">
        <v>88</v>
      </c>
      <c r="B71" s="30">
        <f>IF(-1180.47398="","-",-1180.47398)</f>
        <v>-1180.47398</v>
      </c>
      <c r="C71" s="30">
        <f>IF(-2331.06744="","-",-2331.06744)</f>
        <v>-2331.0674399999998</v>
      </c>
      <c r="D71" s="111" t="s">
        <v>20</v>
      </c>
    </row>
    <row r="72" spans="1:4" x14ac:dyDescent="0.2">
      <c r="A72" s="126" t="s">
        <v>73</v>
      </c>
      <c r="B72" s="30">
        <f>IF(-944.02252="","-",-944.02252)</f>
        <v>-944.02251999999999</v>
      </c>
      <c r="C72" s="30">
        <f>IF(-2220.37313="","-",-2220.37313)</f>
        <v>-2220.3731299999999</v>
      </c>
      <c r="D72" s="111" t="s">
        <v>343</v>
      </c>
    </row>
    <row r="73" spans="1:4" x14ac:dyDescent="0.2">
      <c r="A73" s="126" t="s">
        <v>89</v>
      </c>
      <c r="B73" s="30">
        <f>IF(-612.57017="","-",-612.57017)</f>
        <v>-612.57016999999996</v>
      </c>
      <c r="C73" s="30">
        <f>IF(-1816.04702="","-",-1816.04702)</f>
        <v>-1816.04702</v>
      </c>
      <c r="D73" s="111" t="s">
        <v>377</v>
      </c>
    </row>
    <row r="74" spans="1:4" x14ac:dyDescent="0.2">
      <c r="A74" s="126" t="s">
        <v>127</v>
      </c>
      <c r="B74" s="30">
        <f>IF(-1961.11527="","-",-1961.11527)</f>
        <v>-1961.11527</v>
      </c>
      <c r="C74" s="30">
        <f>IF(-1777.64512="","-",-1777.64512)</f>
        <v>-1777.6451199999999</v>
      </c>
      <c r="D74" s="111">
        <f>IF(OR(-1961.11527="",-1777.64512="",-1961.11527=0),"-",-1777.64512/-1961.11527*100)</f>
        <v>90.644601426207856</v>
      </c>
    </row>
    <row r="75" spans="1:4" x14ac:dyDescent="0.2">
      <c r="A75" s="126" t="s">
        <v>80</v>
      </c>
      <c r="B75" s="30">
        <f>IF(-2412.76575="","-",-2412.76575)</f>
        <v>-2412.76575</v>
      </c>
      <c r="C75" s="30">
        <f>IF(-1744.9043="","-",-1744.9043)</f>
        <v>-1744.9042999999999</v>
      </c>
      <c r="D75" s="111">
        <f>IF(OR(-2412.76575="",-1744.9043="",-2412.76575=0),"-",-1744.9043/-2412.76575*100)</f>
        <v>72.319672972811389</v>
      </c>
    </row>
    <row r="76" spans="1:4" x14ac:dyDescent="0.2">
      <c r="A76" s="126" t="s">
        <v>87</v>
      </c>
      <c r="B76" s="30">
        <f>IF(-48.73582="","-",-48.73582)</f>
        <v>-48.735819999999997</v>
      </c>
      <c r="C76" s="30">
        <f>IF(-1713.47383="","-",-1713.47383)</f>
        <v>-1713.4738299999999</v>
      </c>
      <c r="D76" s="111" t="s">
        <v>378</v>
      </c>
    </row>
    <row r="77" spans="1:4" x14ac:dyDescent="0.2">
      <c r="A77" s="126" t="s">
        <v>330</v>
      </c>
      <c r="B77" s="30">
        <f>IF(-827.17652="","-",-827.17652)</f>
        <v>-827.17651999999998</v>
      </c>
      <c r="C77" s="30">
        <f>IF(-1610.39855="","-",-1610.39855)</f>
        <v>-1610.3985499999999</v>
      </c>
      <c r="D77" s="111" t="s">
        <v>341</v>
      </c>
    </row>
    <row r="78" spans="1:4" x14ac:dyDescent="0.2">
      <c r="A78" s="126" t="s">
        <v>63</v>
      </c>
      <c r="B78" s="30">
        <f>IF(-4526.78472="","-",-4526.78472)</f>
        <v>-4526.7847199999997</v>
      </c>
      <c r="C78" s="30">
        <f>IF(-1562.50682="","-",-1562.50682)</f>
        <v>-1562.5068200000001</v>
      </c>
      <c r="D78" s="111">
        <f>IF(OR(-4526.78472="",-1562.50682="",-4526.78472=0),"-",-1562.50682/-4526.78472*100)</f>
        <v>34.516923526241825</v>
      </c>
    </row>
    <row r="79" spans="1:4" x14ac:dyDescent="0.2">
      <c r="A79" s="126" t="s">
        <v>39</v>
      </c>
      <c r="B79" s="30">
        <f>IF(-386.11904="","-",-386.11904)</f>
        <v>-386.11903999999998</v>
      </c>
      <c r="C79" s="30">
        <f>IF(-1482.01578="","-",-1482.01578)</f>
        <v>-1482.0157799999999</v>
      </c>
      <c r="D79" s="111" t="s">
        <v>379</v>
      </c>
    </row>
    <row r="80" spans="1:4" x14ac:dyDescent="0.2">
      <c r="A80" s="126" t="s">
        <v>91</v>
      </c>
      <c r="B80" s="30">
        <f>IF(-834.09428="","-",-834.09428)</f>
        <v>-834.09428000000003</v>
      </c>
      <c r="C80" s="30">
        <f>IF(-1474.30631="","-",-1474.30631)</f>
        <v>-1474.3063099999999</v>
      </c>
      <c r="D80" s="111" t="s">
        <v>202</v>
      </c>
    </row>
    <row r="81" spans="1:4" x14ac:dyDescent="0.2">
      <c r="A81" s="126" t="s">
        <v>86</v>
      </c>
      <c r="B81" s="30">
        <f>IF(-2372.20013="","-",-2372.20013)</f>
        <v>-2372.2001300000002</v>
      </c>
      <c r="C81" s="30">
        <f>IF(-1128.59575="","-",-1128.59575)</f>
        <v>-1128.59575</v>
      </c>
      <c r="D81" s="111">
        <f>IF(OR(-2372.20013="",-1128.59575="",-2372.20013=0),"-",-1128.59575/-2372.20013*100)</f>
        <v>47.575907939942653</v>
      </c>
    </row>
    <row r="82" spans="1:4" x14ac:dyDescent="0.2">
      <c r="A82" s="126" t="s">
        <v>93</v>
      </c>
      <c r="B82" s="30">
        <f>IF(39.9836="","-",39.9836)</f>
        <v>39.983600000000003</v>
      </c>
      <c r="C82" s="30">
        <f>IF(-1032.13225="","-",-1032.13225)</f>
        <v>-1032.1322500000001</v>
      </c>
      <c r="D82" s="111" t="s">
        <v>22</v>
      </c>
    </row>
    <row r="83" spans="1:4" x14ac:dyDescent="0.2">
      <c r="A83" s="126" t="s">
        <v>96</v>
      </c>
      <c r="B83" s="30">
        <f>IF(-743.62848="","-",-743.62848)</f>
        <v>-743.62847999999997</v>
      </c>
      <c r="C83" s="30">
        <f>IF(-912.86841="","-",-912.86841)</f>
        <v>-912.86841000000004</v>
      </c>
      <c r="D83" s="111">
        <f>IF(OR(-743.62848="",-912.86841="",-743.62848=0),"-",-912.86841/-743.62848*100)</f>
        <v>122.75866706987877</v>
      </c>
    </row>
    <row r="84" spans="1:4" x14ac:dyDescent="0.2">
      <c r="A84" s="126" t="s">
        <v>119</v>
      </c>
      <c r="B84" s="30">
        <f>IF(2877.02442="","-",2877.02442)</f>
        <v>2877.0244200000002</v>
      </c>
      <c r="C84" s="30">
        <f>IF(-847.73945="","-",-847.73945)</f>
        <v>-847.73945000000003</v>
      </c>
      <c r="D84" s="111" t="s">
        <v>22</v>
      </c>
    </row>
    <row r="85" spans="1:4" x14ac:dyDescent="0.2">
      <c r="A85" s="126" t="s">
        <v>141</v>
      </c>
      <c r="B85" s="30">
        <f>IF(-412.37481="","-",-412.37481)</f>
        <v>-412.37481000000002</v>
      </c>
      <c r="C85" s="30">
        <f>IF(-706.29035="","-",-706.29035)</f>
        <v>-706.29034999999999</v>
      </c>
      <c r="D85" s="111" t="s">
        <v>344</v>
      </c>
    </row>
    <row r="86" spans="1:4" x14ac:dyDescent="0.2">
      <c r="A86" s="126" t="s">
        <v>331</v>
      </c>
      <c r="B86" s="30">
        <f>IF(-199.75524="","-",-199.75524)</f>
        <v>-199.75523999999999</v>
      </c>
      <c r="C86" s="30">
        <f>IF(-653.21791="","-",-653.21791)</f>
        <v>-653.21790999999996</v>
      </c>
      <c r="D86" s="111" t="s">
        <v>338</v>
      </c>
    </row>
    <row r="87" spans="1:4" x14ac:dyDescent="0.2">
      <c r="A87" s="126" t="s">
        <v>38</v>
      </c>
      <c r="B87" s="30">
        <f>IF(-1072.75583="","-",-1072.75583)</f>
        <v>-1072.7558300000001</v>
      </c>
      <c r="C87" s="30">
        <f>IF(-578.74157="","-",-578.74157)</f>
        <v>-578.74157000000002</v>
      </c>
      <c r="D87" s="111">
        <f>IF(OR(-1072.75583="",-578.74157="",-1072.75583=0),"-",-578.74157/-1072.75583*100)</f>
        <v>53.949049151287298</v>
      </c>
    </row>
    <row r="88" spans="1:4" x14ac:dyDescent="0.2">
      <c r="A88" s="126" t="s">
        <v>64</v>
      </c>
      <c r="B88" s="30">
        <f>IF(69.28485="","-",69.28485)</f>
        <v>69.284850000000006</v>
      </c>
      <c r="C88" s="30">
        <f>IF(-523.69906="","-",-523.69906)</f>
        <v>-523.69906000000003</v>
      </c>
      <c r="D88" s="111" t="s">
        <v>22</v>
      </c>
    </row>
    <row r="89" spans="1:4" x14ac:dyDescent="0.2">
      <c r="A89" s="126" t="s">
        <v>97</v>
      </c>
      <c r="B89" s="30">
        <f>IF(-146.52656="","-",-146.52656)</f>
        <v>-146.52655999999999</v>
      </c>
      <c r="C89" s="30">
        <f>IF(-443.87389="","-",-443.87389)</f>
        <v>-443.87389000000002</v>
      </c>
      <c r="D89" s="111" t="s">
        <v>377</v>
      </c>
    </row>
    <row r="90" spans="1:4" x14ac:dyDescent="0.2">
      <c r="A90" s="126" t="s">
        <v>315</v>
      </c>
      <c r="B90" s="30">
        <f>IF(-76.80613="","-",-76.80613)</f>
        <v>-76.806129999999996</v>
      </c>
      <c r="C90" s="30">
        <f>IF(-424.66846="","-",-424.66846)</f>
        <v>-424.66845999999998</v>
      </c>
      <c r="D90" s="111" t="s">
        <v>380</v>
      </c>
    </row>
    <row r="91" spans="1:4" x14ac:dyDescent="0.2">
      <c r="A91" s="126" t="s">
        <v>215</v>
      </c>
      <c r="B91" s="30">
        <f>IF(-117.52807="","-",-117.52807)</f>
        <v>-117.52807</v>
      </c>
      <c r="C91" s="30">
        <f>IF(-406.76334="","-",-406.76334)</f>
        <v>-406.76334000000003</v>
      </c>
      <c r="D91" s="111" t="s">
        <v>373</v>
      </c>
    </row>
    <row r="92" spans="1:4" x14ac:dyDescent="0.2">
      <c r="A92" s="126" t="s">
        <v>121</v>
      </c>
      <c r="B92" s="30">
        <f>IF(-143.5722="","-",-143.5722)</f>
        <v>-143.57220000000001</v>
      </c>
      <c r="C92" s="30">
        <f>IF(-394.26863="","-",-394.26863)</f>
        <v>-394.26862999999997</v>
      </c>
      <c r="D92" s="111" t="s">
        <v>374</v>
      </c>
    </row>
    <row r="93" spans="1:4" x14ac:dyDescent="0.2">
      <c r="A93" s="126" t="s">
        <v>62</v>
      </c>
      <c r="B93" s="30">
        <f>IF(-3214.51853="","-",-3214.51853)</f>
        <v>-3214.5185299999998</v>
      </c>
      <c r="C93" s="30">
        <f>IF(-319.79864="","-",-319.79864)</f>
        <v>-319.79863999999998</v>
      </c>
      <c r="D93" s="111">
        <f>IF(OR(-3214.51853="",-319.79864="",-3214.51853=0),"-",-319.79864/-3214.51853*100)</f>
        <v>9.9485704317902943</v>
      </c>
    </row>
    <row r="94" spans="1:4" x14ac:dyDescent="0.2">
      <c r="A94" s="126" t="s">
        <v>92</v>
      </c>
      <c r="B94" s="30">
        <f>IF(-378.54383="","-",-378.54383)</f>
        <v>-378.54383000000001</v>
      </c>
      <c r="C94" s="30">
        <f>IF(-319.77774="","-",-319.77774)</f>
        <v>-319.77773999999999</v>
      </c>
      <c r="D94" s="111">
        <f>IF(OR(-378.54383="",-319.77774="",-378.54383=0),"-",-319.77774/-378.54383*100)</f>
        <v>84.475750139686596</v>
      </c>
    </row>
    <row r="95" spans="1:4" x14ac:dyDescent="0.2">
      <c r="A95" s="126" t="s">
        <v>94</v>
      </c>
      <c r="B95" s="30">
        <f>IF(-453.76206="","-",-453.76206)</f>
        <v>-453.76206000000002</v>
      </c>
      <c r="C95" s="30">
        <f>IF(-254.18973="","-",-254.18973)</f>
        <v>-254.18973</v>
      </c>
      <c r="D95" s="111">
        <f>IF(OR(-453.76206="",-254.18973="",-453.76206=0),"-",-254.18973/-453.76206*100)</f>
        <v>56.01828632389406</v>
      </c>
    </row>
    <row r="96" spans="1:4" x14ac:dyDescent="0.2">
      <c r="A96" s="126" t="s">
        <v>101</v>
      </c>
      <c r="B96" s="30">
        <f>IF(-141.04432="","-",-141.04432)</f>
        <v>-141.04432</v>
      </c>
      <c r="C96" s="30">
        <f>IF(-229.47151="","-",-229.47151)</f>
        <v>-229.47150999999999</v>
      </c>
      <c r="D96" s="111" t="s">
        <v>102</v>
      </c>
    </row>
    <row r="97" spans="1:4" x14ac:dyDescent="0.2">
      <c r="A97" s="126" t="s">
        <v>132</v>
      </c>
      <c r="B97" s="30">
        <f>IF(-67.35403="","-",-67.35403)</f>
        <v>-67.354029999999995</v>
      </c>
      <c r="C97" s="30">
        <f>IF(-136.0658="","-",-136.0658)</f>
        <v>-136.0658</v>
      </c>
      <c r="D97" s="111" t="s">
        <v>20</v>
      </c>
    </row>
    <row r="98" spans="1:4" x14ac:dyDescent="0.2">
      <c r="A98" s="126" t="s">
        <v>104</v>
      </c>
      <c r="B98" s="30">
        <f>IF(-53.46239="","-",-53.46239)</f>
        <v>-53.462389999999999</v>
      </c>
      <c r="C98" s="30">
        <f>IF(-130.64087="","-",-130.64087)</f>
        <v>-130.64087000000001</v>
      </c>
      <c r="D98" s="111" t="s">
        <v>343</v>
      </c>
    </row>
    <row r="99" spans="1:4" x14ac:dyDescent="0.2">
      <c r="A99" s="126" t="s">
        <v>90</v>
      </c>
      <c r="B99" s="30">
        <f>IF(-108.14954="","-",-108.14954)</f>
        <v>-108.14954</v>
      </c>
      <c r="C99" s="30">
        <f>IF(-105.78777="","-",-105.78777)</f>
        <v>-105.78776999999999</v>
      </c>
      <c r="D99" s="111">
        <f>IF(OR(-108.14954="",-105.78777="",-108.14954=0),"-",-105.78777/-108.14954*100)</f>
        <v>97.81619968055341</v>
      </c>
    </row>
    <row r="100" spans="1:4" x14ac:dyDescent="0.2">
      <c r="A100" s="126" t="s">
        <v>108</v>
      </c>
      <c r="B100" s="30">
        <f>IF(-422.9867="","-",-422.9867)</f>
        <v>-422.98669999999998</v>
      </c>
      <c r="C100" s="30">
        <f>IF(-98.96047="","-",-98.96047)</f>
        <v>-98.960470000000001</v>
      </c>
      <c r="D100" s="111">
        <f>IF(OR(-422.9867="",-98.96047="",-422.9867=0),"-",-98.96047/-422.9867*100)</f>
        <v>23.395645773259538</v>
      </c>
    </row>
    <row r="101" spans="1:4" x14ac:dyDescent="0.2">
      <c r="A101" s="126" t="s">
        <v>131</v>
      </c>
      <c r="B101" s="30">
        <f>IF(-110.81363="","-",-110.81363)</f>
        <v>-110.81363</v>
      </c>
      <c r="C101" s="30">
        <f>IF(-93.24753="","-",-93.24753)</f>
        <v>-93.247529999999998</v>
      </c>
      <c r="D101" s="111">
        <f>IF(OR(-110.81363="",-93.24753="",-110.81363=0),"-",-93.24753/-110.81363*100)</f>
        <v>84.148069149977303</v>
      </c>
    </row>
    <row r="102" spans="1:4" x14ac:dyDescent="0.2">
      <c r="A102" s="126" t="s">
        <v>216</v>
      </c>
      <c r="B102" s="30">
        <f>IF(-12.5543="","-",-12.5543)</f>
        <v>-12.5543</v>
      </c>
      <c r="C102" s="30">
        <f>IF(-91.76643="","-",-91.76643)</f>
        <v>-91.76643</v>
      </c>
      <c r="D102" s="111" t="s">
        <v>363</v>
      </c>
    </row>
    <row r="103" spans="1:4" x14ac:dyDescent="0.2">
      <c r="A103" s="126" t="s">
        <v>300</v>
      </c>
      <c r="B103" s="30">
        <f>IF(31.80986="","-",31.80986)</f>
        <v>31.80986</v>
      </c>
      <c r="C103" s="30">
        <f>IF(-87.42707="","-",-87.42707)</f>
        <v>-87.427070000000001</v>
      </c>
      <c r="D103" s="111" t="s">
        <v>22</v>
      </c>
    </row>
    <row r="104" spans="1:4" x14ac:dyDescent="0.2">
      <c r="A104" s="126" t="s">
        <v>201</v>
      </c>
      <c r="B104" s="30">
        <f>IF(-76.63094="","-",-76.63094)</f>
        <v>-76.630939999999995</v>
      </c>
      <c r="C104" s="30">
        <f>IF(-84.47456="","-",-84.47456)</f>
        <v>-84.474559999999997</v>
      </c>
      <c r="D104" s="111">
        <f>IF(OR(-76.63094="",-84.47456="",-76.63094=0),"-",-84.47456/-76.63094*100)</f>
        <v>110.23557847522163</v>
      </c>
    </row>
    <row r="105" spans="1:4" x14ac:dyDescent="0.2">
      <c r="A105" s="126" t="s">
        <v>134</v>
      </c>
      <c r="B105" s="30">
        <f>IF(-56.18831="","-",-56.18831)</f>
        <v>-56.188310000000001</v>
      </c>
      <c r="C105" s="30">
        <f>IF(-80.63134="","-",-80.63134)</f>
        <v>-80.631339999999994</v>
      </c>
      <c r="D105" s="111">
        <f>IF(OR(-56.18831="",-80.63134="",-56.18831=0),"-",-80.63134/-56.18831*100)</f>
        <v>143.50198466549358</v>
      </c>
    </row>
    <row r="106" spans="1:4" x14ac:dyDescent="0.2">
      <c r="A106" s="126" t="s">
        <v>129</v>
      </c>
      <c r="B106" s="30">
        <f>IF(-46.80854="","-",-46.80854)</f>
        <v>-46.808540000000001</v>
      </c>
      <c r="C106" s="30">
        <f>IF(-67.26627="","-",-67.26627)</f>
        <v>-67.266270000000006</v>
      </c>
      <c r="D106" s="111">
        <f>IF(OR(-46.80854="",-67.26627="",-46.80854=0),"-",-67.26627/-46.80854*100)</f>
        <v>143.70512303951375</v>
      </c>
    </row>
    <row r="107" spans="1:4" x14ac:dyDescent="0.2">
      <c r="A107" s="126" t="s">
        <v>208</v>
      </c>
      <c r="B107" s="30">
        <f>IF(-23.02316="","-",-23.02316)</f>
        <v>-23.023160000000001</v>
      </c>
      <c r="C107" s="30">
        <f>IF(-55.73514="","-",-55.73514)</f>
        <v>-55.735140000000001</v>
      </c>
      <c r="D107" s="111" t="s">
        <v>343</v>
      </c>
    </row>
    <row r="108" spans="1:4" x14ac:dyDescent="0.2">
      <c r="A108" s="126" t="s">
        <v>301</v>
      </c>
      <c r="B108" s="30">
        <f>IF(-41.42354="","-",-41.42354)</f>
        <v>-41.423540000000003</v>
      </c>
      <c r="C108" s="30">
        <f>IF(-53.92962="","-",-53.92962)</f>
        <v>-53.92962</v>
      </c>
      <c r="D108" s="111">
        <f>IF(OR(-41.42354="",-53.92962="",-41.42354=0),"-",-53.92962/-41.42354*100)</f>
        <v>130.19075627046843</v>
      </c>
    </row>
    <row r="109" spans="1:4" x14ac:dyDescent="0.2">
      <c r="A109" s="126" t="s">
        <v>332</v>
      </c>
      <c r="B109" s="30">
        <f>IF(-30.94467="","-",-30.94467)</f>
        <v>-30.944669999999999</v>
      </c>
      <c r="C109" s="30">
        <f>IF(-52.45783="","-",-52.45783)</f>
        <v>-52.457830000000001</v>
      </c>
      <c r="D109" s="111" t="s">
        <v>344</v>
      </c>
    </row>
    <row r="110" spans="1:4" x14ac:dyDescent="0.2">
      <c r="A110" s="126" t="s">
        <v>311</v>
      </c>
      <c r="B110" s="30">
        <f>IF(-11.91355="","-",-11.91355)</f>
        <v>-11.913550000000001</v>
      </c>
      <c r="C110" s="30">
        <f>IF(-50.3379="","-",-50.3379)</f>
        <v>-50.337899999999998</v>
      </c>
      <c r="D110" s="111" t="s">
        <v>353</v>
      </c>
    </row>
    <row r="111" spans="1:4" x14ac:dyDescent="0.2">
      <c r="A111" s="126" t="s">
        <v>334</v>
      </c>
      <c r="B111" s="30">
        <f>IF(-8.89759="","-",-8.89759)</f>
        <v>-8.8975899999999992</v>
      </c>
      <c r="C111" s="30">
        <f>IF(-32.20464="","-",-32.20464)</f>
        <v>-32.204639999999998</v>
      </c>
      <c r="D111" s="111" t="s">
        <v>360</v>
      </c>
    </row>
    <row r="112" spans="1:4" x14ac:dyDescent="0.2">
      <c r="A112" s="126" t="s">
        <v>335</v>
      </c>
      <c r="B112" s="30">
        <f>IF(-43.49346="","-",-43.49346)</f>
        <v>-43.493459999999999</v>
      </c>
      <c r="C112" s="30">
        <f>IF(-31.28226="","-",-31.28226)</f>
        <v>-31.282260000000001</v>
      </c>
      <c r="D112" s="111">
        <f>IF(OR(-43.49346="",-31.28226="",-43.49346=0),"-",-31.28226/-43.49346*100)</f>
        <v>71.924054788926895</v>
      </c>
    </row>
    <row r="113" spans="1:4" x14ac:dyDescent="0.2">
      <c r="A113" s="126" t="s">
        <v>313</v>
      </c>
      <c r="B113" s="30">
        <f>IF(0="","-",0)</f>
        <v>0</v>
      </c>
      <c r="C113" s="30">
        <f>IF(39.44113="","-",39.44113)</f>
        <v>39.441130000000001</v>
      </c>
      <c r="D113" s="111" t="str">
        <f>IF(OR(0="",39.44113="",0=0),"-",39.44113/0*100)</f>
        <v>-</v>
      </c>
    </row>
    <row r="114" spans="1:4" x14ac:dyDescent="0.2">
      <c r="A114" s="126" t="s">
        <v>312</v>
      </c>
      <c r="B114" s="30">
        <f>IF(24.012="","-",24.012)</f>
        <v>24.012</v>
      </c>
      <c r="C114" s="30">
        <f>IF(46.7302="","-",46.7302)</f>
        <v>46.730200000000004</v>
      </c>
      <c r="D114" s="111" t="s">
        <v>341</v>
      </c>
    </row>
    <row r="115" spans="1:4" x14ac:dyDescent="0.2">
      <c r="A115" s="126" t="s">
        <v>292</v>
      </c>
      <c r="B115" s="30">
        <f>IF(76.74872="","-",76.74872)</f>
        <v>76.748720000000006</v>
      </c>
      <c r="C115" s="30">
        <f>IF(57.95674="","-",57.95674)</f>
        <v>57.956740000000003</v>
      </c>
      <c r="D115" s="111">
        <f>IF(OR(76.74872="",57.95674="",76.74872=0),"-",57.95674/76.74872*100)</f>
        <v>75.514927154485449</v>
      </c>
    </row>
    <row r="116" spans="1:4" x14ac:dyDescent="0.2">
      <c r="A116" s="126" t="s">
        <v>329</v>
      </c>
      <c r="B116" s="30" t="s">
        <v>294</v>
      </c>
      <c r="C116" s="30">
        <f>IF(63.80829="","-",63.80829)</f>
        <v>63.80829</v>
      </c>
      <c r="D116" s="111" t="str">
        <f>IF(OR(0="",63.80829="",0=0),"-",63.80829/0*100)</f>
        <v>-</v>
      </c>
    </row>
    <row r="117" spans="1:4" x14ac:dyDescent="0.2">
      <c r="A117" s="126" t="s">
        <v>100</v>
      </c>
      <c r="B117" s="30">
        <f>IF(-151.04651="","-",-151.04651)</f>
        <v>-151.04651000000001</v>
      </c>
      <c r="C117" s="30">
        <f>IF(67.52961="","-",67.52961)</f>
        <v>67.529610000000005</v>
      </c>
      <c r="D117" s="111" t="s">
        <v>22</v>
      </c>
    </row>
    <row r="118" spans="1:4" x14ac:dyDescent="0.2">
      <c r="A118" s="126" t="s">
        <v>314</v>
      </c>
      <c r="B118" s="30">
        <f>IF(0="","-",0)</f>
        <v>0</v>
      </c>
      <c r="C118" s="30">
        <f>IF(75.18943="","-",75.18943)</f>
        <v>75.189430000000002</v>
      </c>
      <c r="D118" s="111" t="str">
        <f>IF(OR(0="",75.18943="",0=0),"-",75.18943/0*100)</f>
        <v>-</v>
      </c>
    </row>
    <row r="119" spans="1:4" x14ac:dyDescent="0.2">
      <c r="A119" s="126" t="s">
        <v>213</v>
      </c>
      <c r="B119" s="30">
        <f>IF(254.46151="","-",254.46151)</f>
        <v>254.46151</v>
      </c>
      <c r="C119" s="30">
        <f>IF(80.34941="","-",80.34941)</f>
        <v>80.349410000000006</v>
      </c>
      <c r="D119" s="111">
        <f>IF(OR(254.46151="",80.34941="",254.46151=0),"-",80.34941/254.46151*100)</f>
        <v>31.576252927210881</v>
      </c>
    </row>
    <row r="120" spans="1:4" x14ac:dyDescent="0.2">
      <c r="A120" s="126" t="s">
        <v>123</v>
      </c>
      <c r="B120" s="30">
        <f>IF(116.26245="","-",116.26245)</f>
        <v>116.26245</v>
      </c>
      <c r="C120" s="30">
        <f>IF(134.48619="","-",134.48619)</f>
        <v>134.48618999999999</v>
      </c>
      <c r="D120" s="111">
        <f>IF(OR(116.26245="",134.48619="",116.26245=0),"-",134.48619/116.26245*100)</f>
        <v>115.67465677869338</v>
      </c>
    </row>
    <row r="121" spans="1:4" x14ac:dyDescent="0.2">
      <c r="A121" s="126" t="s">
        <v>214</v>
      </c>
      <c r="B121" s="30">
        <f>IF(80.65195="","-",80.65195)</f>
        <v>80.651949999999999</v>
      </c>
      <c r="C121" s="30">
        <f>IF(154.3097="","-",154.3097)</f>
        <v>154.30969999999999</v>
      </c>
      <c r="D121" s="111" t="s">
        <v>341</v>
      </c>
    </row>
    <row r="122" spans="1:4" x14ac:dyDescent="0.2">
      <c r="A122" s="126" t="s">
        <v>211</v>
      </c>
      <c r="B122" s="30">
        <f>IF(-2.43305="","-",-2.43305)</f>
        <v>-2.4330500000000002</v>
      </c>
      <c r="C122" s="30">
        <f>IF(161.74339="","-",161.74339)</f>
        <v>161.74339000000001</v>
      </c>
      <c r="D122" s="111" t="s">
        <v>22</v>
      </c>
    </row>
    <row r="123" spans="1:4" x14ac:dyDescent="0.2">
      <c r="A123" s="126" t="s">
        <v>336</v>
      </c>
      <c r="B123" s="30">
        <f>IF(-1.18249="","-",-1.18249)</f>
        <v>-1.18249</v>
      </c>
      <c r="C123" s="30">
        <f>IF(182.76594="","-",182.76594)</f>
        <v>182.76594</v>
      </c>
      <c r="D123" s="111" t="s">
        <v>22</v>
      </c>
    </row>
    <row r="124" spans="1:4" x14ac:dyDescent="0.2">
      <c r="A124" s="126" t="s">
        <v>128</v>
      </c>
      <c r="B124" s="30">
        <f>IF(-793.95044="","-",-793.95044)</f>
        <v>-793.95043999999996</v>
      </c>
      <c r="C124" s="30">
        <f>IF(192.62099="","-",192.62099)</f>
        <v>192.62099000000001</v>
      </c>
      <c r="D124" s="111" t="s">
        <v>22</v>
      </c>
    </row>
    <row r="125" spans="1:4" x14ac:dyDescent="0.2">
      <c r="A125" s="126" t="s">
        <v>327</v>
      </c>
      <c r="B125" s="30">
        <f>IF(50.18097="","-",50.18097)</f>
        <v>50.180970000000002</v>
      </c>
      <c r="C125" s="30">
        <f>IF(211.45377="","-",211.45377)</f>
        <v>211.45376999999999</v>
      </c>
      <c r="D125" s="111" t="s">
        <v>353</v>
      </c>
    </row>
    <row r="126" spans="1:4" x14ac:dyDescent="0.2">
      <c r="A126" s="126" t="s">
        <v>95</v>
      </c>
      <c r="B126" s="30">
        <f>IF(183.24437="","-",183.24437)</f>
        <v>183.24437</v>
      </c>
      <c r="C126" s="30">
        <f>IF(231.46488="","-",231.46488)</f>
        <v>231.46487999999999</v>
      </c>
      <c r="D126" s="111">
        <f>IF(OR(183.24437="",231.46488="",183.24437=0),"-",231.46488/183.24437*100)</f>
        <v>126.31486577186519</v>
      </c>
    </row>
    <row r="127" spans="1:4" x14ac:dyDescent="0.2">
      <c r="A127" s="126" t="s">
        <v>122</v>
      </c>
      <c r="B127" s="30">
        <f>IF(602.04816="","-",602.04816)</f>
        <v>602.04816000000005</v>
      </c>
      <c r="C127" s="30">
        <f>IF(240.34246="","-",240.34246)</f>
        <v>240.34245999999999</v>
      </c>
      <c r="D127" s="111">
        <f>IF(OR(602.04816="",240.34246="",602.04816=0),"-",240.34246/602.04816*100)</f>
        <v>39.920803013499778</v>
      </c>
    </row>
    <row r="128" spans="1:4" x14ac:dyDescent="0.2">
      <c r="A128" s="126" t="s">
        <v>135</v>
      </c>
      <c r="B128" s="30">
        <f>IF(168.9657="","-",168.9657)</f>
        <v>168.9657</v>
      </c>
      <c r="C128" s="30">
        <f>IF(278.3609="","-",278.3609)</f>
        <v>278.36090000000002</v>
      </c>
      <c r="D128" s="111" t="s">
        <v>102</v>
      </c>
    </row>
    <row r="129" spans="1:4" x14ac:dyDescent="0.2">
      <c r="A129" s="126" t="s">
        <v>140</v>
      </c>
      <c r="B129" s="30">
        <f>IF(179.7168="","-",179.7168)</f>
        <v>179.71680000000001</v>
      </c>
      <c r="C129" s="30">
        <f>IF(299.4="","-",299.4)</f>
        <v>299.39999999999998</v>
      </c>
      <c r="D129" s="111" t="s">
        <v>344</v>
      </c>
    </row>
    <row r="130" spans="1:4" x14ac:dyDescent="0.2">
      <c r="A130" s="126" t="s">
        <v>126</v>
      </c>
      <c r="B130" s="30">
        <f>IF(265.18561="","-",265.18561)</f>
        <v>265.18561</v>
      </c>
      <c r="C130" s="30">
        <f>IF(392.37799="","-",392.37799)</f>
        <v>392.37799000000001</v>
      </c>
      <c r="D130" s="111">
        <f>IF(OR(265.18561="",392.37799="",265.18561=0),"-",392.37799/265.18561*100)</f>
        <v>147.96353014780857</v>
      </c>
    </row>
    <row r="131" spans="1:4" x14ac:dyDescent="0.2">
      <c r="A131" s="126" t="s">
        <v>106</v>
      </c>
      <c r="B131" s="30">
        <f>IF(525.05425="","-",525.05425)</f>
        <v>525.05425000000002</v>
      </c>
      <c r="C131" s="30">
        <f>IF(478.47791="","-",478.47791)</f>
        <v>478.47791000000001</v>
      </c>
      <c r="D131" s="111">
        <f>IF(OR(525.05425="",478.47791="",525.05425=0),"-",478.47791/525.05425*100)</f>
        <v>91.129232836416435</v>
      </c>
    </row>
    <row r="132" spans="1:4" x14ac:dyDescent="0.2">
      <c r="A132" s="126" t="s">
        <v>142</v>
      </c>
      <c r="B132" s="30">
        <f>IF(98.40828="","-",98.40828)</f>
        <v>98.408280000000005</v>
      </c>
      <c r="C132" s="30">
        <f>IF(480.72358="","-",480.72358)</f>
        <v>480.72358000000003</v>
      </c>
      <c r="D132" s="111" t="s">
        <v>381</v>
      </c>
    </row>
    <row r="133" spans="1:4" x14ac:dyDescent="0.2">
      <c r="A133" s="126" t="s">
        <v>37</v>
      </c>
      <c r="B133" s="30">
        <f>IF(843.40357="","-",843.40357)</f>
        <v>843.40356999999995</v>
      </c>
      <c r="C133" s="30">
        <f>IF(530.48629="","-",530.48629)</f>
        <v>530.48629000000005</v>
      </c>
      <c r="D133" s="111">
        <f>IF(OR(843.40357="",530.48629="",843.40357=0),"-",530.48629/843.40357*100)</f>
        <v>62.898274191559331</v>
      </c>
    </row>
    <row r="134" spans="1:4" x14ac:dyDescent="0.2">
      <c r="A134" s="126" t="s">
        <v>68</v>
      </c>
      <c r="B134" s="30">
        <f>IF(351.97482="","-",351.97482)</f>
        <v>351.97482000000002</v>
      </c>
      <c r="C134" s="30">
        <f>IF(1080.38691="","-",1080.38691)</f>
        <v>1080.3869099999999</v>
      </c>
      <c r="D134" s="111" t="s">
        <v>382</v>
      </c>
    </row>
    <row r="135" spans="1:4" x14ac:dyDescent="0.2">
      <c r="A135" s="126" t="s">
        <v>77</v>
      </c>
      <c r="B135" s="30">
        <f>IF(590.1844="","-",590.1844)</f>
        <v>590.18439999999998</v>
      </c>
      <c r="C135" s="30">
        <f>IF(1393.23776="","-",1393.23776)</f>
        <v>1393.23776</v>
      </c>
      <c r="D135" s="111" t="s">
        <v>343</v>
      </c>
    </row>
    <row r="136" spans="1:4" x14ac:dyDescent="0.2">
      <c r="A136" s="126" t="s">
        <v>210</v>
      </c>
      <c r="B136" s="30">
        <f>IF(15.83932="","-",15.83932)</f>
        <v>15.839320000000001</v>
      </c>
      <c r="C136" s="30">
        <f>IF(2085.50385="","-",2085.50385)</f>
        <v>2085.5038500000001</v>
      </c>
      <c r="D136" s="111" t="s">
        <v>347</v>
      </c>
    </row>
    <row r="137" spans="1:4" x14ac:dyDescent="0.2">
      <c r="A137" s="126" t="s">
        <v>57</v>
      </c>
      <c r="B137" s="30">
        <f>IF(3634.05403="","-",3634.05403)</f>
        <v>3634.0540299999998</v>
      </c>
      <c r="C137" s="30">
        <f>IF(3459.50622="","-",3459.50622)</f>
        <v>3459.5062200000002</v>
      </c>
      <c r="D137" s="111">
        <f>IF(OR(3634.05403="",3459.50622="",3634.05403=0),"-",3459.50622/3634.05403*100)</f>
        <v>95.196884565857715</v>
      </c>
    </row>
    <row r="138" spans="1:4" x14ac:dyDescent="0.2">
      <c r="A138" s="126" t="s">
        <v>58</v>
      </c>
      <c r="B138" s="30">
        <f>IF(6182.21133="","-",6182.21133)</f>
        <v>6182.2113300000001</v>
      </c>
      <c r="C138" s="30">
        <f>IF(8172.84924="","-",8172.84924)</f>
        <v>8172.8492399999996</v>
      </c>
      <c r="D138" s="111">
        <f>IF(OR(6182.21133="",8172.84924="",6182.21133=0),"-",8172.84924/6182.21133*100)</f>
        <v>132.19944779855979</v>
      </c>
    </row>
    <row r="139" spans="1:4" x14ac:dyDescent="0.2">
      <c r="A139" s="126" t="s">
        <v>75</v>
      </c>
      <c r="B139" s="93">
        <f>IF(-2259.77653="","-",-2259.77653)</f>
        <v>-2259.7765300000001</v>
      </c>
      <c r="C139" s="93">
        <f>IF(9506.39966="","-",9506.39966)</f>
        <v>9506.3996599999991</v>
      </c>
      <c r="D139" s="112" t="s">
        <v>22</v>
      </c>
    </row>
    <row r="140" spans="1:4" x14ac:dyDescent="0.2">
      <c r="A140" s="127" t="s">
        <v>60</v>
      </c>
      <c r="B140" s="37">
        <f>IF(8161.06943="","-",8161.06943)</f>
        <v>8161.0694299999996</v>
      </c>
      <c r="C140" s="37">
        <f>IF(14060.19743="","-",14060.19743)</f>
        <v>14060.19743</v>
      </c>
      <c r="D140" s="113" t="s">
        <v>344</v>
      </c>
    </row>
    <row r="141" spans="1:4" x14ac:dyDescent="0.2">
      <c r="A141" s="114"/>
      <c r="B141" s="115"/>
      <c r="C141" s="115"/>
      <c r="D141" s="115"/>
    </row>
    <row r="142" spans="1:4" x14ac:dyDescent="0.2">
      <c r="A142" s="1" t="s">
        <v>291</v>
      </c>
    </row>
  </sheetData>
  <sortState ref="A49:G114">
    <sortCondition ref="C49:C114"/>
  </sortState>
  <mergeCells count="4">
    <mergeCell ref="A2:D2"/>
    <mergeCell ref="A4:A5"/>
    <mergeCell ref="D4:D5"/>
    <mergeCell ref="B4:C4"/>
  </mergeCells>
  <phoneticPr fontId="1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K41"/>
  <sheetViews>
    <sheetView workbookViewId="0">
      <selection activeCell="A7" sqref="A7:A40"/>
    </sheetView>
  </sheetViews>
  <sheetFormatPr defaultRowHeight="12" x14ac:dyDescent="0.2"/>
  <cols>
    <col min="1" max="1" width="30.25" style="7" customWidth="1"/>
    <col min="2" max="2" width="14.875" style="7" customWidth="1"/>
    <col min="3" max="3" width="13.875" style="7" customWidth="1"/>
    <col min="4" max="5" width="11.625" style="7" customWidth="1"/>
    <col min="6" max="16384" width="9" style="7"/>
  </cols>
  <sheetData>
    <row r="2" spans="1:6" x14ac:dyDescent="0.2">
      <c r="A2" s="6" t="s">
        <v>391</v>
      </c>
      <c r="B2" s="6"/>
      <c r="C2" s="6"/>
      <c r="D2" s="6"/>
      <c r="E2" s="6"/>
    </row>
    <row r="3" spans="1:6" x14ac:dyDescent="0.2">
      <c r="A3" s="33"/>
      <c r="B3" s="33"/>
      <c r="C3" s="33"/>
      <c r="D3" s="33"/>
      <c r="E3" s="33"/>
    </row>
    <row r="4" spans="1:6" ht="18.75" customHeight="1" x14ac:dyDescent="0.2">
      <c r="A4" s="8"/>
      <c r="B4" s="9" t="s">
        <v>317</v>
      </c>
      <c r="C4" s="10"/>
      <c r="D4" s="9" t="s">
        <v>105</v>
      </c>
      <c r="E4" s="83"/>
      <c r="F4" s="46"/>
    </row>
    <row r="5" spans="1:6" ht="18.75" customHeight="1" x14ac:dyDescent="0.2">
      <c r="A5" s="13"/>
      <c r="B5" s="14" t="s">
        <v>118</v>
      </c>
      <c r="C5" s="15" t="s">
        <v>318</v>
      </c>
      <c r="D5" s="16" t="s">
        <v>319</v>
      </c>
      <c r="E5" s="9"/>
      <c r="F5" s="46"/>
    </row>
    <row r="6" spans="1:6" ht="23.25" customHeight="1" x14ac:dyDescent="0.2">
      <c r="A6" s="17"/>
      <c r="B6" s="18"/>
      <c r="C6" s="19"/>
      <c r="D6" s="20">
        <v>2020</v>
      </c>
      <c r="E6" s="21">
        <v>2021</v>
      </c>
      <c r="F6" s="46"/>
    </row>
    <row r="7" spans="1:6" ht="15.75" customHeight="1" x14ac:dyDescent="0.2">
      <c r="A7" s="134" t="s">
        <v>133</v>
      </c>
      <c r="B7" s="27">
        <v>1331532.3319699999</v>
      </c>
      <c r="C7" s="52">
        <v>113.78901304869014</v>
      </c>
      <c r="D7" s="85">
        <v>100</v>
      </c>
      <c r="E7" s="85">
        <v>100</v>
      </c>
    </row>
    <row r="8" spans="1:6" ht="15.75" customHeight="1" x14ac:dyDescent="0.2">
      <c r="A8" s="135" t="s">
        <v>124</v>
      </c>
      <c r="B8" s="85"/>
      <c r="C8" s="87"/>
      <c r="D8" s="98"/>
      <c r="E8" s="98"/>
    </row>
    <row r="9" spans="1:6" x14ac:dyDescent="0.2">
      <c r="A9" s="136" t="s">
        <v>109</v>
      </c>
      <c r="B9" s="30">
        <v>81576.780029999994</v>
      </c>
      <c r="C9" s="87">
        <v>73.185690054559416</v>
      </c>
      <c r="D9" s="88">
        <f>IF(111465.47907="","-",111465.47907/1170176.53664*100)</f>
        <v>9.525526754284245</v>
      </c>
      <c r="E9" s="88">
        <f>IF(81576.78003="","-",81576.78003/1331532.33197*100)</f>
        <v>6.1265339242125103</v>
      </c>
    </row>
    <row r="10" spans="1:6" x14ac:dyDescent="0.2">
      <c r="A10" s="136" t="s">
        <v>110</v>
      </c>
      <c r="B10" s="30">
        <v>8894.0100700000003</v>
      </c>
      <c r="C10" s="87">
        <v>17.798957773981897</v>
      </c>
      <c r="D10" s="88">
        <f>IF(49969.27451="","-",49969.27451/1170176.53664*100)</f>
        <v>4.2702338446709804</v>
      </c>
      <c r="E10" s="88">
        <f>IF(8894.01007="","-",8894.01007/1331532.33197*100)</f>
        <v>0.6679529934388696</v>
      </c>
    </row>
    <row r="11" spans="1:6" x14ac:dyDescent="0.2">
      <c r="A11" s="136" t="s">
        <v>111</v>
      </c>
      <c r="B11" s="30">
        <v>1225142.1657700001</v>
      </c>
      <c r="C11" s="87">
        <v>123.1302912839456</v>
      </c>
      <c r="D11" s="88">
        <f>IF(994996.56258="","-",994996.56258/1170176.53664*100)</f>
        <v>85.029611466744569</v>
      </c>
      <c r="E11" s="88">
        <f>IF(1225142.16577="","-",1225142.16577/1331532.33197*100)</f>
        <v>92.009944959984878</v>
      </c>
    </row>
    <row r="12" spans="1:6" x14ac:dyDescent="0.2">
      <c r="A12" s="136" t="s">
        <v>112</v>
      </c>
      <c r="B12" s="30">
        <v>15023.34412</v>
      </c>
      <c r="C12" s="87">
        <v>114.30317288814153</v>
      </c>
      <c r="D12" s="88">
        <f>IF(13143.41828="","-",13143.41828/1170176.53664*100)</f>
        <v>1.1231996086453337</v>
      </c>
      <c r="E12" s="88">
        <f>IF(15023.34412="","-",15023.34412/1331532.33197*100)</f>
        <v>1.1282748273767402</v>
      </c>
    </row>
    <row r="13" spans="1:6" x14ac:dyDescent="0.2">
      <c r="A13" s="136" t="s">
        <v>113</v>
      </c>
      <c r="B13" s="30">
        <v>819.78881000000001</v>
      </c>
      <c r="C13" s="87">
        <v>142.26376426346894</v>
      </c>
      <c r="D13" s="88">
        <f>IF(576.24569="","-",576.24569/1170176.53664*100)</f>
        <v>4.9244338094028936E-2</v>
      </c>
      <c r="E13" s="88">
        <f>IF(819.78881="","-",819.78881/1331532.33197*100)</f>
        <v>6.1567322874325085E-2</v>
      </c>
    </row>
    <row r="14" spans="1:6" x14ac:dyDescent="0.2">
      <c r="A14" s="136" t="s">
        <v>114</v>
      </c>
      <c r="B14" s="30">
        <v>2.8583500000000002</v>
      </c>
      <c r="C14" s="87">
        <v>73.433750725769571</v>
      </c>
      <c r="D14" s="88">
        <f>IF(3.89242="","-",3.89242/1170176.53664*100)</f>
        <v>3.3263528007291491E-4</v>
      </c>
      <c r="E14" s="88">
        <f>IF(2.85835="","-",2.85835/1331532.33197*100)</f>
        <v>2.1466621060346888E-4</v>
      </c>
    </row>
    <row r="15" spans="1:6" x14ac:dyDescent="0.2">
      <c r="A15" s="136" t="s">
        <v>115</v>
      </c>
      <c r="B15" s="30">
        <v>73.384820000000005</v>
      </c>
      <c r="C15" s="87" t="s">
        <v>305</v>
      </c>
      <c r="D15" s="88">
        <f>IF(21.66409="","-",21.66409/1170176.53664*100)</f>
        <v>1.8513522807597422E-3</v>
      </c>
      <c r="E15" s="88">
        <f>IF(73.38482="","-",73.38482/1331532.33197*100)</f>
        <v>5.5113059020825495E-3</v>
      </c>
    </row>
    <row r="16" spans="1:6" x14ac:dyDescent="0.2">
      <c r="A16" s="137" t="s">
        <v>205</v>
      </c>
      <c r="B16" s="27">
        <v>858848.81762999995</v>
      </c>
      <c r="C16" s="89">
        <v>115.65768151200022</v>
      </c>
      <c r="D16" s="84">
        <f>IF(742578.27617="","-",742578.27617/1170176.53664*100)</f>
        <v>63.458653708970338</v>
      </c>
      <c r="E16" s="84">
        <f>IF(858848.81763="","-",858848.81763/1331532.33197*100)</f>
        <v>64.500785824654699</v>
      </c>
    </row>
    <row r="17" spans="1:11" x14ac:dyDescent="0.2">
      <c r="A17" s="135" t="s">
        <v>124</v>
      </c>
      <c r="B17" s="27"/>
      <c r="C17" s="89"/>
      <c r="D17" s="99"/>
      <c r="E17" s="99"/>
    </row>
    <row r="18" spans="1:11" x14ac:dyDescent="0.2">
      <c r="A18" s="136" t="s">
        <v>109</v>
      </c>
      <c r="B18" s="30">
        <v>32605.072830000001</v>
      </c>
      <c r="C18" s="56">
        <v>57.640083317204592</v>
      </c>
      <c r="D18" s="88">
        <f>IF(56566.66499="","-",56566.66499/1170176.53664*100)</f>
        <v>4.8340283041756544</v>
      </c>
      <c r="E18" s="88">
        <f>IF(32605.07283="","-",32605.07283/1331532.33197*100)</f>
        <v>2.4486880301104552</v>
      </c>
      <c r="K18" s="100"/>
    </row>
    <row r="19" spans="1:11" x14ac:dyDescent="0.2">
      <c r="A19" s="136" t="s">
        <v>110</v>
      </c>
      <c r="B19" s="30">
        <v>2932.4260399999998</v>
      </c>
      <c r="C19" s="56">
        <v>27.552329763829668</v>
      </c>
      <c r="D19" s="88">
        <f>IF(10643.11463="","-",10643.11463/1170176.53664*100)</f>
        <v>0.90953068163204076</v>
      </c>
      <c r="E19" s="88">
        <f>IF(2932.42604="","-",2932.42604/1331532.33197*100)</f>
        <v>0.22022942812522472</v>
      </c>
    </row>
    <row r="20" spans="1:11" x14ac:dyDescent="0.2">
      <c r="A20" s="136" t="s">
        <v>111</v>
      </c>
      <c r="B20" s="30">
        <v>820342.04929</v>
      </c>
      <c r="C20" s="56">
        <v>122.00040362526742</v>
      </c>
      <c r="D20" s="88">
        <f>IF(672409.29121="","-",672409.29121/1170176.53664*100)</f>
        <v>57.462209346696547</v>
      </c>
      <c r="E20" s="88">
        <f>IF(820342.04929="","-",820342.04929/1331532.33197*100)</f>
        <v>61.608871943522793</v>
      </c>
    </row>
    <row r="21" spans="1:11" x14ac:dyDescent="0.2">
      <c r="A21" s="136" t="s">
        <v>112</v>
      </c>
      <c r="B21" s="30">
        <v>2191.11274</v>
      </c>
      <c r="C21" s="56">
        <v>81.276784951676106</v>
      </c>
      <c r="D21" s="88">
        <f>IF(2695.86542="","-",2695.86542/1170176.53664*100)</f>
        <v>0.2303810865786802</v>
      </c>
      <c r="E21" s="88">
        <f>IF(2191.11274="","-",2191.11274/1331532.33197*100)</f>
        <v>0.16455572931963675</v>
      </c>
    </row>
    <row r="22" spans="1:11" x14ac:dyDescent="0.2">
      <c r="A22" s="136" t="s">
        <v>113</v>
      </c>
      <c r="B22" s="30">
        <v>742.09257000000002</v>
      </c>
      <c r="C22" s="56" t="s">
        <v>293</v>
      </c>
      <c r="D22" s="88">
        <f>IF(257.11016="","-",257.11016/1170176.53664*100)</f>
        <v>2.1971912096123227E-2</v>
      </c>
      <c r="E22" s="88">
        <f>IF(742.09257="","-",742.09257/1331532.33197*100)</f>
        <v>5.5732223107348454E-2</v>
      </c>
    </row>
    <row r="23" spans="1:11" x14ac:dyDescent="0.2">
      <c r="A23" s="136" t="s">
        <v>115</v>
      </c>
      <c r="B23" s="30">
        <v>36.064160000000001</v>
      </c>
      <c r="C23" s="56" t="s">
        <v>302</v>
      </c>
      <c r="D23" s="88">
        <f>IF(6.22976="","-",6.22976/1170176.53664*100)</f>
        <v>5.3237779129360193E-4</v>
      </c>
      <c r="E23" s="88">
        <f>IF(36.06416="","-",36.06416/1331532.33197*100)</f>
        <v>2.7084704692557585E-3</v>
      </c>
    </row>
    <row r="24" spans="1:11" x14ac:dyDescent="0.2">
      <c r="A24" s="137" t="s">
        <v>206</v>
      </c>
      <c r="B24" s="27">
        <v>208434.06466999999</v>
      </c>
      <c r="C24" s="89">
        <v>107.30245504184828</v>
      </c>
      <c r="D24" s="84">
        <f>IF(193825.64636="","-",193825.64636/1170176.53664*100)</f>
        <v>16.563795315580631</v>
      </c>
      <c r="E24" s="84">
        <f>IF(208434.06467="","-",208434.06467/1331532.33197*100)</f>
        <v>15.653699100315659</v>
      </c>
    </row>
    <row r="25" spans="1:11" x14ac:dyDescent="0.2">
      <c r="A25" s="135" t="s">
        <v>124</v>
      </c>
      <c r="B25" s="99"/>
      <c r="C25" s="89"/>
      <c r="D25" s="99"/>
      <c r="E25" s="99"/>
    </row>
    <row r="26" spans="1:11" x14ac:dyDescent="0.2">
      <c r="A26" s="136" t="s">
        <v>109</v>
      </c>
      <c r="B26" s="88">
        <v>10270.452499999999</v>
      </c>
      <c r="C26" s="56" t="s">
        <v>304</v>
      </c>
      <c r="D26" s="88">
        <f>IF(1252.01706="","-",1252.01706/1170176.53664*100)</f>
        <v>0.1069938612506275</v>
      </c>
      <c r="E26" s="88">
        <f>IF(10270.4525="","-",10270.4525/1331532.33197*100)</f>
        <v>0.77132580662197525</v>
      </c>
    </row>
    <row r="27" spans="1:11" x14ac:dyDescent="0.2">
      <c r="A27" s="136" t="s">
        <v>110</v>
      </c>
      <c r="B27" s="88">
        <v>2275.8131800000001</v>
      </c>
      <c r="C27" s="56">
        <v>67.959994591540948</v>
      </c>
      <c r="D27" s="88">
        <f>IF(3348.75421="","-",3348.75421/1170176.53664*100)</f>
        <v>0.28617512872164436</v>
      </c>
      <c r="E27" s="88">
        <f>IF(2275.81318="","-",2275.81318/1331532.33197*100)</f>
        <v>0.17091685461613526</v>
      </c>
      <c r="F27" s="46"/>
      <c r="G27" s="46"/>
    </row>
    <row r="28" spans="1:11" x14ac:dyDescent="0.2">
      <c r="A28" s="136" t="s">
        <v>111</v>
      </c>
      <c r="B28" s="88">
        <v>191104.49048000001</v>
      </c>
      <c r="C28" s="56">
        <v>103.22366375845216</v>
      </c>
      <c r="D28" s="88">
        <f>IF(185136.31809="","-",185136.31809/1170176.53664*100)</f>
        <v>15.821229728429975</v>
      </c>
      <c r="E28" s="88">
        <f>IF(191104.49048="","-",191104.49048/1331532.33197*100)</f>
        <v>14.352223065981523</v>
      </c>
      <c r="F28" s="4"/>
      <c r="G28" s="4"/>
    </row>
    <row r="29" spans="1:11" x14ac:dyDescent="0.2">
      <c r="A29" s="136" t="s">
        <v>112</v>
      </c>
      <c r="B29" s="88">
        <v>4729.4959399999998</v>
      </c>
      <c r="C29" s="56">
        <v>117.54474931453731</v>
      </c>
      <c r="D29" s="88">
        <f>IF(4023.57057="","-",4023.57057/1170176.53664*100)</f>
        <v>0.343843039406099</v>
      </c>
      <c r="E29" s="88">
        <f>IF(4729.49594="","-",4729.49594/1331532.33197*100)</f>
        <v>0.35519197141857745</v>
      </c>
    </row>
    <row r="30" spans="1:11" x14ac:dyDescent="0.2">
      <c r="A30" s="136" t="s">
        <v>113</v>
      </c>
      <c r="B30" s="88">
        <v>15.775119999999999</v>
      </c>
      <c r="C30" s="56">
        <v>34.549344191636912</v>
      </c>
      <c r="D30" s="88">
        <f>IF(45.65968="","-",45.65968/1170176.53664*100)</f>
        <v>3.9019480027437099E-3</v>
      </c>
      <c r="E30" s="88">
        <f>IF(15.77512="","-",15.77512/1331532.33197*100)</f>
        <v>1.1847342810415078E-3</v>
      </c>
    </row>
    <row r="31" spans="1:11" x14ac:dyDescent="0.2">
      <c r="A31" s="136" t="s">
        <v>114</v>
      </c>
      <c r="B31" s="88">
        <v>2.8583500000000002</v>
      </c>
      <c r="C31" s="56">
        <v>73.433750725769571</v>
      </c>
      <c r="D31" s="88">
        <f>IF(3.89242="","-",3.89242/1170176.53664*100)</f>
        <v>3.3263528007291491E-4</v>
      </c>
      <c r="E31" s="88">
        <f>IF(2.85835="","-",2.85835/1331532.33197*100)</f>
        <v>2.1466621060346888E-4</v>
      </c>
    </row>
    <row r="32" spans="1:11" x14ac:dyDescent="0.2">
      <c r="A32" s="136" t="s">
        <v>115</v>
      </c>
      <c r="B32" s="88">
        <v>35.179099999999998</v>
      </c>
      <c r="C32" s="56" t="s">
        <v>212</v>
      </c>
      <c r="D32" s="88">
        <f>IF(15.43433="","-",15.43433/1170176.53664*100)</f>
        <v>1.31897448946614E-3</v>
      </c>
      <c r="E32" s="88">
        <f>IF(35.1791="","-",35.1791/1331532.33197*100)</f>
        <v>2.6420011858031699E-3</v>
      </c>
    </row>
    <row r="33" spans="1:5" x14ac:dyDescent="0.2">
      <c r="A33" s="137" t="s">
        <v>303</v>
      </c>
      <c r="B33" s="27">
        <v>264249.44967</v>
      </c>
      <c r="C33" s="89">
        <v>113.036957162852</v>
      </c>
      <c r="D33" s="84">
        <f>IF(233772.61411="","-",233772.61411/1170176.53664*100)</f>
        <v>19.977550975449031</v>
      </c>
      <c r="E33" s="84">
        <f>IF(264249.44967="","-",264249.44967/1331532.33197*100)</f>
        <v>19.845515075029638</v>
      </c>
    </row>
    <row r="34" spans="1:5" x14ac:dyDescent="0.2">
      <c r="A34" s="135" t="s">
        <v>124</v>
      </c>
      <c r="B34" s="27"/>
      <c r="C34" s="89"/>
      <c r="D34" s="99"/>
      <c r="E34" s="99"/>
    </row>
    <row r="35" spans="1:5" x14ac:dyDescent="0.2">
      <c r="A35" s="136" t="s">
        <v>109</v>
      </c>
      <c r="B35" s="30">
        <v>38701.254699999998</v>
      </c>
      <c r="C35" s="56">
        <v>72.140848754813504</v>
      </c>
      <c r="D35" s="88">
        <f>IF(53646.79702="","-",53646.79702/1170176.53664*100)</f>
        <v>4.5845045888579641</v>
      </c>
      <c r="E35" s="88">
        <f>IF(38701.2547="","-",38701.2547/1331532.33197*100)</f>
        <v>2.9065200874800805</v>
      </c>
    </row>
    <row r="36" spans="1:5" x14ac:dyDescent="0.2">
      <c r="A36" s="136" t="s">
        <v>110</v>
      </c>
      <c r="B36" s="30">
        <v>3685.7708499999999</v>
      </c>
      <c r="C36" s="56">
        <v>10.244682131356138</v>
      </c>
      <c r="D36" s="88">
        <f>IF(35977.40567="","-",35977.40567/1170176.53664*100)</f>
        <v>3.0745280343172956</v>
      </c>
      <c r="E36" s="88">
        <f>IF(3685.77085="","-",3685.77085/1331532.33197*100)</f>
        <v>0.27680671069750956</v>
      </c>
    </row>
    <row r="37" spans="1:5" x14ac:dyDescent="0.2">
      <c r="A37" s="136" t="s">
        <v>111</v>
      </c>
      <c r="B37" s="30">
        <v>213695.62599999999</v>
      </c>
      <c r="C37" s="56">
        <v>155.47045757091459</v>
      </c>
      <c r="D37" s="88">
        <f>IF(137450.95328="","-",137450.95328/1170176.53664*100)</f>
        <v>11.746172391618053</v>
      </c>
      <c r="E37" s="88">
        <f>IF(213695.626="","-",213695.626/1331532.33197*100)</f>
        <v>16.048849950480559</v>
      </c>
    </row>
    <row r="38" spans="1:5" x14ac:dyDescent="0.2">
      <c r="A38" s="136" t="s">
        <v>112</v>
      </c>
      <c r="B38" s="30">
        <v>8102.7354400000004</v>
      </c>
      <c r="C38" s="56">
        <v>126.13259305856523</v>
      </c>
      <c r="D38" s="88">
        <f>IF(6423.98229="","-",6423.98229/1170176.53664*100)</f>
        <v>0.5489754826605544</v>
      </c>
      <c r="E38" s="88">
        <f>IF(8102.73544="","-",8102.73544/1331532.33197*100)</f>
        <v>0.60852712663852604</v>
      </c>
    </row>
    <row r="39" spans="1:5" x14ac:dyDescent="0.2">
      <c r="A39" s="136" t="s">
        <v>113</v>
      </c>
      <c r="B39" s="93">
        <v>61.921120000000002</v>
      </c>
      <c r="C39" s="95">
        <v>22.642262561758198</v>
      </c>
      <c r="D39" s="88">
        <f>IF(273.47585="","-",273.47585/1170176.53664*100)</f>
        <v>2.3370477995161999E-2</v>
      </c>
      <c r="E39" s="88">
        <f>IF(61.92112="","-",61.92112/1331532.33197*100)</f>
        <v>4.6503654859351264E-3</v>
      </c>
    </row>
    <row r="40" spans="1:5" x14ac:dyDescent="0.2">
      <c r="A40" s="138" t="s">
        <v>115</v>
      </c>
      <c r="B40" s="37">
        <v>2.1415600000000001</v>
      </c>
      <c r="C40" s="101" t="s">
        <v>22</v>
      </c>
      <c r="D40" s="37" t="s">
        <v>204</v>
      </c>
      <c r="E40" s="97">
        <f>IF(2.14156="","-",2.14156/1331532.33197*100)</f>
        <v>1.608342470236202E-4</v>
      </c>
    </row>
    <row r="41" spans="1:5" x14ac:dyDescent="0.2">
      <c r="A41" s="5" t="s">
        <v>21</v>
      </c>
    </row>
  </sheetData>
  <mergeCells count="7">
    <mergeCell ref="A2:E2"/>
    <mergeCell ref="A4:A6"/>
    <mergeCell ref="B4:C4"/>
    <mergeCell ref="D4:E4"/>
    <mergeCell ref="B5:B6"/>
    <mergeCell ref="C5:C6"/>
    <mergeCell ref="D5:E5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2:L41"/>
  <sheetViews>
    <sheetView workbookViewId="0">
      <selection activeCell="A4" sqref="A4:A40"/>
    </sheetView>
  </sheetViews>
  <sheetFormatPr defaultRowHeight="12" x14ac:dyDescent="0.2"/>
  <cols>
    <col min="1" max="1" width="31" style="7" customWidth="1"/>
    <col min="2" max="2" width="14.5" style="7" customWidth="1"/>
    <col min="3" max="3" width="13.75" style="7" customWidth="1"/>
    <col min="4" max="5" width="11.625" style="7" customWidth="1"/>
    <col min="6" max="6" width="9" style="7"/>
    <col min="7" max="7" width="11.375" style="7" bestFit="1" customWidth="1"/>
    <col min="8" max="16384" width="9" style="7"/>
  </cols>
  <sheetData>
    <row r="2" spans="1:12" x14ac:dyDescent="0.2">
      <c r="A2" s="6" t="s">
        <v>390</v>
      </c>
      <c r="B2" s="6"/>
      <c r="C2" s="6"/>
      <c r="D2" s="6"/>
      <c r="E2" s="6"/>
    </row>
    <row r="3" spans="1:12" x14ac:dyDescent="0.2">
      <c r="A3" s="33"/>
      <c r="B3" s="33"/>
      <c r="C3" s="33"/>
      <c r="D3" s="33"/>
      <c r="E3" s="33"/>
    </row>
    <row r="4" spans="1:12" ht="17.25" customHeight="1" x14ac:dyDescent="0.2">
      <c r="A4" s="8"/>
      <c r="B4" s="83" t="s">
        <v>317</v>
      </c>
      <c r="C4" s="10"/>
      <c r="D4" s="9" t="s">
        <v>105</v>
      </c>
      <c r="E4" s="83"/>
      <c r="F4" s="46"/>
    </row>
    <row r="5" spans="1:12" ht="20.25" customHeight="1" x14ac:dyDescent="0.2">
      <c r="A5" s="13"/>
      <c r="B5" s="15" t="s">
        <v>118</v>
      </c>
      <c r="C5" s="15" t="s">
        <v>318</v>
      </c>
      <c r="D5" s="16" t="s">
        <v>319</v>
      </c>
      <c r="E5" s="9"/>
      <c r="F5" s="46"/>
    </row>
    <row r="6" spans="1:12" ht="20.25" customHeight="1" x14ac:dyDescent="0.2">
      <c r="A6" s="17"/>
      <c r="B6" s="19"/>
      <c r="C6" s="19"/>
      <c r="D6" s="20">
        <v>2020</v>
      </c>
      <c r="E6" s="21">
        <v>2021</v>
      </c>
      <c r="F6" s="46"/>
    </row>
    <row r="7" spans="1:12" ht="15.75" customHeight="1" x14ac:dyDescent="0.2">
      <c r="A7" s="139" t="s">
        <v>125</v>
      </c>
      <c r="B7" s="84">
        <v>3266364.9635600001</v>
      </c>
      <c r="C7" s="55">
        <v>136.46148107616554</v>
      </c>
      <c r="D7" s="85">
        <v>100</v>
      </c>
      <c r="E7" s="85">
        <v>100</v>
      </c>
    </row>
    <row r="8" spans="1:12" ht="15.75" customHeight="1" x14ac:dyDescent="0.2">
      <c r="A8" s="135" t="s">
        <v>124</v>
      </c>
      <c r="B8" s="86"/>
      <c r="C8" s="87"/>
      <c r="D8" s="86"/>
      <c r="E8" s="86"/>
      <c r="G8" s="54"/>
      <c r="H8" s="54"/>
      <c r="I8" s="54"/>
      <c r="J8" s="54"/>
      <c r="K8" s="54"/>
      <c r="L8" s="54"/>
    </row>
    <row r="9" spans="1:12" x14ac:dyDescent="0.2">
      <c r="A9" s="136" t="s">
        <v>109</v>
      </c>
      <c r="B9" s="30">
        <v>63444.791259999998</v>
      </c>
      <c r="C9" s="87">
        <v>155.71324731529847</v>
      </c>
      <c r="D9" s="88">
        <f>IF(40744.63307="","-",40744.63307/2393616.81978*100)</f>
        <v>1.7022203693298283</v>
      </c>
      <c r="E9" s="88">
        <f>IF(63444.79126="","-",63444.79126/3266364.96356*100)</f>
        <v>1.9423668808537469</v>
      </c>
    </row>
    <row r="10" spans="1:12" x14ac:dyDescent="0.2">
      <c r="A10" s="136" t="s">
        <v>110</v>
      </c>
      <c r="B10" s="30">
        <v>153615.94284</v>
      </c>
      <c r="C10" s="87" t="s">
        <v>102</v>
      </c>
      <c r="D10" s="88">
        <f>IF(95417.21592="","-",95417.21592/2393616.81978*100)</f>
        <v>3.9863195784515715</v>
      </c>
      <c r="E10" s="88">
        <f>IF(153615.94284="","-",153615.94284/3266364.96356*100)</f>
        <v>4.7029632191674784</v>
      </c>
    </row>
    <row r="11" spans="1:12" x14ac:dyDescent="0.2">
      <c r="A11" s="136" t="s">
        <v>111</v>
      </c>
      <c r="B11" s="30">
        <v>2829954.9275699998</v>
      </c>
      <c r="C11" s="87">
        <v>136.42772410754586</v>
      </c>
      <c r="D11" s="88">
        <f>IF(2074325.39543="","-",2074325.39543/2393616.81978*100)</f>
        <v>86.660712704243679</v>
      </c>
      <c r="E11" s="88">
        <f>IF(2829954.92757="","-",2829954.92757/3266364.96356*100)</f>
        <v>86.639275131265236</v>
      </c>
    </row>
    <row r="12" spans="1:12" x14ac:dyDescent="0.2">
      <c r="A12" s="136" t="s">
        <v>112</v>
      </c>
      <c r="B12" s="30">
        <v>78677.408609999999</v>
      </c>
      <c r="C12" s="87">
        <v>138.33247019034616</v>
      </c>
      <c r="D12" s="88">
        <f>IF(56875.59002="","-",56875.59002/2393616.81978*100)</f>
        <v>2.3761359608605819</v>
      </c>
      <c r="E12" s="88">
        <f>IF(78677.40861="","-",78677.40861/3266364.96356*100)</f>
        <v>2.4087145645920032</v>
      </c>
    </row>
    <row r="13" spans="1:12" x14ac:dyDescent="0.2">
      <c r="A13" s="136" t="s">
        <v>113</v>
      </c>
      <c r="B13" s="30">
        <v>6181.9781899999998</v>
      </c>
      <c r="C13" s="87">
        <v>142.80673372392798</v>
      </c>
      <c r="D13" s="88">
        <f>IF(4328.91225="","-",4328.91225/2393616.81978*100)</f>
        <v>0.18085234922429547</v>
      </c>
      <c r="E13" s="88">
        <f>IF(6181.97819="","-",6181.97819/3266364.96356*100)</f>
        <v>0.18926171015691656</v>
      </c>
    </row>
    <row r="14" spans="1:12" x14ac:dyDescent="0.2">
      <c r="A14" s="136" t="s">
        <v>114</v>
      </c>
      <c r="B14" s="30">
        <v>115915.52671999999</v>
      </c>
      <c r="C14" s="87">
        <v>103.70133703616598</v>
      </c>
      <c r="D14" s="88">
        <f>IF(111778.23742="","-",111778.23742/2393616.81978*100)</f>
        <v>4.6698467564358808</v>
      </c>
      <c r="E14" s="88">
        <f>IF(115915.52672="","-",115915.52672/3266364.96356*100)</f>
        <v>3.5487622483454531</v>
      </c>
    </row>
    <row r="15" spans="1:12" x14ac:dyDescent="0.2">
      <c r="A15" s="136" t="s">
        <v>115</v>
      </c>
      <c r="B15" s="30">
        <v>18574.388370000001</v>
      </c>
      <c r="C15" s="87" t="s">
        <v>202</v>
      </c>
      <c r="D15" s="88">
        <f>IF(10146.83567="","-",10146.83567/2393616.81978*100)</f>
        <v>0.42391228145416388</v>
      </c>
      <c r="E15" s="88">
        <f>IF(18574.38837="","-",18574.38837/3266364.96356*100)</f>
        <v>0.56865624561916184</v>
      </c>
    </row>
    <row r="16" spans="1:12" x14ac:dyDescent="0.2">
      <c r="A16" s="137" t="s">
        <v>205</v>
      </c>
      <c r="B16" s="27">
        <v>1548552.15854</v>
      </c>
      <c r="C16" s="89">
        <v>138.4619703952373</v>
      </c>
      <c r="D16" s="84">
        <f>IF(1118395.29231="","-",1118395.29231/2393616.81978*100)</f>
        <v>46.72407392310992</v>
      </c>
      <c r="E16" s="84">
        <f>IF(1548552.15854="","-",1548552.15854/3266364.96356*100)</f>
        <v>47.409036522735605</v>
      </c>
    </row>
    <row r="17" spans="1:7" x14ac:dyDescent="0.2">
      <c r="A17" s="135" t="s">
        <v>124</v>
      </c>
      <c r="B17" s="85"/>
      <c r="C17" s="89"/>
      <c r="D17" s="86"/>
      <c r="E17" s="86"/>
    </row>
    <row r="18" spans="1:7" x14ac:dyDescent="0.2">
      <c r="A18" s="136" t="s">
        <v>109</v>
      </c>
      <c r="B18" s="30">
        <v>24028.619890000002</v>
      </c>
      <c r="C18" s="56" t="s">
        <v>341</v>
      </c>
      <c r="D18" s="88">
        <f>IF(12404.95873="","-",12404.95873/2393616.81978*100)</f>
        <v>0.51825165279128327</v>
      </c>
      <c r="E18" s="88">
        <f>IF(24028.61989="","-",24028.61989/3266364.96356*100)</f>
        <v>0.73563793875046013</v>
      </c>
    </row>
    <row r="19" spans="1:7" x14ac:dyDescent="0.2">
      <c r="A19" s="136" t="s">
        <v>110</v>
      </c>
      <c r="B19" s="30">
        <v>53941.057260000001</v>
      </c>
      <c r="C19" s="56" t="s">
        <v>353</v>
      </c>
      <c r="D19" s="88">
        <f>IF(12832.06175="","-",12832.06175/2393616.81978*100)</f>
        <v>0.53609506935113405</v>
      </c>
      <c r="E19" s="88">
        <f>IF(53941.05726="","-",53941.05726/3266364.96356*100)</f>
        <v>1.6514093759201307</v>
      </c>
    </row>
    <row r="20" spans="1:7" x14ac:dyDescent="0.2">
      <c r="A20" s="136" t="s">
        <v>111</v>
      </c>
      <c r="B20" s="30">
        <v>1436274.93713</v>
      </c>
      <c r="C20" s="56">
        <v>134.41983744654124</v>
      </c>
      <c r="D20" s="88">
        <f>IF(1068499.23673="","-",1068499.23673/2393616.81978*100)</f>
        <v>44.639527425622241</v>
      </c>
      <c r="E20" s="88">
        <f>IF(1436274.93713="","-",1436274.93713/3266364.96356*100)</f>
        <v>43.971661255042633</v>
      </c>
    </row>
    <row r="21" spans="1:7" x14ac:dyDescent="0.2">
      <c r="A21" s="136" t="s">
        <v>112</v>
      </c>
      <c r="B21" s="30">
        <v>16656.00431</v>
      </c>
      <c r="C21" s="56">
        <v>118.86939037205903</v>
      </c>
      <c r="D21" s="88">
        <f>IF(14012.02131="","-",14012.02131/2393616.81978*100)</f>
        <v>0.58539116178536299</v>
      </c>
      <c r="E21" s="88">
        <f>IF(16656.00431="","-",16656.00431/3266364.96356*100)</f>
        <v>0.50992477863975971</v>
      </c>
    </row>
    <row r="22" spans="1:7" x14ac:dyDescent="0.2">
      <c r="A22" s="136" t="s">
        <v>113</v>
      </c>
      <c r="B22" s="30">
        <v>2836.6635900000001</v>
      </c>
      <c r="C22" s="56" t="s">
        <v>344</v>
      </c>
      <c r="D22" s="88">
        <f>IF(1701.41037="","-",1701.41037/2393616.81978*100)</f>
        <v>7.1081150330334769E-2</v>
      </c>
      <c r="E22" s="88">
        <f>IF(2836.66359="","-",2836.66359/3266364.96356*100)</f>
        <v>8.6844661317586822E-2</v>
      </c>
    </row>
    <row r="23" spans="1:7" x14ac:dyDescent="0.2">
      <c r="A23" s="136" t="s">
        <v>115</v>
      </c>
      <c r="B23" s="30">
        <v>14814.87636</v>
      </c>
      <c r="C23" s="56" t="s">
        <v>344</v>
      </c>
      <c r="D23" s="88">
        <f>IF(8945.60342="","-",8945.60342/2393616.81978*100)</f>
        <v>0.37372746322956568</v>
      </c>
      <c r="E23" s="88">
        <f>IF(14814.87636="","-",14814.87636/3266364.96356*100)</f>
        <v>0.45355851306503475</v>
      </c>
    </row>
    <row r="24" spans="1:7" x14ac:dyDescent="0.2">
      <c r="A24" s="137" t="s">
        <v>206</v>
      </c>
      <c r="B24" s="27">
        <v>742658.31807000004</v>
      </c>
      <c r="C24" s="55">
        <v>126.81378325338197</v>
      </c>
      <c r="D24" s="84">
        <f>IF(585629.02156="","-",585629.02156/2393616.81978*100)</f>
        <v>24.466281182542236</v>
      </c>
      <c r="E24" s="84">
        <f>IF(742658.31807="","-",742658.31807/3266364.96356*100)</f>
        <v>22.736538211595906</v>
      </c>
    </row>
    <row r="25" spans="1:7" x14ac:dyDescent="0.2">
      <c r="A25" s="136" t="s">
        <v>124</v>
      </c>
      <c r="B25" s="85"/>
      <c r="C25" s="90"/>
      <c r="D25" s="86"/>
      <c r="E25" s="86"/>
    </row>
    <row r="26" spans="1:7" x14ac:dyDescent="0.2">
      <c r="A26" s="136" t="s">
        <v>109</v>
      </c>
      <c r="B26" s="30">
        <v>27205.91675</v>
      </c>
      <c r="C26" s="87">
        <v>127.99801583555121</v>
      </c>
      <c r="D26" s="88">
        <f>IF(21254.95194="","-",21254.95194/2393616.81978*100)</f>
        <v>0.88798473357793195</v>
      </c>
      <c r="E26" s="88">
        <f>IF(27205.91675="","-",27205.91675/3266364.96356*100)</f>
        <v>0.83291111230719195</v>
      </c>
    </row>
    <row r="27" spans="1:7" x14ac:dyDescent="0.2">
      <c r="A27" s="136" t="s">
        <v>110</v>
      </c>
      <c r="B27" s="30">
        <v>99674.885580000002</v>
      </c>
      <c r="C27" s="87">
        <v>120.85278875815422</v>
      </c>
      <c r="D27" s="88">
        <f>IF(82476.28094="","-",82476.28094/2393616.81978*100)</f>
        <v>3.4456760271086533</v>
      </c>
      <c r="E27" s="88">
        <f>IF(99674.88558="","-",99674.88558/3266364.96356*100)</f>
        <v>3.0515538432473477</v>
      </c>
      <c r="F27" s="46"/>
      <c r="G27" s="46"/>
    </row>
    <row r="28" spans="1:7" x14ac:dyDescent="0.2">
      <c r="A28" s="136" t="s">
        <v>111</v>
      </c>
      <c r="B28" s="30">
        <v>484926.90370999998</v>
      </c>
      <c r="C28" s="87">
        <v>133.55043135079649</v>
      </c>
      <c r="D28" s="88">
        <f>IF(363103.95916="","-",363103.95916/2393616.81978*100)</f>
        <v>15.169677793013392</v>
      </c>
      <c r="E28" s="88">
        <f>IF(484926.90371="","-",484926.90371/3266364.96356*100)</f>
        <v>14.846072288917764</v>
      </c>
      <c r="F28" s="46"/>
      <c r="G28" s="46"/>
    </row>
    <row r="29" spans="1:7" x14ac:dyDescent="0.2">
      <c r="A29" s="136" t="s">
        <v>112</v>
      </c>
      <c r="B29" s="30">
        <v>13622.990030000001</v>
      </c>
      <c r="C29" s="87" t="s">
        <v>20</v>
      </c>
      <c r="D29" s="88">
        <f>IF(6657.68717="","-",6657.68717/2393616.81978*100)</f>
        <v>0.27814339851655606</v>
      </c>
      <c r="E29" s="88">
        <f>IF(13622.99003="","-",13622.99003/3266364.96356*100)</f>
        <v>0.41706882672266821</v>
      </c>
      <c r="F29" s="4"/>
      <c r="G29" s="4"/>
    </row>
    <row r="30" spans="1:7" x14ac:dyDescent="0.2">
      <c r="A30" s="136" t="s">
        <v>113</v>
      </c>
      <c r="B30" s="30">
        <v>153.62703999999999</v>
      </c>
      <c r="C30" s="87">
        <v>67.973035383029213</v>
      </c>
      <c r="D30" s="88">
        <f>IF(226.01174="","-",226.01174/2393616.81978*100)</f>
        <v>9.4422690437466501E-3</v>
      </c>
      <c r="E30" s="88">
        <f>IF(153.62704="","-",153.62704/3266364.96356*100)</f>
        <v>4.703302959524841E-3</v>
      </c>
    </row>
    <row r="31" spans="1:7" x14ac:dyDescent="0.2">
      <c r="A31" s="136" t="s">
        <v>114</v>
      </c>
      <c r="B31" s="30">
        <v>115915.52671999999</v>
      </c>
      <c r="C31" s="87">
        <v>103.70133703616598</v>
      </c>
      <c r="D31" s="88">
        <f>IF(111778.23742="","-",111778.23742/2393616.81978*100)</f>
        <v>4.6698467564358808</v>
      </c>
      <c r="E31" s="88">
        <f>IF(115915.52672="","-",115915.52672/3266364.96356*100)</f>
        <v>3.5487622483454531</v>
      </c>
    </row>
    <row r="32" spans="1:7" x14ac:dyDescent="0.2">
      <c r="A32" s="136" t="s">
        <v>115</v>
      </c>
      <c r="B32" s="30">
        <v>1158.4682399999999</v>
      </c>
      <c r="C32" s="87" t="s">
        <v>383</v>
      </c>
      <c r="D32" s="88">
        <f>IF(131.89319="","-",131.89319/2393616.81978*100)</f>
        <v>5.5102048460756742E-3</v>
      </c>
      <c r="E32" s="88">
        <f>IF(1158.46824="","-",1158.46824/3266364.96356*100)</f>
        <v>3.5466589095952995E-2</v>
      </c>
    </row>
    <row r="33" spans="1:5" x14ac:dyDescent="0.2">
      <c r="A33" s="137" t="s">
        <v>207</v>
      </c>
      <c r="B33" s="27">
        <v>975154.48695000005</v>
      </c>
      <c r="C33" s="89">
        <v>141.4102500524084</v>
      </c>
      <c r="D33" s="91">
        <f>IF(689592.50591="","-",689592.50591/2393616.81978*100)</f>
        <v>28.809644894347841</v>
      </c>
      <c r="E33" s="84">
        <f>IF(975154.48695="","-",975154.48695/3266364.96356*100)</f>
        <v>29.854425265668489</v>
      </c>
    </row>
    <row r="34" spans="1:5" x14ac:dyDescent="0.2">
      <c r="A34" s="136" t="s">
        <v>124</v>
      </c>
      <c r="B34" s="85"/>
      <c r="C34" s="89"/>
      <c r="D34" s="92"/>
      <c r="E34" s="92"/>
    </row>
    <row r="35" spans="1:5" x14ac:dyDescent="0.2">
      <c r="A35" s="136" t="s">
        <v>109</v>
      </c>
      <c r="B35" s="93">
        <v>12210.25462</v>
      </c>
      <c r="C35" s="56" t="s">
        <v>344</v>
      </c>
      <c r="D35" s="94">
        <f>IF(7084.7224="","-",7084.7224/2393616.81978*100)</f>
        <v>0.2959839829606129</v>
      </c>
      <c r="E35" s="94">
        <f>IF(12210.25462="","-",12210.25462/3266364.96356*100)</f>
        <v>0.3738178297960949</v>
      </c>
    </row>
    <row r="36" spans="1:5" x14ac:dyDescent="0.2">
      <c r="A36" s="136" t="s">
        <v>110</v>
      </c>
      <c r="B36" s="93" t="s">
        <v>204</v>
      </c>
      <c r="C36" s="56" t="s">
        <v>22</v>
      </c>
      <c r="D36" s="94">
        <f>IF(108.87323="","-",108.87323/2393616.81978*100)</f>
        <v>4.548481991783742E-3</v>
      </c>
      <c r="E36" s="93" t="s">
        <v>204</v>
      </c>
    </row>
    <row r="37" spans="1:5" x14ac:dyDescent="0.2">
      <c r="A37" s="136" t="s">
        <v>111</v>
      </c>
      <c r="B37" s="93">
        <v>908753.08672999998</v>
      </c>
      <c r="C37" s="56">
        <v>141.39127096907495</v>
      </c>
      <c r="D37" s="94">
        <f>IF(642722.19954="","-",642722.19954/2393616.81978*100)</f>
        <v>26.851507485608046</v>
      </c>
      <c r="E37" s="94">
        <f>IF(908753.08673="","-",908753.08673/3266364.96356*100)</f>
        <v>27.821541587304839</v>
      </c>
    </row>
    <row r="38" spans="1:5" x14ac:dyDescent="0.2">
      <c r="A38" s="136" t="s">
        <v>112</v>
      </c>
      <c r="B38" s="93">
        <v>48398.414270000001</v>
      </c>
      <c r="C38" s="56">
        <v>133.67555825572092</v>
      </c>
      <c r="D38" s="94">
        <f>IF(36205.88154="","-",36205.88154/2393616.81978*100)</f>
        <v>1.5126014005586628</v>
      </c>
      <c r="E38" s="94">
        <f>IF(48398.41427="","-",48398.41427/3266364.96356*100)</f>
        <v>1.4817209592295755</v>
      </c>
    </row>
    <row r="39" spans="1:5" x14ac:dyDescent="0.2">
      <c r="A39" s="136" t="s">
        <v>113</v>
      </c>
      <c r="B39" s="93">
        <v>3191.6875599999998</v>
      </c>
      <c r="C39" s="95">
        <v>132.90446239350374</v>
      </c>
      <c r="D39" s="94">
        <f>IF(2401.49014="","-",2401.49014/2393616.81978*100)</f>
        <v>0.10032892985021402</v>
      </c>
      <c r="E39" s="94">
        <f>IF(3191.68756="","-",3191.68756/3266364.96356*100)</f>
        <v>9.7713745879804886E-2</v>
      </c>
    </row>
    <row r="40" spans="1:5" x14ac:dyDescent="0.2">
      <c r="A40" s="138" t="s">
        <v>115</v>
      </c>
      <c r="B40" s="37">
        <v>2601.0437700000002</v>
      </c>
      <c r="C40" s="96" t="s">
        <v>343</v>
      </c>
      <c r="D40" s="97">
        <f>IF(1069.33906="","-",1069.33906/2393616.81978*100)</f>
        <v>4.4674613378522472E-2</v>
      </c>
      <c r="E40" s="97">
        <f>IF(2601.04377="","-",2601.04377/3266364.96356*100)</f>
        <v>7.9631143458174111E-2</v>
      </c>
    </row>
    <row r="41" spans="1:5" x14ac:dyDescent="0.2">
      <c r="A41" s="5" t="s">
        <v>21</v>
      </c>
    </row>
  </sheetData>
  <mergeCells count="7">
    <mergeCell ref="A2:E2"/>
    <mergeCell ref="A4:A6"/>
    <mergeCell ref="B4:C4"/>
    <mergeCell ref="D4:E4"/>
    <mergeCell ref="B5:B6"/>
    <mergeCell ref="C5:C6"/>
    <mergeCell ref="D5:E5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2:P81"/>
  <sheetViews>
    <sheetView zoomScaleNormal="100" workbookViewId="0">
      <selection activeCell="J11" sqref="J11"/>
    </sheetView>
  </sheetViews>
  <sheetFormatPr defaultRowHeight="12" x14ac:dyDescent="0.2"/>
  <cols>
    <col min="1" max="1" width="5.625" style="7" customWidth="1"/>
    <col min="2" max="2" width="26.75" style="7" customWidth="1"/>
    <col min="3" max="3" width="12.625" style="7" customWidth="1"/>
    <col min="4" max="4" width="10.375" style="7" customWidth="1"/>
    <col min="5" max="5" width="7.75" style="7" customWidth="1"/>
    <col min="6" max="6" width="7.875" style="7" customWidth="1"/>
    <col min="7" max="8" width="8.625" style="7" customWidth="1"/>
    <col min="9" max="9" width="9" style="7"/>
    <col min="10" max="10" width="12.25" style="7" customWidth="1"/>
    <col min="11" max="16384" width="9" style="7"/>
  </cols>
  <sheetData>
    <row r="2" spans="1:16" ht="26.25" customHeight="1" x14ac:dyDescent="0.2">
      <c r="B2" s="146" t="s">
        <v>394</v>
      </c>
      <c r="C2" s="40"/>
      <c r="D2" s="40"/>
      <c r="E2" s="40"/>
      <c r="F2" s="40"/>
      <c r="G2" s="40"/>
      <c r="H2" s="40"/>
    </row>
    <row r="3" spans="1:16" x14ac:dyDescent="0.2">
      <c r="B3" s="81"/>
    </row>
    <row r="4" spans="1:16" ht="57" customHeight="1" x14ac:dyDescent="0.2">
      <c r="A4" s="67" t="s">
        <v>217</v>
      </c>
      <c r="B4" s="68"/>
      <c r="C4" s="69" t="s">
        <v>317</v>
      </c>
      <c r="D4" s="44"/>
      <c r="E4" s="69" t="s">
        <v>0</v>
      </c>
      <c r="F4" s="44"/>
      <c r="G4" s="45" t="s">
        <v>103</v>
      </c>
      <c r="H4" s="70"/>
    </row>
    <row r="5" spans="1:16" ht="19.5" customHeight="1" x14ac:dyDescent="0.2">
      <c r="A5" s="71"/>
      <c r="B5" s="72"/>
      <c r="C5" s="73" t="s">
        <v>107</v>
      </c>
      <c r="D5" s="42" t="s">
        <v>318</v>
      </c>
      <c r="E5" s="74" t="s">
        <v>319</v>
      </c>
      <c r="F5" s="74"/>
      <c r="G5" s="74" t="s">
        <v>389</v>
      </c>
      <c r="H5" s="69"/>
    </row>
    <row r="6" spans="1:16" ht="22.5" customHeight="1" x14ac:dyDescent="0.2">
      <c r="A6" s="75"/>
      <c r="B6" s="76"/>
      <c r="C6" s="77"/>
      <c r="D6" s="47"/>
      <c r="E6" s="78">
        <v>2020</v>
      </c>
      <c r="F6" s="78">
        <v>2021</v>
      </c>
      <c r="G6" s="78">
        <v>2020</v>
      </c>
      <c r="H6" s="49">
        <v>2021</v>
      </c>
    </row>
    <row r="7" spans="1:16" ht="16.5" customHeight="1" x14ac:dyDescent="0.2">
      <c r="A7" s="82"/>
      <c r="B7" s="142" t="s">
        <v>99</v>
      </c>
      <c r="C7" s="52">
        <v>1331532.3319699999</v>
      </c>
      <c r="D7" s="80">
        <f>IF(1170176.53664="","-",1331532.33197/1170176.53664*100)</f>
        <v>113.78901304869014</v>
      </c>
      <c r="E7" s="52">
        <v>100</v>
      </c>
      <c r="F7" s="52">
        <v>100</v>
      </c>
      <c r="G7" s="80">
        <f>IF(1361213.47779="","-",(1170176.53664-1361213.47779)/1361213.47779*100)</f>
        <v>-14.034311609973049</v>
      </c>
      <c r="H7" s="80">
        <f>IF(1170176.53664="","-",(1331532.33197-1170176.53664)/1170176.53664*100)</f>
        <v>13.789013048690132</v>
      </c>
      <c r="J7" s="54"/>
      <c r="K7" s="54"/>
      <c r="L7" s="54"/>
      <c r="M7" s="54"/>
      <c r="N7" s="54"/>
      <c r="O7" s="54"/>
      <c r="P7" s="54"/>
    </row>
    <row r="8" spans="1:16" ht="16.5" customHeight="1" x14ac:dyDescent="0.2">
      <c r="A8" s="140" t="s">
        <v>218</v>
      </c>
      <c r="B8" s="143" t="s">
        <v>180</v>
      </c>
      <c r="C8" s="27">
        <v>230233.09719</v>
      </c>
      <c r="D8" s="27">
        <f>IF(320293.73029="","-",230233.09719/320293.73029*100)</f>
        <v>71.881861996343986</v>
      </c>
      <c r="E8" s="27">
        <f>IF(320293.73029="","-",320293.73029/1170176.53664*100)</f>
        <v>27.371402541507035</v>
      </c>
      <c r="F8" s="27">
        <f>IF(230233.09719="","-",230233.09719/1331532.33197*100)</f>
        <v>17.290837906231726</v>
      </c>
      <c r="G8" s="27">
        <f>IF(1361213.47779="","-",(320293.73029-285599.56931)/1361213.47779*100)</f>
        <v>2.5487670777641536</v>
      </c>
      <c r="H8" s="27">
        <f>IF(1170176.53664="","-",(230233.09719-320293.73029)/1170176.53664*100)</f>
        <v>-7.6963287401571572</v>
      </c>
    </row>
    <row r="9" spans="1:16" ht="13.5" customHeight="1" x14ac:dyDescent="0.2">
      <c r="A9" s="141" t="s">
        <v>219</v>
      </c>
      <c r="B9" s="144" t="s">
        <v>23</v>
      </c>
      <c r="C9" s="30">
        <v>6365.7645400000001</v>
      </c>
      <c r="D9" s="30">
        <f>IF(OR(6470.53658="",6365.76454=""),"-",6365.76454/6470.53658*100)</f>
        <v>98.380782819096595</v>
      </c>
      <c r="E9" s="30">
        <f>IF(6470.53658="","-",6470.53658/1170176.53664*100)</f>
        <v>0.55295388152109515</v>
      </c>
      <c r="F9" s="30">
        <f>IF(6365.76454="","-",6365.76454/1331532.33197*100)</f>
        <v>0.47807810498914899</v>
      </c>
      <c r="G9" s="30">
        <f>IF(OR(1361213.47779="",4933.29278="",6470.53658=""),"-",(6470.53658-4933.29278)/1361213.47779*100)</f>
        <v>0.11293186741698992</v>
      </c>
      <c r="H9" s="30">
        <f>IF(OR(1170176.53664="",6365.76454="",6470.53658=""),"-",(6365.76454-6470.53658)/1170176.53664*100)</f>
        <v>-8.9535242520618515E-3</v>
      </c>
      <c r="I9" s="58"/>
      <c r="J9" s="59"/>
      <c r="K9" s="26"/>
    </row>
    <row r="10" spans="1:16" x14ac:dyDescent="0.2">
      <c r="A10" s="141" t="s">
        <v>220</v>
      </c>
      <c r="B10" s="144" t="s">
        <v>181</v>
      </c>
      <c r="C10" s="30">
        <v>3154.6613400000001</v>
      </c>
      <c r="D10" s="30" t="s">
        <v>202</v>
      </c>
      <c r="E10" s="30">
        <f>IF(1710.73998="","-",1710.73998/1170176.53664*100)</f>
        <v>0.14619503352136534</v>
      </c>
      <c r="F10" s="30">
        <f>IF(3154.66134="","-",3154.66134/1331532.33197*100)</f>
        <v>0.23691961991885571</v>
      </c>
      <c r="G10" s="30">
        <f>IF(OR(1361213.47779="",3006.66836="",1710.73998=""),"-",(1710.73998-3006.66836)/1361213.47779*100)</f>
        <v>-9.5203904541410103E-2</v>
      </c>
      <c r="H10" s="30">
        <f>IF(OR(1170176.53664="",3154.66134="",1710.73998=""),"-",(3154.66134-1710.73998)/1170176.53664*100)</f>
        <v>0.12339346370300847</v>
      </c>
      <c r="I10" s="61"/>
      <c r="J10" s="62"/>
      <c r="K10" s="29"/>
    </row>
    <row r="11" spans="1:16" s="33" customFormat="1" x14ac:dyDescent="0.2">
      <c r="A11" s="141" t="s">
        <v>221</v>
      </c>
      <c r="B11" s="144" t="s">
        <v>182</v>
      </c>
      <c r="C11" s="30">
        <v>5053.0016999999998</v>
      </c>
      <c r="D11" s="30">
        <f>IF(OR(4791.53354="",5053.0017=""),"-",5053.0017/4791.53354*100)</f>
        <v>105.45687842560734</v>
      </c>
      <c r="E11" s="30">
        <f>IF(4791.53354="","-",4791.53354/1170176.53664*100)</f>
        <v>0.4094709977486154</v>
      </c>
      <c r="F11" s="30">
        <f>IF(5053.0017="","-",5053.0017/1331532.33197*100)</f>
        <v>0.37948772092706845</v>
      </c>
      <c r="G11" s="30">
        <f>IF(OR(1361213.47779="",8427.07209="",4791.53354=""),"-",(4791.53354-8427.07209)/1361213.47779*100)</f>
        <v>-0.26708070477692325</v>
      </c>
      <c r="H11" s="30">
        <f>IF(OR(1170176.53664="",5053.0017="",4791.53354=""),"-",(5053.0017-4791.53354)/1170176.53664*100)</f>
        <v>2.2344334535263292E-2</v>
      </c>
      <c r="I11" s="61"/>
      <c r="J11" s="62"/>
      <c r="K11" s="29"/>
    </row>
    <row r="12" spans="1:16" s="33" customFormat="1" x14ac:dyDescent="0.2">
      <c r="A12" s="141" t="s">
        <v>222</v>
      </c>
      <c r="B12" s="144" t="s">
        <v>183</v>
      </c>
      <c r="C12" s="30">
        <v>39.491880000000002</v>
      </c>
      <c r="D12" s="30" t="s">
        <v>358</v>
      </c>
      <c r="E12" s="30">
        <f>IF(2.95359="","-",2.95359/1170176.53664*100)</f>
        <v>2.5240550528220511E-4</v>
      </c>
      <c r="F12" s="30">
        <f>IF(39.49188="","-",39.49188/1331532.33197*100)</f>
        <v>2.9658971886602128E-3</v>
      </c>
      <c r="G12" s="30">
        <f>IF(OR(1361213.47779="",18.84453="",2.95359=""),"-",(2.95359-18.84453)/1361213.47779*100)</f>
        <v>-1.1674098338931933E-3</v>
      </c>
      <c r="H12" s="30">
        <f>IF(OR(1170176.53664="",39.49188="",2.95359=""),"-",(39.49188-2.95359)/1170176.53664*100)</f>
        <v>3.1224596337330987E-3</v>
      </c>
      <c r="I12" s="61"/>
      <c r="J12" s="62"/>
      <c r="K12" s="29"/>
    </row>
    <row r="13" spans="1:16" s="33" customFormat="1" ht="24" x14ac:dyDescent="0.2">
      <c r="A13" s="141" t="s">
        <v>223</v>
      </c>
      <c r="B13" s="144" t="s">
        <v>184</v>
      </c>
      <c r="C13" s="30">
        <v>59034.110090000002</v>
      </c>
      <c r="D13" s="30">
        <f>IF(OR(112313.58089="",59034.11009=""),"-",59034.11009/112313.58089*100)</f>
        <v>52.561862619105746</v>
      </c>
      <c r="E13" s="30">
        <f>IF(112313.58089="","-",112313.58089/1170176.53664*100)</f>
        <v>9.5980031536517476</v>
      </c>
      <c r="F13" s="30">
        <f>IF(59034.11009="","-",59034.11009/1331532.33197*100)</f>
        <v>4.4335468747243363</v>
      </c>
      <c r="G13" s="30">
        <f>IF(OR(1361213.47779="",111876.26802="",112313.58089=""),"-",(112313.58089-111876.26802)/1361213.47779*100)</f>
        <v>3.2126692626493404E-2</v>
      </c>
      <c r="H13" s="30">
        <f>IF(OR(1170176.53664="",59034.11009="",112313.58089=""),"-",(59034.11009-112313.58089)/1170176.53664*100)</f>
        <v>-4.553113921851879</v>
      </c>
      <c r="I13" s="61"/>
      <c r="J13" s="62"/>
      <c r="K13" s="29"/>
    </row>
    <row r="14" spans="1:16" s="33" customFormat="1" ht="15.75" customHeight="1" x14ac:dyDescent="0.2">
      <c r="A14" s="141" t="s">
        <v>224</v>
      </c>
      <c r="B14" s="144" t="s">
        <v>185</v>
      </c>
      <c r="C14" s="30">
        <v>133151.71361999999</v>
      </c>
      <c r="D14" s="30">
        <f>IF(OR(163051.64882="",133151.71362=""),"-",133151.71362/163051.64882*100)</f>
        <v>81.662292030540655</v>
      </c>
      <c r="E14" s="30">
        <f>IF(163051.64882="","-",163051.64882/1170176.53664*100)</f>
        <v>13.933935924589655</v>
      </c>
      <c r="F14" s="30">
        <f>IF(133151.71362="","-",133151.71362/1331532.33197*100)</f>
        <v>9.999885877574016</v>
      </c>
      <c r="G14" s="30">
        <f>IF(OR(1361213.47779="",134555.02537="",163051.64882=""),"-",(163051.64882-134555.02537)/1361213.47779*100)</f>
        <v>2.0934720317540307</v>
      </c>
      <c r="H14" s="30">
        <f>IF(OR(1170176.53664="",133151.71362="",163051.64882=""),"-",(133151.71362-163051.64882)/1170176.53664*100)</f>
        <v>-2.555164478502836</v>
      </c>
      <c r="I14" s="61"/>
      <c r="J14" s="62"/>
      <c r="K14" s="29"/>
    </row>
    <row r="15" spans="1:16" s="33" customFormat="1" ht="24" x14ac:dyDescent="0.2">
      <c r="A15" s="141" t="s">
        <v>225</v>
      </c>
      <c r="B15" s="144" t="s">
        <v>143</v>
      </c>
      <c r="C15" s="30">
        <v>6230.59411</v>
      </c>
      <c r="D15" s="30">
        <f>IF(OR(10417.87479="",6230.59411=""),"-",6230.59411/10417.87479*100)</f>
        <v>59.806767076723524</v>
      </c>
      <c r="E15" s="30">
        <f>IF(10417.87479="","-",10417.87479/1170176.53664*100)</f>
        <v>0.89028231756496201</v>
      </c>
      <c r="F15" s="30">
        <f>IF(6230.59411="","-",6230.59411/1331532.33197*100)</f>
        <v>0.46792661059771989</v>
      </c>
      <c r="G15" s="30">
        <f>IF(OR(1361213.47779="",5408.24603="",10417.87479=""),"-",(10417.87479-5408.24603)/1361213.47779*100)</f>
        <v>0.36802667926366622</v>
      </c>
      <c r="H15" s="30">
        <f>IF(OR(1170176.53664="",6230.59411="",10417.87479=""),"-",(6230.59411-10417.87479)/1170176.53664*100)</f>
        <v>-0.35783324557362917</v>
      </c>
      <c r="I15" s="61"/>
      <c r="J15" s="62"/>
      <c r="K15" s="29"/>
    </row>
    <row r="16" spans="1:16" s="33" customFormat="1" ht="24" x14ac:dyDescent="0.2">
      <c r="A16" s="141" t="s">
        <v>226</v>
      </c>
      <c r="B16" s="144" t="s">
        <v>186</v>
      </c>
      <c r="C16" s="30">
        <v>4760.7678999999998</v>
      </c>
      <c r="D16" s="30">
        <f>IF(OR(3711.66399="",4760.7679=""),"-",4760.7679/3711.66399*100)</f>
        <v>128.26505612648413</v>
      </c>
      <c r="E16" s="30">
        <f>IF(3711.66399="","-",3711.66399/1170176.53664*100)</f>
        <v>0.31718837917033693</v>
      </c>
      <c r="F16" s="30">
        <f>IF(4760.7679="","-",4760.7679/1331532.33197*100)</f>
        <v>0.35754054075100461</v>
      </c>
      <c r="G16" s="30">
        <f>IF(OR(1361213.47779="",4817.76194="",3711.66399=""),"-",(3711.66399-4817.76194)/1361213.47779*100)</f>
        <v>-8.1258227900873212E-2</v>
      </c>
      <c r="H16" s="30">
        <f>IF(OR(1170176.53664="",4760.7679="",3711.66399=""),"-",(4760.7679-3711.66399)/1170176.53664*100)</f>
        <v>8.9653473399180991E-2</v>
      </c>
      <c r="I16" s="61"/>
      <c r="J16" s="62"/>
      <c r="K16" s="29"/>
    </row>
    <row r="17" spans="1:11" s="33" customFormat="1" ht="24" x14ac:dyDescent="0.2">
      <c r="A17" s="141" t="s">
        <v>227</v>
      </c>
      <c r="B17" s="144" t="s">
        <v>144</v>
      </c>
      <c r="C17" s="30">
        <v>9994.0953800000007</v>
      </c>
      <c r="D17" s="30">
        <f>IF(OR(16380.24956="",9994.09538=""),"-",9994.09538/16380.24956*100)</f>
        <v>61.013083734726692</v>
      </c>
      <c r="E17" s="30">
        <f>IF(16380.24956="","-",16380.24956/1170176.53664*100)</f>
        <v>1.3998101181411156</v>
      </c>
      <c r="F17" s="30">
        <f>IF(9994.09538="","-",9994.09538/1331532.33197*100)</f>
        <v>0.75057098802953981</v>
      </c>
      <c r="G17" s="30">
        <f>IF(OR(1361213.47779="",11191.06671="",16380.24956=""),"-",(16380.24956-11191.06671)/1361213.47779*100)</f>
        <v>0.38121741627366978</v>
      </c>
      <c r="H17" s="30">
        <f>IF(OR(1170176.53664="",9994.09538="",16380.24956=""),"-",(9994.09538-16380.24956)/1170176.53664*100)</f>
        <v>-0.54574279863250008</v>
      </c>
      <c r="I17" s="61"/>
      <c r="J17" s="62"/>
      <c r="K17" s="29"/>
    </row>
    <row r="18" spans="1:11" s="33" customFormat="1" ht="16.5" customHeight="1" x14ac:dyDescent="0.2">
      <c r="A18" s="141" t="s">
        <v>228</v>
      </c>
      <c r="B18" s="144" t="s">
        <v>187</v>
      </c>
      <c r="C18" s="30">
        <v>2448.8966300000002</v>
      </c>
      <c r="D18" s="30" t="s">
        <v>344</v>
      </c>
      <c r="E18" s="30">
        <f>IF(1442.94855="","-",1442.94855/1170176.53664*100)</f>
        <v>0.12331033009286163</v>
      </c>
      <c r="F18" s="30">
        <f>IF(2448.89663="","-",2448.89663/1331532.33197*100)</f>
        <v>0.18391567153137481</v>
      </c>
      <c r="G18" s="30">
        <f>IF(OR(1361213.47779="",1365.32348="",1442.94855=""),"-",(1442.94855-1365.32348)/1361213.47779*100)</f>
        <v>5.7026374824049155E-3</v>
      </c>
      <c r="H18" s="30">
        <f>IF(OR(1170176.53664="",2448.89663="",1442.94855=""),"-",(2448.89663-1442.94855)/1170176.53664*100)</f>
        <v>8.5965497384560524E-2</v>
      </c>
      <c r="I18" s="61"/>
      <c r="J18" s="62"/>
      <c r="K18" s="29"/>
    </row>
    <row r="19" spans="1:11" s="33" customFormat="1" ht="17.25" customHeight="1" x14ac:dyDescent="0.2">
      <c r="A19" s="140" t="s">
        <v>229</v>
      </c>
      <c r="B19" s="143" t="s">
        <v>188</v>
      </c>
      <c r="C19" s="27">
        <v>100014.51343000001</v>
      </c>
      <c r="D19" s="27">
        <f>IF(84345.58985="","-",100014.51343/84345.58985*100)</f>
        <v>118.57705139991977</v>
      </c>
      <c r="E19" s="27">
        <f>IF(84345.58985="","-",84345.58985/1170176.53664*100)</f>
        <v>7.2079371965692198</v>
      </c>
      <c r="F19" s="27">
        <f>IF(100014.51343="","-",100014.51343/1331532.33197*100)</f>
        <v>7.5112343146807925</v>
      </c>
      <c r="G19" s="27">
        <f>IF(1361213.47779="","-",(84345.58985-103739.51226)/1361213.47779*100)</f>
        <v>-1.4247524526047912</v>
      </c>
      <c r="H19" s="27">
        <f>IF(1170176.53664="","-",(100014.51343-84345.58985)/1170176.53664*100)</f>
        <v>1.339022197880599</v>
      </c>
      <c r="I19" s="61"/>
      <c r="J19" s="62"/>
      <c r="K19" s="29"/>
    </row>
    <row r="20" spans="1:11" s="33" customFormat="1" x14ac:dyDescent="0.2">
      <c r="A20" s="141" t="s">
        <v>230</v>
      </c>
      <c r="B20" s="144" t="s">
        <v>189</v>
      </c>
      <c r="C20" s="30">
        <v>94251.156870000006</v>
      </c>
      <c r="D20" s="30">
        <f>IF(OR(79618.68933="",94251.15687=""),"-",94251.15687/79618.68933*100)</f>
        <v>118.37818188560227</v>
      </c>
      <c r="E20" s="30">
        <f>IF(79618.68933="","-",79618.68933/1170176.53664*100)</f>
        <v>6.8039895551669529</v>
      </c>
      <c r="F20" s="30">
        <f>IF(94251.15687="","-",94251.15687/1331532.33197*100)</f>
        <v>7.0783979184760444</v>
      </c>
      <c r="G20" s="30">
        <f>IF(OR(1361213.47779="",90027.26774="",79618.68933=""),"-",(79618.68933-90027.26774)/1361213.47779*100)</f>
        <v>-0.7646543749257364</v>
      </c>
      <c r="H20" s="30">
        <f>IF(OR(1170176.53664="",94251.15687="",79618.68933=""),"-",(94251.15687-79618.68933)/1170176.53664*100)</f>
        <v>1.250449575925964</v>
      </c>
      <c r="I20" s="58"/>
      <c r="J20" s="59"/>
      <c r="K20" s="26"/>
    </row>
    <row r="21" spans="1:11" s="33" customFormat="1" x14ac:dyDescent="0.2">
      <c r="A21" s="141" t="s">
        <v>231</v>
      </c>
      <c r="B21" s="144" t="s">
        <v>190</v>
      </c>
      <c r="C21" s="30">
        <v>5763.3565600000002</v>
      </c>
      <c r="D21" s="30">
        <f>IF(OR(4726.90052="",5763.35656=""),"-",5763.35656/4726.90052*100)</f>
        <v>121.92675804397932</v>
      </c>
      <c r="E21" s="30">
        <f>IF(4726.90052="","-",4726.90052/1170176.53664*100)</f>
        <v>0.40394764140226574</v>
      </c>
      <c r="F21" s="30">
        <f>IF(5763.35656="","-",5763.35656/1331532.33197*100)</f>
        <v>0.43283639620474884</v>
      </c>
      <c r="G21" s="30">
        <f>IF(OR(1361213.47779="",13712.24452="",4726.90052=""),"-",(4726.90052-13712.24452)/1361213.47779*100)</f>
        <v>-0.66009807767905504</v>
      </c>
      <c r="H21" s="30">
        <f>IF(OR(1170176.53664="",5763.35656="",4726.90052=""),"-",(5763.35656-4726.90052)/1170176.53664*100)</f>
        <v>8.8572621954636013E-2</v>
      </c>
      <c r="I21" s="61"/>
      <c r="J21" s="62"/>
      <c r="K21" s="29"/>
    </row>
    <row r="22" spans="1:11" s="33" customFormat="1" ht="24" x14ac:dyDescent="0.2">
      <c r="A22" s="140" t="s">
        <v>232</v>
      </c>
      <c r="B22" s="143" t="s">
        <v>24</v>
      </c>
      <c r="C22" s="27">
        <v>128872.24086999999</v>
      </c>
      <c r="D22" s="27">
        <f>IF(102232.55742="","-",128872.24087/102232.55742*100)</f>
        <v>126.05792530510287</v>
      </c>
      <c r="E22" s="27">
        <f>IF(102232.55742="","-",102232.55742/1170176.53664*100)</f>
        <v>8.7365072037375349</v>
      </c>
      <c r="F22" s="27">
        <f>IF(128872.24087="","-",128872.24087/1331532.33197*100)</f>
        <v>9.6784912972660404</v>
      </c>
      <c r="G22" s="27">
        <f>IF(1361213.47779="","-",(102232.55742-147018.29733)/1361213.47779*100)</f>
        <v>-3.290133446423992</v>
      </c>
      <c r="H22" s="27">
        <f>IF(1170176.53664="","-",(128872.24087-102232.55742)/1170176.53664*100)</f>
        <v>2.2765525214248581</v>
      </c>
      <c r="I22" s="61"/>
      <c r="J22" s="62"/>
      <c r="K22" s="29"/>
    </row>
    <row r="23" spans="1:11" s="33" customFormat="1" ht="15" customHeight="1" x14ac:dyDescent="0.2">
      <c r="A23" s="141" t="s">
        <v>233</v>
      </c>
      <c r="B23" s="144" t="s">
        <v>197</v>
      </c>
      <c r="C23" s="30">
        <v>655.62208999999996</v>
      </c>
      <c r="D23" s="30">
        <f>IF(OR(709.12761="",655.62209=""),"-",655.62209/709.12761*100)</f>
        <v>92.454740268821283</v>
      </c>
      <c r="E23" s="30">
        <f>IF(709.12761="","-",709.12761/1170176.53664*100)</f>
        <v>6.0600053735153654E-2</v>
      </c>
      <c r="F23" s="30">
        <f>IF(655.62209="","-",655.62209/1331532.33197*100)</f>
        <v>4.9238165252060241E-2</v>
      </c>
      <c r="G23" s="30">
        <f>IF(OR(1361213.47779="",834.78578="",709.12761=""),"-",(709.12761-834.78578)/1361213.47779*100)</f>
        <v>-9.2313345445280588E-3</v>
      </c>
      <c r="H23" s="30">
        <f>IF(OR(1170176.53664="",655.62209="",709.12761=""),"-",(655.62209-709.12761)/1170176.53664*100)</f>
        <v>-4.5724314515512114E-3</v>
      </c>
      <c r="I23" s="58"/>
      <c r="J23" s="59"/>
      <c r="K23" s="26"/>
    </row>
    <row r="24" spans="1:11" s="33" customFormat="1" ht="15" customHeight="1" x14ac:dyDescent="0.2">
      <c r="A24" s="141" t="s">
        <v>234</v>
      </c>
      <c r="B24" s="144" t="s">
        <v>191</v>
      </c>
      <c r="C24" s="30">
        <v>77016.969240000006</v>
      </c>
      <c r="D24" s="30">
        <f>IF(OR(87128.97519="",77016.96924=""),"-",77016.96924/87128.97519*100)</f>
        <v>88.394209930796279</v>
      </c>
      <c r="E24" s="30">
        <f>IF(87128.97519="","-",87128.97519/1170176.53664*100)</f>
        <v>7.44579748968295</v>
      </c>
      <c r="F24" s="30">
        <f>IF(77016.96924="","-",77016.96924/1331532.33197*100)</f>
        <v>5.7840855524742327</v>
      </c>
      <c r="G24" s="30">
        <f>IF(OR(1361213.47779="",128245.1475="",87128.97519=""),"-",(87128.97519-128245.1475)/1361213.47779*100)</f>
        <v>-3.0205528361910017</v>
      </c>
      <c r="H24" s="30">
        <f>IF(OR(1170176.53664="",77016.96924="",87128.97519=""),"-",(77016.96924-87128.97519)/1170176.53664*100)</f>
        <v>-0.86414362563064351</v>
      </c>
      <c r="I24" s="61"/>
      <c r="J24" s="62"/>
      <c r="K24" s="29"/>
    </row>
    <row r="25" spans="1:11" s="33" customFormat="1" ht="24" x14ac:dyDescent="0.2">
      <c r="A25" s="141" t="s">
        <v>287</v>
      </c>
      <c r="B25" s="144" t="s">
        <v>192</v>
      </c>
      <c r="C25" s="30">
        <v>0.54017999999999999</v>
      </c>
      <c r="D25" s="30" t="s">
        <v>359</v>
      </c>
      <c r="E25" s="30">
        <f>IF(0.14712="","-",0.14712/1170176.53664*100)</f>
        <v>1.2572461965647911E-5</v>
      </c>
      <c r="F25" s="30">
        <f>IF(0.54018="","-",0.54018/1331532.33197*100)</f>
        <v>4.0568297669558241E-5</v>
      </c>
      <c r="G25" s="30">
        <f>IF(OR(1361213.47779="",0.23836="",0.14712=""),"-",(0.14712-0.23836)/1361213.47779*100)</f>
        <v>-6.7028428302174039E-6</v>
      </c>
      <c r="H25" s="30">
        <f>IF(OR(1170176.53664="",0.54018="",0.14712=""),"-",(0.54018-0.14712)/1170176.53664*100)</f>
        <v>3.358980356319717E-5</v>
      </c>
      <c r="I25" s="61"/>
      <c r="J25" s="62"/>
      <c r="K25" s="29"/>
    </row>
    <row r="26" spans="1:11" s="33" customFormat="1" x14ac:dyDescent="0.2">
      <c r="A26" s="141" t="s">
        <v>235</v>
      </c>
      <c r="B26" s="144" t="s">
        <v>193</v>
      </c>
      <c r="C26" s="30">
        <v>949.1857</v>
      </c>
      <c r="D26" s="30">
        <f>IF(OR(842.68692="",949.1857=""),"-",949.1857/842.68692*100)</f>
        <v>112.63800083665711</v>
      </c>
      <c r="E26" s="30">
        <f>IF(842.68692="","-",842.68692/1170176.53664*100)</f>
        <v>7.2013657223008315E-2</v>
      </c>
      <c r="F26" s="30">
        <f>IF(949.1857="","-",949.1857/1331532.33197*100)</f>
        <v>7.1285216078507185E-2</v>
      </c>
      <c r="G26" s="30">
        <f>IF(OR(1361213.47779="",376.7645="",842.68692=""),"-",(842.68692-376.7645)/1361213.47779*100)</f>
        <v>3.4228460678809101E-2</v>
      </c>
      <c r="H26" s="30">
        <f>IF(OR(1170176.53664="",949.1857="",842.68692=""),"-",(949.1857-842.68692)/1170176.53664*100)</f>
        <v>9.1010866023511737E-3</v>
      </c>
      <c r="I26" s="61"/>
      <c r="J26" s="62"/>
      <c r="K26" s="29"/>
    </row>
    <row r="27" spans="1:11" s="33" customFormat="1" ht="14.25" customHeight="1" x14ac:dyDescent="0.2">
      <c r="A27" s="141" t="s">
        <v>236</v>
      </c>
      <c r="B27" s="144" t="s">
        <v>145</v>
      </c>
      <c r="C27" s="30">
        <v>2440.2871700000001</v>
      </c>
      <c r="D27" s="30" t="s">
        <v>293</v>
      </c>
      <c r="E27" s="30">
        <f>IF(855.28712="","-",855.28712/1170176.53664*100)</f>
        <v>7.309043492325E-2</v>
      </c>
      <c r="F27" s="30">
        <f>IF(2440.28717="","-",2440.28717/1331532.33197*100)</f>
        <v>0.18326908865889865</v>
      </c>
      <c r="G27" s="30">
        <f>IF(OR(1361213.47779="",1273.40441="",855.28712=""),"-",(855.28712-1273.40441)/1361213.47779*100)</f>
        <v>-3.0716511173459367E-2</v>
      </c>
      <c r="H27" s="30">
        <f>IF(OR(1170176.53664="",2440.28717="",855.28712=""),"-",(2440.28717-855.28712)/1170176.53664*100)</f>
        <v>0.13544965228503969</v>
      </c>
      <c r="I27" s="61"/>
      <c r="J27" s="62"/>
      <c r="K27" s="29"/>
    </row>
    <row r="28" spans="1:11" s="33" customFormat="1" ht="36" x14ac:dyDescent="0.2">
      <c r="A28" s="141" t="s">
        <v>237</v>
      </c>
      <c r="B28" s="144" t="s">
        <v>146</v>
      </c>
      <c r="C28" s="30">
        <v>138.83231000000001</v>
      </c>
      <c r="D28" s="30" t="s">
        <v>360</v>
      </c>
      <c r="E28" s="30">
        <f>IF(38.60231="","-",38.60231/1170176.53664*100)</f>
        <v>3.2988449854618679E-3</v>
      </c>
      <c r="F28" s="30">
        <f>IF(138.83231="","-",138.83231/1331532.33197*100)</f>
        <v>1.0426506864808746E-2</v>
      </c>
      <c r="G28" s="30">
        <f>IF(OR(1361213.47779="",182.90454="",38.60231=""),"-",(38.60231-182.90454)/1361213.47779*100)</f>
        <v>-1.0600999208021515E-2</v>
      </c>
      <c r="H28" s="30">
        <f>IF(OR(1170176.53664="",138.83231="",38.60231=""),"-",(138.83231-38.60231)/1170176.53664*100)</f>
        <v>8.5653742714579262E-3</v>
      </c>
      <c r="I28" s="61"/>
      <c r="J28" s="62"/>
      <c r="K28" s="29"/>
    </row>
    <row r="29" spans="1:11" s="33" customFormat="1" ht="36" x14ac:dyDescent="0.2">
      <c r="A29" s="141" t="s">
        <v>238</v>
      </c>
      <c r="B29" s="144" t="s">
        <v>147</v>
      </c>
      <c r="C29" s="30">
        <v>3644.1932499999998</v>
      </c>
      <c r="D29" s="30">
        <f>IF(OR(3844.21672="",3644.19325=""),"-",3644.19325/3844.21672*100)</f>
        <v>94.796769158217487</v>
      </c>
      <c r="E29" s="30">
        <f>IF(3844.21672="","-",3844.21672/1170176.53664*100)</f>
        <v>0.3285159631586988</v>
      </c>
      <c r="F29" s="30">
        <f>IF(3644.19325="","-",3644.19325/1331532.33197*100)</f>
        <v>0.27368417292642244</v>
      </c>
      <c r="G29" s="30">
        <f>IF(OR(1361213.47779="",4925.76619="",3844.21672=""),"-",(3844.21672-4925.76619)/1361213.47779*100)</f>
        <v>-7.9454801737340389E-2</v>
      </c>
      <c r="H29" s="30">
        <f>IF(OR(1170176.53664="",3644.19325="",3844.21672=""),"-",(3644.19325-3844.21672)/1170176.53664*100)</f>
        <v>-1.709344391525229E-2</v>
      </c>
      <c r="I29" s="61"/>
      <c r="J29" s="62"/>
      <c r="K29" s="29"/>
    </row>
    <row r="30" spans="1:11" s="33" customFormat="1" ht="24" x14ac:dyDescent="0.2">
      <c r="A30" s="141" t="s">
        <v>239</v>
      </c>
      <c r="B30" s="144" t="s">
        <v>148</v>
      </c>
      <c r="C30" s="30">
        <v>42090.987880000001</v>
      </c>
      <c r="D30" s="30" t="s">
        <v>361</v>
      </c>
      <c r="E30" s="30">
        <f>IF(6222.26559="","-",6222.26559/1170176.53664*100)</f>
        <v>0.53173734006548912</v>
      </c>
      <c r="F30" s="30">
        <f>IF(42090.98788="","-",42090.98788/1331532.33197*100)</f>
        <v>3.1610939418742054</v>
      </c>
      <c r="G30" s="30">
        <f>IF(OR(1361213.47779="",8941.96347="",6222.26559=""),"-",(6222.26559-8941.96347)/1361213.47779*100)</f>
        <v>-0.19979951156636871</v>
      </c>
      <c r="H30" s="30">
        <f>IF(OR(1170176.53664="",42090.98788="",6222.26559=""),"-",(42090.98788-6222.26559)/1170176.53664*100)</f>
        <v>3.0652402579351037</v>
      </c>
      <c r="I30" s="61"/>
      <c r="J30" s="62"/>
      <c r="K30" s="29"/>
    </row>
    <row r="31" spans="1:11" s="33" customFormat="1" ht="24" x14ac:dyDescent="0.2">
      <c r="A31" s="141" t="s">
        <v>240</v>
      </c>
      <c r="B31" s="144" t="s">
        <v>149</v>
      </c>
      <c r="C31" s="30">
        <v>1935.6230499999999</v>
      </c>
      <c r="D31" s="30">
        <f>IF(OR(2591.24884="",1935.62305=""),"-",1935.62305/2591.24884*100)</f>
        <v>74.698462769017567</v>
      </c>
      <c r="E31" s="30">
        <f>IF(2591.24884="","-",2591.24884/1170176.53664*100)</f>
        <v>0.2214408475015584</v>
      </c>
      <c r="F31" s="30">
        <f>IF(1935.62305="","-",1935.62305/1331532.33197*100)</f>
        <v>0.14536808483923547</v>
      </c>
      <c r="G31" s="30">
        <f>IF(OR(1361213.47779="",2237.32258="",2591.24884=""),"-",(2591.24884-2237.32258)/1361213.47779*100)</f>
        <v>2.6000790160748164E-2</v>
      </c>
      <c r="H31" s="30">
        <f>IF(OR(1170176.53664="",1935.62305="",2591.24884=""),"-",(1935.62305-2591.24884)/1170176.53664*100)</f>
        <v>-5.6027938475209815E-2</v>
      </c>
      <c r="I31" s="61"/>
      <c r="J31" s="62"/>
      <c r="K31" s="29"/>
    </row>
    <row r="32" spans="1:11" s="33" customFormat="1" ht="24" x14ac:dyDescent="0.2">
      <c r="A32" s="140" t="s">
        <v>241</v>
      </c>
      <c r="B32" s="143" t="s">
        <v>150</v>
      </c>
      <c r="C32" s="27">
        <v>13258.62278</v>
      </c>
      <c r="D32" s="27" t="s">
        <v>362</v>
      </c>
      <c r="E32" s="27">
        <f>IF(2476.847="","-",2476.847/1170176.53664*100)</f>
        <v>0.21166438758992071</v>
      </c>
      <c r="F32" s="27">
        <f>IF(13258.62278="","-",13258.62278/1331532.33197*100)</f>
        <v>0.9957417076297268</v>
      </c>
      <c r="G32" s="27">
        <f>IF(1361213.47779="","-",(2476.847-6985.84536)/1361213.47779*100)</f>
        <v>-0.33124843630850542</v>
      </c>
      <c r="H32" s="27">
        <f>IF(1170176.53664="","-",(13258.62278-2476.847)/1170176.53664*100)</f>
        <v>0.92138027403611911</v>
      </c>
      <c r="I32" s="61"/>
      <c r="J32" s="62"/>
      <c r="K32" s="29"/>
    </row>
    <row r="33" spans="1:11" s="33" customFormat="1" x14ac:dyDescent="0.2">
      <c r="A33" s="141" t="s">
        <v>242</v>
      </c>
      <c r="B33" s="144" t="s">
        <v>194</v>
      </c>
      <c r="C33" s="30">
        <v>379.90658000000002</v>
      </c>
      <c r="D33" s="30" t="s">
        <v>363</v>
      </c>
      <c r="E33" s="30">
        <f>IF(52.11775="","-",52.11775/1170176.53664*100)</f>
        <v>4.4538365253544484E-3</v>
      </c>
      <c r="F33" s="30">
        <f>IF(379.90658="","-",379.90658/1331532.33197*100)</f>
        <v>2.8531532496693403E-2</v>
      </c>
      <c r="G33" s="30">
        <f>IF(OR(1361213.47779="",0.09731="",52.11775=""),"-",(52.11775-0.09731)/1361213.47779*100)</f>
        <v>3.8216224603107706E-3</v>
      </c>
      <c r="H33" s="30">
        <f>IF(OR(1170176.53664="",379.90658="",52.11775=""),"-",(379.90658-52.11775)/1170176.53664*100)</f>
        <v>2.8011912710299274E-2</v>
      </c>
      <c r="I33" s="58"/>
      <c r="J33" s="59"/>
      <c r="K33" s="26"/>
    </row>
    <row r="34" spans="1:11" s="33" customFormat="1" ht="24" x14ac:dyDescent="0.2">
      <c r="A34" s="141" t="s">
        <v>243</v>
      </c>
      <c r="B34" s="144" t="s">
        <v>151</v>
      </c>
      <c r="C34" s="30">
        <v>12875.85785</v>
      </c>
      <c r="D34" s="30" t="s">
        <v>364</v>
      </c>
      <c r="E34" s="30">
        <f>IF(2114.46571="","-",2114.46571/1170176.53664*100)</f>
        <v>0.18069630041219212</v>
      </c>
      <c r="F34" s="30">
        <f>IF(12875.85785="","-",12875.85785/1331532.33197*100)</f>
        <v>0.96699550892242991</v>
      </c>
      <c r="G34" s="30">
        <f>IF(OR(1361213.47779="",6982.14738="",2114.46571=""),"-",(2114.46571-6982.14738)/1361213.47779*100)</f>
        <v>-0.35759869773717867</v>
      </c>
      <c r="H34" s="30">
        <f>IF(OR(1170176.53664="",12875.85785="",2114.46571=""),"-",(12875.85785-2114.46571)/1170176.53664*100)</f>
        <v>0.91963834541579914</v>
      </c>
      <c r="I34" s="61"/>
      <c r="J34" s="62"/>
      <c r="K34" s="29"/>
    </row>
    <row r="35" spans="1:11" s="33" customFormat="1" x14ac:dyDescent="0.2">
      <c r="A35" s="141" t="s">
        <v>295</v>
      </c>
      <c r="B35" s="144" t="s">
        <v>296</v>
      </c>
      <c r="C35" s="30">
        <v>2.8583500000000002</v>
      </c>
      <c r="D35" s="30">
        <f>IF(OR(3.89242="",2.85835=""),"-",2.85835/3.89242*100)</f>
        <v>73.433750725769571</v>
      </c>
      <c r="E35" s="30">
        <f>IF(3.89242="","-",3.89242/1170176.53664*100)</f>
        <v>3.3263528007291491E-4</v>
      </c>
      <c r="F35" s="30">
        <f>IF(2.85835="","-",2.85835/1331532.33197*100)</f>
        <v>2.1466621060346888E-4</v>
      </c>
      <c r="G35" s="30">
        <f>IF(OR(1361213.47779="",3.60067="",3.89242=""),"-",(3.89242-3.60067)/1361213.47779*100)</f>
        <v>2.143308193463314E-5</v>
      </c>
      <c r="H35" s="30">
        <f>IF(OR(1170176.53664="",2.85835="",3.89242=""),"-",(2.85835-3.89242)/1170176.53664*100)</f>
        <v>-8.8368717678205091E-5</v>
      </c>
      <c r="I35" s="61"/>
      <c r="J35" s="62"/>
      <c r="K35" s="29"/>
    </row>
    <row r="36" spans="1:11" s="33" customFormat="1" ht="24" x14ac:dyDescent="0.2">
      <c r="A36" s="140" t="s">
        <v>244</v>
      </c>
      <c r="B36" s="143" t="s">
        <v>152</v>
      </c>
      <c r="C36" s="27">
        <v>44043.810449999997</v>
      </c>
      <c r="D36" s="27">
        <f>IF(61110.58663="","-",44043.81045/61110.58663*100)</f>
        <v>72.072308381962586</v>
      </c>
      <c r="E36" s="27">
        <f>IF(61110.58663="","-",61110.58663/1170176.53664*100)</f>
        <v>5.2223390844487954</v>
      </c>
      <c r="F36" s="27">
        <f>IF(44043.81045="","-",44043.81045/1331532.33197*100)</f>
        <v>3.3077537354903916</v>
      </c>
      <c r="G36" s="27">
        <f>IF(1361213.47779="","-",(61110.58663-34286.23503)/1361213.47779*100)</f>
        <v>1.9706204822149358</v>
      </c>
      <c r="H36" s="27">
        <f>IF(1170176.53664="","-",(44043.81045-61110.58663)/1170176.53664*100)</f>
        <v>-1.458478754753098</v>
      </c>
      <c r="I36" s="61"/>
      <c r="J36" s="62"/>
      <c r="K36" s="29"/>
    </row>
    <row r="37" spans="1:11" s="33" customFormat="1" x14ac:dyDescent="0.2">
      <c r="A37" s="141" t="s">
        <v>245</v>
      </c>
      <c r="B37" s="144" t="s">
        <v>198</v>
      </c>
      <c r="C37" s="30">
        <v>4.8150199999999996</v>
      </c>
      <c r="D37" s="30" t="s">
        <v>341</v>
      </c>
      <c r="E37" s="30">
        <f>IF(2.5974="","-",2.5974/1170176.53664*100)</f>
        <v>2.2196650835762562E-4</v>
      </c>
      <c r="F37" s="30">
        <f>IF(4.81502="","-",4.81502/1331532.33197*100)</f>
        <v>3.6161495176584903E-4</v>
      </c>
      <c r="G37" s="30" t="str">
        <f>IF(OR(1361213.47779="",""="",2.5974=""),"-",(2.5974-"")/1361213.47779*100)</f>
        <v>-</v>
      </c>
      <c r="H37" s="30">
        <f>IF(OR(1170176.53664="",4.81502="",2.5974=""),"-",(4.81502-2.5974)/1170176.53664*100)</f>
        <v>1.8951157629323081E-4</v>
      </c>
      <c r="I37" s="58"/>
      <c r="J37" s="59"/>
      <c r="K37" s="26"/>
    </row>
    <row r="38" spans="1:11" s="33" customFormat="1" ht="24" x14ac:dyDescent="0.2">
      <c r="A38" s="141" t="s">
        <v>246</v>
      </c>
      <c r="B38" s="144" t="s">
        <v>153</v>
      </c>
      <c r="C38" s="30">
        <v>44035.433100000002</v>
      </c>
      <c r="D38" s="30">
        <f>IF(OR(61085.70974="",44035.4331=""),"-",44035.4331/61085.70974*100)</f>
        <v>72.087945425253565</v>
      </c>
      <c r="E38" s="30">
        <f>IF(61085.70974="","-",61085.70974/1170176.53664*100)</f>
        <v>5.2202131753042291</v>
      </c>
      <c r="F38" s="30">
        <f>IF(44035.4331="","-",44035.4331/1331532.33197*100)</f>
        <v>3.3071245844139319</v>
      </c>
      <c r="G38" s="30">
        <f>IF(OR(1361213.47779="",34283.1999="",61085.70974=""),"-",(61085.70974-34283.1999)/1361213.47779*100)</f>
        <v>1.9690159021577756</v>
      </c>
      <c r="H38" s="30">
        <f>IF(OR(1170176.53664="",44035.4331="",61085.70974=""),"-",(44035.4331-61085.70974)/1170176.53664*100)</f>
        <v>-1.4570687504090198</v>
      </c>
      <c r="I38" s="61"/>
      <c r="J38" s="62"/>
      <c r="K38" s="29"/>
    </row>
    <row r="39" spans="1:11" s="33" customFormat="1" ht="60" x14ac:dyDescent="0.2">
      <c r="A39" s="141" t="s">
        <v>247</v>
      </c>
      <c r="B39" s="144" t="s">
        <v>196</v>
      </c>
      <c r="C39" s="30">
        <v>3.5623300000000002</v>
      </c>
      <c r="D39" s="30">
        <f>IF(OR(22.27949="",3.56233=""),"-",3.56233/22.27949*100)</f>
        <v>15.989279826423317</v>
      </c>
      <c r="E39" s="30">
        <f>IF(22.27949="","-",22.27949/1170176.53664*100)</f>
        <v>1.9039426362087613E-3</v>
      </c>
      <c r="F39" s="30">
        <f>IF(3.56233="","-",3.56233/1331532.33197*100)</f>
        <v>2.6753612469398612E-4</v>
      </c>
      <c r="G39" s="30">
        <f>IF(OR(1361213.47779="",3.03513="",22.27949=""),"-",(22.27949-3.03513)/1361213.47779*100)</f>
        <v>1.4137650202556184E-3</v>
      </c>
      <c r="H39" s="30">
        <f>IF(OR(1170176.53664="",3.56233="",22.27949=""),"-",(3.56233-22.27949)/1170176.53664*100)</f>
        <v>-1.5995159203707615E-3</v>
      </c>
      <c r="I39" s="61"/>
      <c r="J39" s="62"/>
      <c r="K39" s="29"/>
    </row>
    <row r="40" spans="1:11" s="33" customFormat="1" ht="24" x14ac:dyDescent="0.2">
      <c r="A40" s="140" t="s">
        <v>248</v>
      </c>
      <c r="B40" s="143" t="s">
        <v>154</v>
      </c>
      <c r="C40" s="27">
        <v>65010.867850000002</v>
      </c>
      <c r="D40" s="27">
        <f>IF(64344.69686="","-",65010.86785/64344.69686*100)</f>
        <v>101.03531607499751</v>
      </c>
      <c r="E40" s="27">
        <f>IF(64344.69686="","-",64344.69686/1170176.53664*100)</f>
        <v>5.4987170606545304</v>
      </c>
      <c r="F40" s="27">
        <f>IF(65010.86785="","-",65010.86785/1331532.33197*100)</f>
        <v>4.8824100090620046</v>
      </c>
      <c r="G40" s="27">
        <f>IF(1361213.47779="","-",(64344.69686-59695.81787)/1361213.47779*100)</f>
        <v>0.34152460770133508</v>
      </c>
      <c r="H40" s="27">
        <f>IF(1170176.53664="","-",(65010.86785-64344.69686)/1170176.53664*100)</f>
        <v>5.6929101647587618E-2</v>
      </c>
      <c r="I40" s="61"/>
      <c r="J40" s="62"/>
      <c r="K40" s="29"/>
    </row>
    <row r="41" spans="1:11" s="33" customFormat="1" x14ac:dyDescent="0.2">
      <c r="A41" s="141" t="s">
        <v>249</v>
      </c>
      <c r="B41" s="144" t="s">
        <v>25</v>
      </c>
      <c r="C41" s="30">
        <v>16102.54759</v>
      </c>
      <c r="D41" s="30">
        <f>IF(OR(24993.17925="",16102.54759=""),"-",16102.54759/24993.17925*100)</f>
        <v>64.427768187994729</v>
      </c>
      <c r="E41" s="30">
        <f>IF(24993.17925="","-",24993.17925/1170176.53664*100)</f>
        <v>2.1358468972352203</v>
      </c>
      <c r="F41" s="30">
        <f>IF(16102.54759="","-",16102.54759/1331532.33197*100)</f>
        <v>1.2093245656435774</v>
      </c>
      <c r="G41" s="30">
        <f>IF(OR(1361213.47779="",8573.4194="",24993.17925=""),"-",(24993.17925-8573.4194)/1361213.47779*100)</f>
        <v>1.206258982731961</v>
      </c>
      <c r="H41" s="30">
        <f>IF(OR(1170176.53664="",16102.54759="",24993.17925=""),"-",(16102.54759-24993.17925)/1170176.53664*100)</f>
        <v>-0.75976840943403456</v>
      </c>
      <c r="I41" s="58"/>
      <c r="J41" s="59"/>
      <c r="K41" s="26"/>
    </row>
    <row r="42" spans="1:11" s="33" customFormat="1" x14ac:dyDescent="0.2">
      <c r="A42" s="141" t="s">
        <v>250</v>
      </c>
      <c r="B42" s="144" t="s">
        <v>26</v>
      </c>
      <c r="C42" s="30">
        <v>469.82754</v>
      </c>
      <c r="D42" s="30">
        <f>IF(OR(637.21575="",469.82754=""),"-",469.82754/637.21575*100)</f>
        <v>73.731313138446438</v>
      </c>
      <c r="E42" s="30">
        <f>IF(637.21575="","-",637.21575/1170176.53664*100)</f>
        <v>5.4454668167392653E-2</v>
      </c>
      <c r="F42" s="30">
        <f>IF(469.82754="","-",469.82754/1331532.33197*100)</f>
        <v>3.5284726380236733E-2</v>
      </c>
      <c r="G42" s="30">
        <f>IF(OR(1361213.47779="",555.10443="",637.21575=""),"-",(637.21575-555.10443)/1361213.47779*100)</f>
        <v>6.0322147363183571E-3</v>
      </c>
      <c r="H42" s="30">
        <f>IF(OR(1170176.53664="",469.82754="",637.21575=""),"-",(469.82754-637.21575)/1170176.53664*100)</f>
        <v>-1.4304526262390461E-2</v>
      </c>
      <c r="I42" s="61"/>
      <c r="J42" s="62"/>
      <c r="K42" s="29"/>
    </row>
    <row r="43" spans="1:11" s="33" customFormat="1" x14ac:dyDescent="0.2">
      <c r="A43" s="141" t="s">
        <v>251</v>
      </c>
      <c r="B43" s="144" t="s">
        <v>155</v>
      </c>
      <c r="C43" s="30">
        <v>1175.87049</v>
      </c>
      <c r="D43" s="30" t="s">
        <v>365</v>
      </c>
      <c r="E43" s="30">
        <f>IF(417.75733="","-",417.75733/1170176.53664*100)</f>
        <v>3.5700368014516197E-2</v>
      </c>
      <c r="F43" s="30">
        <f>IF(1175.87049="","-",1175.87049/1331532.33197*100)</f>
        <v>8.8309570993315753E-2</v>
      </c>
      <c r="G43" s="30">
        <f>IF(OR(1361213.47779="",476.00085="",417.75733=""),"-",(417.75733-476.00085)/1361213.47779*100)</f>
        <v>-4.2787939548292854E-3</v>
      </c>
      <c r="H43" s="30">
        <f>IF(OR(1170176.53664="",1175.87049="",417.75733=""),"-",(1175.87049-417.75733)/1170176.53664*100)</f>
        <v>6.4786221246310144E-2</v>
      </c>
      <c r="I43" s="61"/>
      <c r="J43" s="62"/>
      <c r="K43" s="29"/>
    </row>
    <row r="44" spans="1:11" s="33" customFormat="1" x14ac:dyDescent="0.2">
      <c r="A44" s="141" t="s">
        <v>252</v>
      </c>
      <c r="B44" s="144" t="s">
        <v>156</v>
      </c>
      <c r="C44" s="30">
        <v>36050.311750000001</v>
      </c>
      <c r="D44" s="30">
        <f>IF(OR(30182.5233="",36050.31175=""),"-",36050.31175/30182.5233*100)</f>
        <v>119.44101356827248</v>
      </c>
      <c r="E44" s="30">
        <f>IF(30182.5233="","-",30182.5233/1170176.53664*100)</f>
        <v>2.5793136637882812</v>
      </c>
      <c r="F44" s="30">
        <f>IF(36050.31175="","-",36050.31175/1331532.33197*100)</f>
        <v>2.7074304456928675</v>
      </c>
      <c r="G44" s="30">
        <f>IF(OR(1361213.47779="",40304.34829="",30182.5233=""),"-",(30182.5233-40304.34829)/1361213.47779*100)</f>
        <v>-0.74358836105805415</v>
      </c>
      <c r="H44" s="30">
        <f>IF(OR(1170176.53664="",36050.31175="",30182.5233=""),"-",(36050.31175-30182.5233)/1170176.53664*100)</f>
        <v>0.50144471934538548</v>
      </c>
      <c r="I44" s="61"/>
      <c r="J44" s="62"/>
      <c r="K44" s="29"/>
    </row>
    <row r="45" spans="1:11" s="33" customFormat="1" ht="48" x14ac:dyDescent="0.2">
      <c r="A45" s="141" t="s">
        <v>253</v>
      </c>
      <c r="B45" s="144" t="s">
        <v>157</v>
      </c>
      <c r="C45" s="30">
        <v>4744.0842000000002</v>
      </c>
      <c r="D45" s="30">
        <f>IF(OR(5050.13412="",4744.0842=""),"-",4744.0842/5050.13412*100)</f>
        <v>93.939766494756</v>
      </c>
      <c r="E45" s="30">
        <f>IF(5050.13412="","-",5050.13412/1170176.53664*100)</f>
        <v>0.43157027695160943</v>
      </c>
      <c r="F45" s="30">
        <f>IF(4744.0842="","-",4744.0842/1331532.33197*100)</f>
        <v>0.35628757080056295</v>
      </c>
      <c r="G45" s="30">
        <f>IF(OR(1361213.47779="",6376.31609="",5050.13412=""),"-",(5050.13412-6376.31609)/1361213.47779*100)</f>
        <v>-9.7426450122513122E-2</v>
      </c>
      <c r="H45" s="30">
        <f>IF(OR(1170176.53664="",4744.0842="",5050.13412=""),"-",(4744.0842-5050.13412)/1170176.53664*100)</f>
        <v>-2.6154166522495782E-2</v>
      </c>
      <c r="I45" s="61"/>
      <c r="J45" s="62"/>
      <c r="K45" s="29"/>
    </row>
    <row r="46" spans="1:11" s="33" customFormat="1" x14ac:dyDescent="0.2">
      <c r="A46" s="141" t="s">
        <v>254</v>
      </c>
      <c r="B46" s="144" t="s">
        <v>158</v>
      </c>
      <c r="C46" s="30">
        <v>63.587139999999998</v>
      </c>
      <c r="D46" s="30" t="s">
        <v>366</v>
      </c>
      <c r="E46" s="30">
        <f>IF(0.12792="","-",0.12792/1170176.53664*100)</f>
        <v>1.0931683895090272E-5</v>
      </c>
      <c r="F46" s="30">
        <f>IF(63.58714="","-",63.58714/1331532.33197*100)</f>
        <v>4.7754859925874214E-3</v>
      </c>
      <c r="G46" s="30">
        <f>IF(OR(1361213.47779="",20.17404="",0.12792=""),"-",(0.12792-20.17404)/1361213.47779*100)</f>
        <v>-1.4726654067917333E-3</v>
      </c>
      <c r="H46" s="30">
        <f>IF(OR(1170176.53664="",63.58714="",0.12792=""),"-",(63.58714-0.12792)/1170176.53664*100)</f>
        <v>5.4230466953485807E-3</v>
      </c>
      <c r="I46" s="61"/>
      <c r="J46" s="62"/>
      <c r="K46" s="29"/>
    </row>
    <row r="47" spans="1:11" x14ac:dyDescent="0.2">
      <c r="A47" s="141" t="s">
        <v>255</v>
      </c>
      <c r="B47" s="144" t="s">
        <v>27</v>
      </c>
      <c r="C47" s="30">
        <v>928.02727000000004</v>
      </c>
      <c r="D47" s="30">
        <f>IF(OR(942.92412="",928.02727=""),"-",928.02727/942.92412*100)</f>
        <v>98.420143287881956</v>
      </c>
      <c r="E47" s="30">
        <f>IF(942.92412="","-",942.92412/1170176.53664*100)</f>
        <v>8.0579646786242715E-2</v>
      </c>
      <c r="F47" s="30">
        <f>IF(928.02727="","-",928.02727/1331532.33197*100)</f>
        <v>6.9696187446457669E-2</v>
      </c>
      <c r="G47" s="30">
        <f>IF(OR(1361213.47779="",992.08345="",942.92412=""),"-",(942.92412-992.08345)/1361213.47779*100)</f>
        <v>-3.6114342681805248E-3</v>
      </c>
      <c r="H47" s="30">
        <f>IF(OR(1170176.53664="",928.02727="",942.92412=""),"-",(928.02727-942.92412)/1170176.53664*100)</f>
        <v>-1.2730429583534646E-3</v>
      </c>
      <c r="I47" s="61"/>
      <c r="J47" s="62"/>
      <c r="K47" s="29"/>
    </row>
    <row r="48" spans="1:11" x14ac:dyDescent="0.2">
      <c r="A48" s="141" t="s">
        <v>256</v>
      </c>
      <c r="B48" s="144" t="s">
        <v>28</v>
      </c>
      <c r="C48" s="30">
        <v>2209.5126100000002</v>
      </c>
      <c r="D48" s="30" t="s">
        <v>340</v>
      </c>
      <c r="E48" s="30">
        <f>IF(985.09798="","-",985.09798/1170176.53664*100)</f>
        <v>8.4183706402845199E-2</v>
      </c>
      <c r="F48" s="30">
        <f>IF(2209.51261="","-",2209.51261/1331532.33197*100)</f>
        <v>0.16593758611411485</v>
      </c>
      <c r="G48" s="30">
        <f>IF(OR(1361213.47779="",1305.22255="",985.09798=""),"-",(985.09798-1305.22255)/1361213.47779*100)</f>
        <v>-2.3517587448497693E-2</v>
      </c>
      <c r="H48" s="30">
        <f>IF(OR(1170176.53664="",2209.51261="",985.09798=""),"-",(2209.51261-985.09798)/1170176.53664*100)</f>
        <v>0.10463503511322636</v>
      </c>
      <c r="I48" s="61"/>
      <c r="J48" s="62"/>
      <c r="K48" s="29"/>
    </row>
    <row r="49" spans="1:11" x14ac:dyDescent="0.2">
      <c r="A49" s="141" t="s">
        <v>257</v>
      </c>
      <c r="B49" s="144" t="s">
        <v>159</v>
      </c>
      <c r="C49" s="30">
        <v>3267.09926</v>
      </c>
      <c r="D49" s="30" t="s">
        <v>293</v>
      </c>
      <c r="E49" s="30">
        <f>IF(1135.73709="","-",1135.73709/1170176.53664*100)</f>
        <v>9.7056901624528541E-2</v>
      </c>
      <c r="F49" s="30">
        <f>IF(3267.09926="","-",3267.09926/1331532.33197*100)</f>
        <v>0.24536386999828474</v>
      </c>
      <c r="G49" s="30">
        <f>IF(OR(1361213.47779="",1093.14877="",1135.73709=""),"-",(1135.73709-1093.14877)/1361213.47779*100)</f>
        <v>3.1287024919224569E-3</v>
      </c>
      <c r="H49" s="30">
        <f>IF(OR(1170176.53664="",3267.09926="",1135.73709=""),"-",(3267.09926-1135.73709)/1170176.53664*100)</f>
        <v>0.18214022442459077</v>
      </c>
      <c r="I49" s="61"/>
      <c r="J49" s="62"/>
      <c r="K49" s="29"/>
    </row>
    <row r="50" spans="1:11" ht="24" x14ac:dyDescent="0.2">
      <c r="A50" s="140" t="s">
        <v>258</v>
      </c>
      <c r="B50" s="143" t="s">
        <v>323</v>
      </c>
      <c r="C50" s="27">
        <v>114366.57195</v>
      </c>
      <c r="D50" s="27" t="s">
        <v>368</v>
      </c>
      <c r="E50" s="27">
        <f>IF(74733.882="","-",74733.882/1170176.53664*100)</f>
        <v>6.386547641314702</v>
      </c>
      <c r="F50" s="27">
        <f>IF(114366.57195="","-",114366.57195/1331532.33197*100)</f>
        <v>8.5890946245965232</v>
      </c>
      <c r="G50" s="27">
        <f>IF(1361213.47779="","-",(74733.882-85942.00854)/1361213.47779*100)</f>
        <v>-0.82339226894792195</v>
      </c>
      <c r="H50" s="27">
        <f>IF(1170176.53664="","-",(114366.57195-74733.882)/1170176.53664*100)</f>
        <v>3.3868983618317783</v>
      </c>
      <c r="I50" s="61"/>
      <c r="J50" s="62"/>
      <c r="K50" s="29"/>
    </row>
    <row r="51" spans="1:11" x14ac:dyDescent="0.2">
      <c r="A51" s="141" t="s">
        <v>259</v>
      </c>
      <c r="B51" s="144" t="s">
        <v>160</v>
      </c>
      <c r="C51" s="30">
        <v>548.33897999999999</v>
      </c>
      <c r="D51" s="30" t="s">
        <v>341</v>
      </c>
      <c r="E51" s="30">
        <f>IF(289.52254="","-",289.52254/1170176.53664*100)</f>
        <v>2.4741783050215987E-2</v>
      </c>
      <c r="F51" s="30">
        <f>IF(548.33898="","-",548.33898/1331532.33197*100)</f>
        <v>4.1181048843833432E-2</v>
      </c>
      <c r="G51" s="30">
        <f>IF(OR(1361213.47779="",152.74604="",289.52254=""),"-",(289.52254-152.74604)/1361213.47779*100)</f>
        <v>1.0048130012792974E-2</v>
      </c>
      <c r="H51" s="30">
        <f>IF(OR(1170176.53664="",548.33898="",289.52254=""),"-",(548.33898-289.52254)/1170176.53664*100)</f>
        <v>2.2117725992281095E-2</v>
      </c>
      <c r="I51" s="58"/>
      <c r="J51" s="59"/>
      <c r="K51" s="26"/>
    </row>
    <row r="52" spans="1:11" x14ac:dyDescent="0.2">
      <c r="A52" s="141" t="s">
        <v>260</v>
      </c>
      <c r="B52" s="144" t="s">
        <v>29</v>
      </c>
      <c r="C52" s="30">
        <v>770.98382000000004</v>
      </c>
      <c r="D52" s="30">
        <f>IF(OR(564.18634="",770.98382=""),"-",770.98382/564.18634*100)</f>
        <v>136.65410970425128</v>
      </c>
      <c r="E52" s="30">
        <f>IF(564.18634="","-",564.18634/1170176.53664*100)</f>
        <v>4.8213779915634178E-2</v>
      </c>
      <c r="F52" s="30">
        <f>IF(770.98382="","-",770.98382/1331532.33197*100)</f>
        <v>5.7901997682574535E-2</v>
      </c>
      <c r="G52" s="30">
        <f>IF(OR(1361213.47779="",807.7325="",564.18634=""),"-",(564.18634-807.7325)/1361213.47779*100)</f>
        <v>-1.7891841652597336E-2</v>
      </c>
      <c r="H52" s="30">
        <f>IF(OR(1170176.53664="",770.98382="",564.18634=""),"-",(770.98382-564.18634)/1170176.53664*100)</f>
        <v>1.7672331782842818E-2</v>
      </c>
      <c r="I52" s="61"/>
      <c r="J52" s="62"/>
      <c r="K52" s="29"/>
    </row>
    <row r="53" spans="1:11" x14ac:dyDescent="0.2">
      <c r="A53" s="141" t="s">
        <v>261</v>
      </c>
      <c r="B53" s="144" t="s">
        <v>161</v>
      </c>
      <c r="C53" s="30">
        <v>12344.273139999999</v>
      </c>
      <c r="D53" s="30">
        <f>IF(OR(8773.37642="",12344.27314=""),"-",12344.27314/8773.37642*100)</f>
        <v>140.70151044539358</v>
      </c>
      <c r="E53" s="30">
        <f>IF(8773.37642="","-",8773.37642/1170176.53664*100)</f>
        <v>0.74974810597309838</v>
      </c>
      <c r="F53" s="30">
        <f>IF(12344.27314="","-",12344.27314/1331532.33197*100)</f>
        <v>0.92707272993789547</v>
      </c>
      <c r="G53" s="30">
        <f>IF(OR(1361213.47779="",10317.08882="",8773.37642=""),"-",(8773.37642-10317.08882)/1361213.47779*100)</f>
        <v>-0.11340707575907175</v>
      </c>
      <c r="H53" s="30">
        <f>IF(OR(1170176.53664="",12344.27314="",8773.37642=""),"-",(12344.27314-8773.37642)/1170176.53664*100)</f>
        <v>0.30515880366678128</v>
      </c>
      <c r="I53" s="61"/>
      <c r="J53" s="62"/>
      <c r="K53" s="29"/>
    </row>
    <row r="54" spans="1:11" ht="24" x14ac:dyDescent="0.2">
      <c r="A54" s="141" t="s">
        <v>262</v>
      </c>
      <c r="B54" s="144" t="s">
        <v>162</v>
      </c>
      <c r="C54" s="30">
        <v>5185.2066199999999</v>
      </c>
      <c r="D54" s="30">
        <f>IF(OR(4202.72373="",5185.20662=""),"-",5185.20662/4202.72373*100)</f>
        <v>123.3772894227335</v>
      </c>
      <c r="E54" s="30">
        <f>IF(4202.72373="","-",4202.72373/1170176.53664*100)</f>
        <v>0.35915296524980228</v>
      </c>
      <c r="F54" s="30">
        <f>IF(5185.20662="","-",5185.20662/1331532.33197*100)</f>
        <v>0.3894165012372246</v>
      </c>
      <c r="G54" s="30">
        <f>IF(OR(1361213.47779="",5032.71606="",4202.72373=""),"-",(4202.72373-5032.71606)/1361213.47779*100)</f>
        <v>-6.0974442550152774E-2</v>
      </c>
      <c r="H54" s="30">
        <f>IF(OR(1170176.53664="",5185.20662="",4202.72373=""),"-",(5185.20662-4202.72373)/1170176.53664*100)</f>
        <v>8.3960228156775715E-2</v>
      </c>
      <c r="I54" s="61"/>
      <c r="J54" s="62"/>
      <c r="K54" s="29"/>
    </row>
    <row r="55" spans="1:11" ht="26.25" customHeight="1" x14ac:dyDescent="0.2">
      <c r="A55" s="141" t="s">
        <v>263</v>
      </c>
      <c r="B55" s="144" t="s">
        <v>163</v>
      </c>
      <c r="C55" s="30">
        <v>40396.173219999902</v>
      </c>
      <c r="D55" s="30" t="s">
        <v>368</v>
      </c>
      <c r="E55" s="30">
        <f>IF(26497.92211="","-",26497.92211/1170176.53664*100)</f>
        <v>2.2644379954912712</v>
      </c>
      <c r="F55" s="30">
        <f>IF(40396.1732199999="","-",40396.1732199999/1331532.33197*100)</f>
        <v>3.0338109146950889</v>
      </c>
      <c r="G55" s="30">
        <f>IF(OR(1361213.47779="",32240.79598="",26497.92211=""),"-",(26497.92211-32240.79598)/1361213.47779*100)</f>
        <v>-0.42189369732981558</v>
      </c>
      <c r="H55" s="30">
        <f>IF(OR(1170176.53664="",40396.1732199999="",26497.92211=""),"-",(40396.1732199999-26497.92211)/1170176.53664*100)</f>
        <v>1.1877055021037088</v>
      </c>
      <c r="I55" s="61"/>
      <c r="J55" s="62"/>
      <c r="K55" s="29"/>
    </row>
    <row r="56" spans="1:11" ht="14.25" customHeight="1" x14ac:dyDescent="0.2">
      <c r="A56" s="141" t="s">
        <v>264</v>
      </c>
      <c r="B56" s="144" t="s">
        <v>30</v>
      </c>
      <c r="C56" s="30">
        <v>28994.316709999999</v>
      </c>
      <c r="D56" s="30">
        <f>IF(OR(21475.4005="",28994.31671=""),"-",28994.31671/21475.4005*100)</f>
        <v>135.01176245816694</v>
      </c>
      <c r="E56" s="30">
        <f>IF(21475.4005="","-",21475.4005/1170176.53664*100)</f>
        <v>1.83522740608555</v>
      </c>
      <c r="F56" s="30">
        <f>IF(28994.31671="","-",28994.31671/1331532.33197*100)</f>
        <v>2.1775150339085609</v>
      </c>
      <c r="G56" s="30">
        <f>IF(OR(1361213.47779="",24285.58868="",21475.4005=""),"-",(21475.4005-24285.58868)/1361213.47779*100)</f>
        <v>-0.20644727853874073</v>
      </c>
      <c r="H56" s="30">
        <f>IF(OR(1170176.53664="",28994.31671="",21475.4005=""),"-",(28994.31671-21475.4005)/1170176.53664*100)</f>
        <v>0.64254545998585189</v>
      </c>
      <c r="I56" s="61"/>
      <c r="J56" s="62"/>
      <c r="K56" s="29"/>
    </row>
    <row r="57" spans="1:11" ht="15.75" customHeight="1" x14ac:dyDescent="0.2">
      <c r="A57" s="141" t="s">
        <v>265</v>
      </c>
      <c r="B57" s="144" t="s">
        <v>164</v>
      </c>
      <c r="C57" s="30">
        <v>4865.0321999999996</v>
      </c>
      <c r="D57" s="30" t="s">
        <v>367</v>
      </c>
      <c r="E57" s="30">
        <f>IF(758.02556="","-",758.02556/1170176.53664*100)</f>
        <v>6.4778735196363235E-2</v>
      </c>
      <c r="F57" s="30">
        <f>IF(4865.0322="","-",4865.0322/1331532.33197*100)</f>
        <v>0.36537094017102784</v>
      </c>
      <c r="G57" s="30">
        <f>IF(OR(1361213.47779="",1524.02893="",758.02556=""),"-",(758.02556-1524.02893)/1361213.47779*100)</f>
        <v>-5.6273566380171745E-2</v>
      </c>
      <c r="H57" s="30">
        <f>IF(OR(1170176.53664="",4865.0322="",758.02556=""),"-",(4865.0322-758.02556)/1170176.53664*100)</f>
        <v>0.35097325159096943</v>
      </c>
      <c r="I57" s="61"/>
      <c r="J57" s="62"/>
      <c r="K57" s="29"/>
    </row>
    <row r="58" spans="1:11" x14ac:dyDescent="0.2">
      <c r="A58" s="141" t="s">
        <v>266</v>
      </c>
      <c r="B58" s="144" t="s">
        <v>31</v>
      </c>
      <c r="C58" s="30">
        <v>737.55802000000006</v>
      </c>
      <c r="D58" s="30">
        <f>IF(OR(859.53995="",737.55802=""),"-",737.55802/859.53995*100)</f>
        <v>85.808463003959275</v>
      </c>
      <c r="E58" s="30">
        <f>IF(859.53995="","-",859.53995/1170176.53664*100)</f>
        <v>7.3453869829594245E-2</v>
      </c>
      <c r="F58" s="30">
        <f>IF(737.55802="","-",737.55802/1331532.33197*100)</f>
        <v>5.539167185739937E-2</v>
      </c>
      <c r="G58" s="30">
        <f>IF(OR(1361213.47779="",424.21114="",859.53995=""),"-",(859.53995-424.21114)/1361213.47779*100)</f>
        <v>3.1980935915120287E-2</v>
      </c>
      <c r="H58" s="30">
        <f>IF(OR(1170176.53664="",737.55802="",859.53995=""),"-",(737.55802-859.53995)/1170176.53664*100)</f>
        <v>-1.0424233111890464E-2</v>
      </c>
      <c r="I58" s="61"/>
      <c r="J58" s="62"/>
      <c r="K58" s="29"/>
    </row>
    <row r="59" spans="1:11" x14ac:dyDescent="0.2">
      <c r="A59" s="141" t="s">
        <v>267</v>
      </c>
      <c r="B59" s="144" t="s">
        <v>32</v>
      </c>
      <c r="C59" s="30">
        <v>20524.68924</v>
      </c>
      <c r="D59" s="30" t="s">
        <v>202</v>
      </c>
      <c r="E59" s="30">
        <f>IF(11313.18485="","-",11313.18485/1170176.53664*100)</f>
        <v>0.96679300052317263</v>
      </c>
      <c r="F59" s="30">
        <f>IF(20524.68924="","-",20524.68924/1331532.33197*100)</f>
        <v>1.5414337862629108</v>
      </c>
      <c r="G59" s="30">
        <f>IF(OR(1361213.47779="",11157.10039="",11313.18485=""),"-",(11313.18485-11157.10039)/1361213.47779*100)</f>
        <v>1.1466567334714552E-2</v>
      </c>
      <c r="H59" s="30">
        <f>IF(OR(1170176.53664="",20524.68924="",11313.18485=""),"-",(20524.68924-11313.18485)/1170176.53664*100)</f>
        <v>0.78718929166444918</v>
      </c>
      <c r="I59" s="61"/>
      <c r="J59" s="62"/>
      <c r="K59" s="29"/>
    </row>
    <row r="60" spans="1:11" ht="24" x14ac:dyDescent="0.2">
      <c r="A60" s="140" t="s">
        <v>268</v>
      </c>
      <c r="B60" s="143" t="s">
        <v>165</v>
      </c>
      <c r="C60" s="27">
        <v>345693.97198999999</v>
      </c>
      <c r="D60" s="27">
        <f>IF(238120.22254="","-",345693.97199/238120.22254*100)</f>
        <v>145.17623421586109</v>
      </c>
      <c r="E60" s="27">
        <f>IF(238120.22254="","-",238120.22254/1170176.53664*100)</f>
        <v>20.349085380205047</v>
      </c>
      <c r="F60" s="27">
        <f>IF(345693.97199="","-",345693.97199/1331532.33197*100)</f>
        <v>25.962116254326794</v>
      </c>
      <c r="G60" s="27">
        <f>IF(1361213.47779="","-",(238120.22254-351481.51065)/1361213.47779*100)</f>
        <v>-8.3279581020640432</v>
      </c>
      <c r="H60" s="27">
        <f>IF(1170176.53664="","-",(345693.97199-238120.22254)/1170176.53664*100)</f>
        <v>9.1929504721469755</v>
      </c>
      <c r="I60" s="61"/>
      <c r="J60" s="62"/>
      <c r="K60" s="29"/>
    </row>
    <row r="61" spans="1:11" ht="24" x14ac:dyDescent="0.2">
      <c r="A61" s="141" t="s">
        <v>269</v>
      </c>
      <c r="B61" s="144" t="s">
        <v>166</v>
      </c>
      <c r="C61" s="30">
        <v>1079.01197</v>
      </c>
      <c r="D61" s="30">
        <f>IF(OR(992.61701="",1079.01197=""),"-",1079.01197/992.61701*100)</f>
        <v>108.70375574160269</v>
      </c>
      <c r="E61" s="30">
        <f>IF(992.61701="","-",992.61701/1170176.53664*100)</f>
        <v>8.4826261587004848E-2</v>
      </c>
      <c r="F61" s="30">
        <f>IF(1079.01197="","-",1079.01197/1331532.33197*100)</f>
        <v>8.1035356340435502E-2</v>
      </c>
      <c r="G61" s="30">
        <f>IF(OR(1361213.47779="",1751.23387="",992.61701=""),"-",(992.61701-1751.23387)/1361213.47779*100)</f>
        <v>-5.5730924823904439E-2</v>
      </c>
      <c r="H61" s="30">
        <f>IF(OR(1170176.53664="",1079.01197="",992.61701=""),"-",(1079.01197-992.61701)/1170176.53664*100)</f>
        <v>7.3830706132658533E-3</v>
      </c>
      <c r="I61" s="58"/>
      <c r="J61" s="59"/>
      <c r="K61" s="26"/>
    </row>
    <row r="62" spans="1:11" ht="24" x14ac:dyDescent="0.2">
      <c r="A62" s="141" t="s">
        <v>270</v>
      </c>
      <c r="B62" s="144" t="s">
        <v>167</v>
      </c>
      <c r="C62" s="30">
        <v>7312.5766400000002</v>
      </c>
      <c r="D62" s="30">
        <f>IF(OR(5014.68934="",7312.57664=""),"-",7312.57664/5014.68934*100)</f>
        <v>145.82312371118886</v>
      </c>
      <c r="E62" s="30">
        <f>IF(5014.68934="","-",5014.68934/1170176.53664*100)</f>
        <v>0.42854126561099803</v>
      </c>
      <c r="F62" s="30">
        <f>IF(7312.57664="","-",7312.57664/1331532.33197*100)</f>
        <v>0.54918506028171732</v>
      </c>
      <c r="G62" s="30">
        <f>IF(OR(1361213.47779="",7192.72357="",5014.68934=""),"-",(5014.68934-7192.72357)/1361213.47779*100)</f>
        <v>-0.1600068075682112</v>
      </c>
      <c r="H62" s="30">
        <f>IF(OR(1170176.53664="",7312.57664="",5014.68934=""),"-",(7312.57664-5014.68934)/1170176.53664*100)</f>
        <v>0.19637099429442206</v>
      </c>
      <c r="I62" s="61"/>
      <c r="J62" s="62"/>
      <c r="K62" s="29"/>
    </row>
    <row r="63" spans="1:11" ht="24" x14ac:dyDescent="0.2">
      <c r="A63" s="141" t="s">
        <v>271</v>
      </c>
      <c r="B63" s="144" t="s">
        <v>168</v>
      </c>
      <c r="C63" s="30">
        <v>2400.1846500000001</v>
      </c>
      <c r="D63" s="30">
        <f>IF(OR(1627.78996="",2400.18465=""),"-",2400.18465/1627.78996*100)</f>
        <v>147.45051320994756</v>
      </c>
      <c r="E63" s="30">
        <f>IF(1627.78996="","-",1627.78996/1170176.53664*100)</f>
        <v>0.13910635780426547</v>
      </c>
      <c r="F63" s="30">
        <f>IF(2400.18465="","-",2400.18465/1331532.33197*100)</f>
        <v>0.18025733152487036</v>
      </c>
      <c r="G63" s="30">
        <f>IF(OR(1361213.47779="",1234.58458="",1627.78996=""),"-",(1627.78996-1234.58458)/1361213.47779*100)</f>
        <v>2.8886386038315549E-2</v>
      </c>
      <c r="H63" s="30">
        <f>IF(OR(1170176.53664="",2400.18465="",1627.78996=""),"-",(2400.18465-1627.78996)/1170176.53664*100)</f>
        <v>6.6006680685789909E-2</v>
      </c>
      <c r="I63" s="61"/>
      <c r="J63" s="62"/>
      <c r="K63" s="29"/>
    </row>
    <row r="64" spans="1:11" ht="36" x14ac:dyDescent="0.2">
      <c r="A64" s="141" t="s">
        <v>272</v>
      </c>
      <c r="B64" s="144" t="s">
        <v>169</v>
      </c>
      <c r="C64" s="30">
        <v>12375.074339999999</v>
      </c>
      <c r="D64" s="30">
        <f>IF(OR(9647.89568="",12375.07434=""),"-",12375.07434/9647.89568*100)</f>
        <v>128.26708279664979</v>
      </c>
      <c r="E64" s="30">
        <f>IF(9647.89568="","-",9647.89568/1170176.53664*100)</f>
        <v>0.82448206556103043</v>
      </c>
      <c r="F64" s="30">
        <f>IF(12375.07434="","-",12375.07434/1331532.33197*100)</f>
        <v>0.92938594451485046</v>
      </c>
      <c r="G64" s="30">
        <f>IF(OR(1361213.47779="",11717.32808="",9647.89568=""),"-",(9647.89568-11717.32808)/1361213.47779*100)</f>
        <v>-0.15202849764313453</v>
      </c>
      <c r="H64" s="30">
        <f>IF(OR(1170176.53664="",12375.07434="",9647.89568=""),"-",(12375.07434-9647.89568)/1170176.53664*100)</f>
        <v>0.23305702811566498</v>
      </c>
      <c r="I64" s="61"/>
      <c r="J64" s="62"/>
      <c r="K64" s="29"/>
    </row>
    <row r="65" spans="1:11" ht="26.25" customHeight="1" x14ac:dyDescent="0.2">
      <c r="A65" s="141" t="s">
        <v>273</v>
      </c>
      <c r="B65" s="144" t="s">
        <v>170</v>
      </c>
      <c r="C65" s="30">
        <v>1028.1840500000001</v>
      </c>
      <c r="D65" s="30" t="s">
        <v>102</v>
      </c>
      <c r="E65" s="30">
        <f>IF(648.1541="","-",648.1541/1170176.53664*100)</f>
        <v>5.5389428834480371E-2</v>
      </c>
      <c r="F65" s="30">
        <f>IF(1028.18405="","-",1028.18405/1331532.33197*100)</f>
        <v>7.7218106185886107E-2</v>
      </c>
      <c r="G65" s="30">
        <f>IF(OR(1361213.47779="",431.37624="",648.1541=""),"-",(648.1541-431.37624)/1361213.47779*100)</f>
        <v>1.5925338937427359E-2</v>
      </c>
      <c r="H65" s="30">
        <f>IF(OR(1170176.53664="",1028.18405="",648.1541=""),"-",(1028.18405-648.1541)/1170176.53664*100)</f>
        <v>3.2476292089328972E-2</v>
      </c>
      <c r="I65" s="61"/>
      <c r="J65" s="62"/>
      <c r="K65" s="29"/>
    </row>
    <row r="66" spans="1:11" ht="48" x14ac:dyDescent="0.2">
      <c r="A66" s="141" t="s">
        <v>274</v>
      </c>
      <c r="B66" s="144" t="s">
        <v>171</v>
      </c>
      <c r="C66" s="30">
        <v>1593.70686</v>
      </c>
      <c r="D66" s="30">
        <f>IF(OR(1269.09529="",1593.70686=""),"-",1593.70686/1269.09529*100)</f>
        <v>125.57818727701684</v>
      </c>
      <c r="E66" s="30">
        <f>IF(1269.09529="","-",1269.09529/1170176.53664*100)</f>
        <v>0.10845331881666602</v>
      </c>
      <c r="F66" s="30">
        <f>IF(1593.70686="","-",1593.70686/1331532.33197*100)</f>
        <v>0.11968968546502461</v>
      </c>
      <c r="G66" s="30">
        <f>IF(OR(1361213.47779="",1682.54867="",1269.09529=""),"-",(1269.09529-1682.54867)/1361213.47779*100)</f>
        <v>-3.0373882329703547E-2</v>
      </c>
      <c r="H66" s="30">
        <f>IF(OR(1170176.53664="",1593.70686="",1269.09529=""),"-",(1593.70686-1269.09529)/1170176.53664*100)</f>
        <v>2.7740392995066986E-2</v>
      </c>
      <c r="I66" s="61"/>
      <c r="J66" s="62"/>
      <c r="K66" s="29"/>
    </row>
    <row r="67" spans="1:11" ht="48" x14ac:dyDescent="0.2">
      <c r="A67" s="141" t="s">
        <v>275</v>
      </c>
      <c r="B67" s="144" t="s">
        <v>172</v>
      </c>
      <c r="C67" s="30">
        <v>292908.32523000002</v>
      </c>
      <c r="D67" s="30">
        <f>IF(OR(207617.54988="",292908.32523=""),"-",292908.32523/207617.54988*100)</f>
        <v>141.08071567133743</v>
      </c>
      <c r="E67" s="30">
        <f>IF(207617.54988="","-",207617.54988/1170176.53664*100)</f>
        <v>17.74241265135473</v>
      </c>
      <c r="F67" s="30">
        <f>IF(292908.32523="","-",292908.32523/1331532.33197*100)</f>
        <v>21.997837994413747</v>
      </c>
      <c r="G67" s="30">
        <f>IF(OR(1361213.47779="",311528.87915="",207617.54988=""),"-",(207617.54988-311528.87915)/1361213.47779*100)</f>
        <v>-7.633727623583729</v>
      </c>
      <c r="H67" s="30">
        <f>IF(OR(1170176.53664="",292908.32523="",207617.54988=""),"-",(292908.32523-207617.54988)/1170176.53664*100)</f>
        <v>7.288710094538442</v>
      </c>
      <c r="I67" s="61"/>
      <c r="J67" s="62"/>
      <c r="K67" s="29"/>
    </row>
    <row r="68" spans="1:11" ht="24" x14ac:dyDescent="0.2">
      <c r="A68" s="141" t="s">
        <v>276</v>
      </c>
      <c r="B68" s="144" t="s">
        <v>173</v>
      </c>
      <c r="C68" s="30">
        <v>26642.01455</v>
      </c>
      <c r="D68" s="30" t="s">
        <v>343</v>
      </c>
      <c r="E68" s="30">
        <f>IF(11041.94604="","-",11041.94604/1170176.53664*100)</f>
        <v>0.94361369368295667</v>
      </c>
      <c r="F68" s="30">
        <f>IF(26642.01455="","-",26642.01455/1331532.33197*100)</f>
        <v>2.0008537464939495</v>
      </c>
      <c r="G68" s="30">
        <f>IF(OR(1361213.47779="",13179.76632="",11041.94604=""),"-",(11041.94604-13179.76632)/1361213.47779*100)</f>
        <v>-0.15705253546790185</v>
      </c>
      <c r="H68" s="30">
        <f>IF(OR(1170176.53664="",26642.01455="",11041.94604=""),"-",(26642.01455-11041.94604)/1170176.53664*100)</f>
        <v>1.3331380370002492</v>
      </c>
      <c r="I68" s="61"/>
      <c r="J68" s="62"/>
      <c r="K68" s="29"/>
    </row>
    <row r="69" spans="1:11" x14ac:dyDescent="0.2">
      <c r="A69" s="141" t="s">
        <v>277</v>
      </c>
      <c r="B69" s="144" t="s">
        <v>33</v>
      </c>
      <c r="C69" s="30">
        <v>354.89370000000002</v>
      </c>
      <c r="D69" s="30">
        <f>IF(OR(260.48524="",354.8937=""),"-",354.8937/260.48524*100)</f>
        <v>136.24330499493945</v>
      </c>
      <c r="E69" s="30">
        <f>IF(260.48524="","-",260.48524/1170176.53664*100)</f>
        <v>2.2260336952913729E-2</v>
      </c>
      <c r="F69" s="30">
        <f>IF(354.8937="","-",354.8937/1331532.33197*100)</f>
        <v>2.6653029106318085E-2</v>
      </c>
      <c r="G69" s="30">
        <f>IF(OR(1361213.47779="",2763.07017="",260.48524=""),"-",(260.48524-2763.07017)/1361213.47779*100)</f>
        <v>-0.18384955562319844</v>
      </c>
      <c r="H69" s="30">
        <f>IF(OR(1170176.53664="",354.8937="",260.48524=""),"-",(354.8937-260.48524)/1170176.53664*100)</f>
        <v>8.0678818147457369E-3</v>
      </c>
      <c r="I69" s="61"/>
      <c r="J69" s="62"/>
      <c r="K69" s="29"/>
    </row>
    <row r="70" spans="1:11" x14ac:dyDescent="0.2">
      <c r="A70" s="140" t="s">
        <v>278</v>
      </c>
      <c r="B70" s="143" t="s">
        <v>34</v>
      </c>
      <c r="C70" s="27">
        <v>289680.31085000001</v>
      </c>
      <c r="D70" s="27">
        <f>IF(222331.20918="","-",289680.31085/222331.20918*100)</f>
        <v>130.29223918603077</v>
      </c>
      <c r="E70" s="27">
        <f>IF(222331.20918="","-",222331.20918/1170176.53664*100)</f>
        <v>18.999800647036839</v>
      </c>
      <c r="F70" s="27">
        <f>IF(289680.31085="","-",289680.31085/1331532.33197*100)</f>
        <v>21.755409455316677</v>
      </c>
      <c r="G70" s="27">
        <f>IF(1361213.47779="","-",(222331.20918-286001.69403)/1361213.47779*100)</f>
        <v>-4.6774797552968925</v>
      </c>
      <c r="H70" s="27">
        <f>IF(1170176.53664="","-",(289680.31085-222331.20918)/1170176.53664*100)</f>
        <v>5.7554650568694212</v>
      </c>
      <c r="I70" s="61"/>
      <c r="J70" s="62"/>
      <c r="K70" s="29"/>
    </row>
    <row r="71" spans="1:11" ht="36" x14ac:dyDescent="0.2">
      <c r="A71" s="141" t="s">
        <v>279</v>
      </c>
      <c r="B71" s="144" t="s">
        <v>199</v>
      </c>
      <c r="C71" s="30">
        <v>8529.5223100000003</v>
      </c>
      <c r="D71" s="30" t="s">
        <v>102</v>
      </c>
      <c r="E71" s="30">
        <f>IF(5390.95211="","-",5390.95211/1170176.53664*100)</f>
        <v>0.46069562507887679</v>
      </c>
      <c r="F71" s="30">
        <f>IF(8529.52231="","-",8529.52231/1331532.33197*100)</f>
        <v>0.64057943657895156</v>
      </c>
      <c r="G71" s="30">
        <f>IF(OR(1361213.47779="",4085.5266="",5390.95211=""),"-",(5390.95211-4085.5266)/1361213.47779*100)</f>
        <v>9.5901600395510739E-2</v>
      </c>
      <c r="H71" s="30">
        <f>IF(OR(1170176.53664="",8529.52231="",5390.95211=""),"-",(8529.52231-5390.95211)/1170176.53664*100)</f>
        <v>0.26821339359717211</v>
      </c>
      <c r="I71" s="58"/>
      <c r="J71" s="59"/>
      <c r="K71" s="26"/>
    </row>
    <row r="72" spans="1:11" x14ac:dyDescent="0.2">
      <c r="A72" s="141" t="s">
        <v>280</v>
      </c>
      <c r="B72" s="144" t="s">
        <v>174</v>
      </c>
      <c r="C72" s="30">
        <v>80444.549450000006</v>
      </c>
      <c r="D72" s="30" t="s">
        <v>368</v>
      </c>
      <c r="E72" s="30">
        <f>IF(53479.91649="","-",53479.91649/1170176.53664*100)</f>
        <v>4.5702434475023894</v>
      </c>
      <c r="F72" s="30">
        <f>IF(80444.54945="","-",80444.54945/1331532.33197*100)</f>
        <v>6.0415017734479211</v>
      </c>
      <c r="G72" s="30">
        <f>IF(OR(1361213.47779="",72036.48428="",53479.91649=""),"-",(53479.91649-72036.48428)/1361213.47779*100)</f>
        <v>-1.3632371477931253</v>
      </c>
      <c r="H72" s="30">
        <f>IF(OR(1170176.53664="",80444.54945="",53479.91649=""),"-",(80444.54945-53479.91649)/1170176.53664*100)</f>
        <v>2.3043217938231111</v>
      </c>
      <c r="I72" s="61"/>
      <c r="J72" s="62"/>
      <c r="K72" s="29"/>
    </row>
    <row r="73" spans="1:11" x14ac:dyDescent="0.2">
      <c r="A73" s="141" t="s">
        <v>281</v>
      </c>
      <c r="B73" s="144" t="s">
        <v>175</v>
      </c>
      <c r="C73" s="30">
        <v>7775.1463299999996</v>
      </c>
      <c r="D73" s="30">
        <f>IF(OR(6221.75319="",7775.14633=""),"-",7775.14633/6221.75319*100)</f>
        <v>124.96712891949349</v>
      </c>
      <c r="E73" s="30">
        <f>IF(6221.75319="","-",6221.75319/1170176.53664*100)</f>
        <v>0.53169355180073119</v>
      </c>
      <c r="F73" s="30">
        <f>IF(7775.14633="","-",7775.14633/1331532.33197*100)</f>
        <v>0.58392471165132609</v>
      </c>
      <c r="G73" s="30">
        <f>IF(OR(1361213.47779="",6628.61516="",6221.75319=""),"-",(6221.75319-6628.61516)/1361213.47779*100)</f>
        <v>-2.9889651890646959E-2</v>
      </c>
      <c r="H73" s="30">
        <f>IF(OR(1170176.53664="",7775.14633="",6221.75319=""),"-",(7775.14633-6221.75319)/1170176.53664*100)</f>
        <v>0.13274861453472248</v>
      </c>
      <c r="I73" s="61"/>
      <c r="J73" s="62"/>
      <c r="K73" s="29"/>
    </row>
    <row r="74" spans="1:11" x14ac:dyDescent="0.2">
      <c r="A74" s="141" t="s">
        <v>282</v>
      </c>
      <c r="B74" s="144" t="s">
        <v>176</v>
      </c>
      <c r="C74" s="30">
        <v>131433.75599999999</v>
      </c>
      <c r="D74" s="30">
        <f>IF(OR(105212.02939="",131433.756=""),"-",131433.756/105212.02939*100)</f>
        <v>124.9227457753916</v>
      </c>
      <c r="E74" s="30">
        <f>IF(105212.02939="","-",105212.02939/1170176.53664*100)</f>
        <v>8.991124509478011</v>
      </c>
      <c r="F74" s="30">
        <f>IF(131433.756="","-",131433.756/1331532.33197*100)</f>
        <v>9.8708647806954826</v>
      </c>
      <c r="G74" s="30">
        <f>IF(OR(1361213.47779="",141734.99003="",105212.02939=""),"-",(105212.02939-141734.99003)/1361213.47779*100)</f>
        <v>-2.6831177648414779</v>
      </c>
      <c r="H74" s="30">
        <f>IF(OR(1170176.53664="",131433.756="",105212.02939=""),"-",(131433.756-105212.02939)/1170176.53664*100)</f>
        <v>2.2408351038461305</v>
      </c>
      <c r="I74" s="61"/>
      <c r="J74" s="62"/>
      <c r="K74" s="29"/>
    </row>
    <row r="75" spans="1:11" x14ac:dyDescent="0.2">
      <c r="A75" s="141" t="s">
        <v>283</v>
      </c>
      <c r="B75" s="144" t="s">
        <v>177</v>
      </c>
      <c r="C75" s="30">
        <v>18332.260259999999</v>
      </c>
      <c r="D75" s="30">
        <f>IF(OR(14851.61307="",18332.26026=""),"-",18332.26026/14851.61307*100)</f>
        <v>123.43615588148364</v>
      </c>
      <c r="E75" s="30">
        <f>IF(14851.61307="","-",14851.61307/1170176.53664*100)</f>
        <v>1.2691771373782925</v>
      </c>
      <c r="F75" s="30">
        <f>IF(18332.26026="","-",18332.26026/1331532.33197*100)</f>
        <v>1.3767792054194772</v>
      </c>
      <c r="G75" s="30">
        <f>IF(OR(1361213.47779="",17149.31854="",14851.61307=""),"-",(14851.61307-17149.31854)/1361213.47779*100)</f>
        <v>-0.1687983191093908</v>
      </c>
      <c r="H75" s="30">
        <f>IF(OR(1170176.53664="",18332.26026="",14851.61307=""),"-",(18332.26026-14851.61307)/1170176.53664*100)</f>
        <v>0.29744633232812856</v>
      </c>
      <c r="I75" s="61"/>
      <c r="J75" s="62"/>
      <c r="K75" s="29"/>
    </row>
    <row r="76" spans="1:11" ht="24" x14ac:dyDescent="0.2">
      <c r="A76" s="141" t="s">
        <v>284</v>
      </c>
      <c r="B76" s="144" t="s">
        <v>200</v>
      </c>
      <c r="C76" s="30">
        <v>12044.10457</v>
      </c>
      <c r="D76" s="30">
        <f>IF(OR(8879.39213="",12044.10457=""),"-",12044.10457/8879.39213*100)</f>
        <v>135.64109337290861</v>
      </c>
      <c r="E76" s="30">
        <f>IF(8879.39213="","-",8879.39213/1170176.53664*100)</f>
        <v>0.75880791077010867</v>
      </c>
      <c r="F76" s="30">
        <f>IF(12044.10457="","-",12044.10457/1331532.33197*100)</f>
        <v>0.90452963708217027</v>
      </c>
      <c r="G76" s="30">
        <f>IF(OR(1361213.47779="",10607.87641="",8879.39213=""),"-",(8879.39213-10607.87641)/1361213.47779*100)</f>
        <v>-0.12698113177708786</v>
      </c>
      <c r="H76" s="30">
        <f>IF(OR(1170176.53664="",12044.10457="",8879.39213=""),"-",(12044.10457-8879.39213)/1170176.53664*100)</f>
        <v>0.27044743599859156</v>
      </c>
      <c r="I76" s="61"/>
      <c r="J76" s="62"/>
      <c r="K76" s="29"/>
    </row>
    <row r="77" spans="1:11" ht="24" x14ac:dyDescent="0.2">
      <c r="A77" s="141" t="s">
        <v>285</v>
      </c>
      <c r="B77" s="144" t="s">
        <v>178</v>
      </c>
      <c r="C77" s="30">
        <v>1557.4266500000001</v>
      </c>
      <c r="D77" s="30">
        <f>IF(OR(1483.85991="",1557.42665=""),"-",1557.42665/1483.85991*100)</f>
        <v>104.95779551049399</v>
      </c>
      <c r="E77" s="30">
        <f>IF(1483.85991="","-",1483.85991/1170176.53664*100)</f>
        <v>0.12680650000560584</v>
      </c>
      <c r="F77" s="30">
        <f>IF(1557.42665="","-",1557.42665/1331532.33197*100)</f>
        <v>0.11696498932893278</v>
      </c>
      <c r="G77" s="30">
        <f>IF(OR(1361213.47779="",1871.52418="",1483.85991=""),"-",(1483.85991-1871.52418)/1361213.47779*100)</f>
        <v>-2.8479314694223629E-2</v>
      </c>
      <c r="H77" s="30">
        <f>IF(OR(1170176.53664="",1557.42665="",1483.85991=""),"-",(1557.42665-1483.85991)/1170176.53664*100)</f>
        <v>6.2868069642924929E-3</v>
      </c>
      <c r="I77" s="61"/>
      <c r="J77" s="62"/>
      <c r="K77" s="29"/>
    </row>
    <row r="78" spans="1:11" ht="15.75" customHeight="1" x14ac:dyDescent="0.2">
      <c r="A78" s="141" t="s">
        <v>286</v>
      </c>
      <c r="B78" s="144" t="s">
        <v>35</v>
      </c>
      <c r="C78" s="30">
        <v>29563.545279999998</v>
      </c>
      <c r="D78" s="30">
        <f>IF(OR(26811.69289="",29563.54528=""),"-",29563.54528/26811.69289*100)</f>
        <v>110.26362789283762</v>
      </c>
      <c r="E78" s="30">
        <f>IF(26811.69289="","-",26811.69289/1170176.53664*100)</f>
        <v>2.2912519650228216</v>
      </c>
      <c r="F78" s="30">
        <f>IF(29563.54528="","-",29563.54528/1331532.33197*100)</f>
        <v>2.2202649211124132</v>
      </c>
      <c r="G78" s="30">
        <f>IF(OR(1361213.47779="",31887.35883="",26811.69289=""),"-",(26811.69289-31887.35883)/1361213.47779*100)</f>
        <v>-0.37287802558645006</v>
      </c>
      <c r="H78" s="30">
        <f>IF(OR(1170176.53664="",29563.54528="",26811.69289=""),"-",(29563.54528-26811.69289)/1170176.53664*100)</f>
        <v>0.23516557577727232</v>
      </c>
      <c r="I78" s="61"/>
      <c r="J78" s="62"/>
      <c r="K78" s="29"/>
    </row>
    <row r="79" spans="1:11" ht="24" x14ac:dyDescent="0.2">
      <c r="A79" s="64" t="s">
        <v>289</v>
      </c>
      <c r="B79" s="145" t="s">
        <v>179</v>
      </c>
      <c r="C79" s="65">
        <v>358.32461000000001</v>
      </c>
      <c r="D79" s="65" t="s">
        <v>341</v>
      </c>
      <c r="E79" s="65">
        <f>IF(187.21487="","-",187.21487/1170176.53664*100)</f>
        <v>1.5998856936369755E-2</v>
      </c>
      <c r="F79" s="65">
        <f>IF(358.32461="","-",358.32461/1331532.33197*100)</f>
        <v>2.691069539932683E-2</v>
      </c>
      <c r="G79" s="65">
        <f>IF(1361213.47779="","-",(187.21487-462.98741)/1361213.47779*100)</f>
        <v>-2.0259316007341547E-2</v>
      </c>
      <c r="H79" s="65">
        <f>IF(1170176.53664="","-",(358.32461-187.21487)/1170176.53664*100)</f>
        <v>1.4622557763063508E-2</v>
      </c>
      <c r="I79" s="61"/>
      <c r="J79" s="62"/>
      <c r="K79" s="29"/>
    </row>
    <row r="80" spans="1:11" x14ac:dyDescent="0.2">
      <c r="A80" s="1" t="s">
        <v>291</v>
      </c>
      <c r="B80" s="3"/>
      <c r="C80" s="3"/>
      <c r="D80" s="3"/>
      <c r="E80" s="3"/>
      <c r="I80" s="46"/>
      <c r="J80" s="46"/>
      <c r="K80" s="46"/>
    </row>
    <row r="81" spans="1:5" ht="13.5" x14ac:dyDescent="0.2">
      <c r="A81" s="2" t="s">
        <v>386</v>
      </c>
      <c r="B81" s="2"/>
      <c r="C81" s="2"/>
      <c r="D81" s="2"/>
      <c r="E81" s="2"/>
    </row>
  </sheetData>
  <mergeCells count="11">
    <mergeCell ref="A81:E81"/>
    <mergeCell ref="A4:A6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2:Q82"/>
  <sheetViews>
    <sheetView zoomScaleNormal="100" workbookViewId="0">
      <selection activeCell="I5" sqref="I5"/>
    </sheetView>
  </sheetViews>
  <sheetFormatPr defaultRowHeight="12" x14ac:dyDescent="0.2"/>
  <cols>
    <col min="1" max="1" width="5.75" style="7" customWidth="1"/>
    <col min="2" max="2" width="26" style="7" customWidth="1"/>
    <col min="3" max="3" width="12.625" style="7" customWidth="1"/>
    <col min="4" max="4" width="11.125" style="7" customWidth="1"/>
    <col min="5" max="5" width="7.625" style="7" customWidth="1"/>
    <col min="6" max="6" width="7.75" style="7" customWidth="1"/>
    <col min="7" max="7" width="8.625" style="7" customWidth="1"/>
    <col min="8" max="8" width="8.375" style="7" customWidth="1"/>
    <col min="9" max="10" width="9" style="7"/>
    <col min="11" max="11" width="10.125" style="7" bestFit="1" customWidth="1"/>
    <col min="12" max="16384" width="9" style="7"/>
  </cols>
  <sheetData>
    <row r="2" spans="1:17" ht="25.5" customHeight="1" x14ac:dyDescent="0.2">
      <c r="B2" s="146" t="s">
        <v>395</v>
      </c>
      <c r="C2" s="40"/>
      <c r="D2" s="40"/>
      <c r="E2" s="40"/>
      <c r="F2" s="40"/>
      <c r="G2" s="40"/>
      <c r="H2" s="40"/>
    </row>
    <row r="3" spans="1:17" x14ac:dyDescent="0.2">
      <c r="B3" s="41"/>
    </row>
    <row r="4" spans="1:17" ht="57" customHeight="1" x14ac:dyDescent="0.2">
      <c r="A4" s="67" t="s">
        <v>217</v>
      </c>
      <c r="B4" s="68"/>
      <c r="C4" s="69" t="s">
        <v>317</v>
      </c>
      <c r="D4" s="44"/>
      <c r="E4" s="69" t="s">
        <v>0</v>
      </c>
      <c r="F4" s="44"/>
      <c r="G4" s="45" t="s">
        <v>116</v>
      </c>
      <c r="H4" s="70"/>
    </row>
    <row r="5" spans="1:17" ht="19.5" customHeight="1" x14ac:dyDescent="0.2">
      <c r="A5" s="71"/>
      <c r="B5" s="72"/>
      <c r="C5" s="73" t="s">
        <v>107</v>
      </c>
      <c r="D5" s="42" t="s">
        <v>318</v>
      </c>
      <c r="E5" s="74" t="s">
        <v>319</v>
      </c>
      <c r="F5" s="74"/>
      <c r="G5" s="74" t="s">
        <v>389</v>
      </c>
      <c r="H5" s="69"/>
    </row>
    <row r="6" spans="1:17" ht="25.5" customHeight="1" x14ac:dyDescent="0.2">
      <c r="A6" s="75"/>
      <c r="B6" s="76"/>
      <c r="C6" s="77"/>
      <c r="D6" s="47"/>
      <c r="E6" s="78">
        <v>2020</v>
      </c>
      <c r="F6" s="78">
        <v>2021</v>
      </c>
      <c r="G6" s="78">
        <v>2020</v>
      </c>
      <c r="H6" s="49">
        <v>2021</v>
      </c>
    </row>
    <row r="7" spans="1:17" x14ac:dyDescent="0.2">
      <c r="A7" s="79"/>
      <c r="B7" s="142" t="s">
        <v>120</v>
      </c>
      <c r="C7" s="52">
        <v>3266364.9635600001</v>
      </c>
      <c r="D7" s="80">
        <f>IF(2393616.81978="","-",3266364.96356/2393616.81978*100)</f>
        <v>136.46148107616554</v>
      </c>
      <c r="E7" s="80">
        <v>100</v>
      </c>
      <c r="F7" s="80">
        <v>100</v>
      </c>
      <c r="G7" s="80">
        <f>IF(2808282.38613="","-",(2393616.81978-2808282.38613)/2808282.38613*100)</f>
        <v>-14.765807327568533</v>
      </c>
      <c r="H7" s="80">
        <f>IF(2393616.81978="","-",(3266364.96356-2393616.81978)/2393616.81978*100)</f>
        <v>36.461481076165533</v>
      </c>
      <c r="K7" s="54"/>
      <c r="L7" s="54"/>
      <c r="M7" s="54"/>
      <c r="N7" s="54"/>
      <c r="O7" s="54"/>
      <c r="P7" s="54"/>
      <c r="Q7" s="54"/>
    </row>
    <row r="8" spans="1:17" x14ac:dyDescent="0.2">
      <c r="A8" s="58" t="s">
        <v>218</v>
      </c>
      <c r="B8" s="143" t="s">
        <v>180</v>
      </c>
      <c r="C8" s="27">
        <v>375794.90265</v>
      </c>
      <c r="D8" s="60">
        <f>IF(316916.09093="","-",375794.90265/316916.09093*100)</f>
        <v>118.57867536710374</v>
      </c>
      <c r="E8" s="60">
        <f>IF(316916.09093="","-",316916.09093/2393616.81978*100)</f>
        <v>13.240051135633651</v>
      </c>
      <c r="F8" s="60">
        <f>IF(375794.90265="","-",375794.90265/3266364.96356*100)</f>
        <v>11.504988170104005</v>
      </c>
      <c r="G8" s="60">
        <f>IF(2808282.38613="","-",(316916.09093-299188.57464)/2808282.38613*100)</f>
        <v>0.63125832279387317</v>
      </c>
      <c r="H8" s="60">
        <f>IF(2393616.81978="","-",(375794.90265-316916.09093)/2393616.81978*100)</f>
        <v>2.459826118927908</v>
      </c>
    </row>
    <row r="9" spans="1:17" x14ac:dyDescent="0.2">
      <c r="A9" s="61" t="s">
        <v>219</v>
      </c>
      <c r="B9" s="144" t="s">
        <v>23</v>
      </c>
      <c r="C9" s="30">
        <v>2595.32069</v>
      </c>
      <c r="D9" s="63">
        <f>IF(OR(3639.08919="",2595.32069=""),"-",2595.32069/3639.08919*100)</f>
        <v>71.31786429230111</v>
      </c>
      <c r="E9" s="63">
        <f>IF(3639.08919="","-",3639.08919/2393616.81978*100)</f>
        <v>0.15203307229159899</v>
      </c>
      <c r="F9" s="63">
        <f>IF(2595.32069="","-",2595.32069/3266364.96356*100)</f>
        <v>7.9455930949350162E-2</v>
      </c>
      <c r="G9" s="63">
        <f>IF(OR(2808282.38613="",2451.59084="",3639.08919=""),"-",(3639.08919-2451.59084)/2808282.38613*100)</f>
        <v>4.2285574836241881E-2</v>
      </c>
      <c r="H9" s="63">
        <f>IF(OR(2393616.81978="",2595.32069="",3639.08919=""),"-",(2595.32069-3639.08919)/2393616.81978*100)</f>
        <v>-4.3606332115260375E-2</v>
      </c>
    </row>
    <row r="10" spans="1:17" x14ac:dyDescent="0.2">
      <c r="A10" s="61" t="s">
        <v>220</v>
      </c>
      <c r="B10" s="144" t="s">
        <v>181</v>
      </c>
      <c r="C10" s="30">
        <v>26695.857919999999</v>
      </c>
      <c r="D10" s="63">
        <f>IF(OR(17837.44954="",26695.85792=""),"-",26695.85792/17837.44954*100)</f>
        <v>149.66185530131565</v>
      </c>
      <c r="E10" s="63">
        <f>IF(17837.44954="","-",17837.44954/2393616.81978*100)</f>
        <v>0.74520906573673984</v>
      </c>
      <c r="F10" s="63">
        <f>IF(26695.85792="","-",26695.85792/3266364.96356*100)</f>
        <v>0.81729562427415559</v>
      </c>
      <c r="G10" s="63">
        <f>IF(OR(2808282.38613="",22339.37461="",17837.44954=""),"-",(17837.44954-22339.37461)/2808282.38613*100)</f>
        <v>-0.16030884544356488</v>
      </c>
      <c r="H10" s="63">
        <f>IF(OR(2393616.81978="",26695.85792="",17837.44954=""),"-",(26695.85792-17837.44954)/2393616.81978*100)</f>
        <v>0.37008464791846607</v>
      </c>
    </row>
    <row r="11" spans="1:17" s="33" customFormat="1" x14ac:dyDescent="0.2">
      <c r="A11" s="61" t="s">
        <v>221</v>
      </c>
      <c r="B11" s="144" t="s">
        <v>182</v>
      </c>
      <c r="C11" s="30">
        <v>43497.625240000001</v>
      </c>
      <c r="D11" s="63">
        <f>IF(OR(39418.26196="",43497.62524=""),"-",43497.62524/39418.26196*100)</f>
        <v>110.34891716976148</v>
      </c>
      <c r="E11" s="63">
        <f>IF(39418.26196="","-",39418.26196/2393616.81978*100)</f>
        <v>1.6468075271806863</v>
      </c>
      <c r="F11" s="63">
        <f>IF(43497.62524="","-",43497.62524/3266364.96356*100)</f>
        <v>1.3316829480252594</v>
      </c>
      <c r="G11" s="63">
        <f>IF(OR(2808282.38613="",29826.89672="",39418.26196=""),"-",(39418.26196-29826.89672)/2808282.38613*100)</f>
        <v>0.34153848941158454</v>
      </c>
      <c r="H11" s="63">
        <f>IF(OR(2393616.81978="",43497.62524="",39418.26196=""),"-",(43497.62524-39418.26196)/2393616.81978*100)</f>
        <v>0.17042674693332646</v>
      </c>
    </row>
    <row r="12" spans="1:17" s="33" customFormat="1" x14ac:dyDescent="0.2">
      <c r="A12" s="61" t="s">
        <v>222</v>
      </c>
      <c r="B12" s="144" t="s">
        <v>183</v>
      </c>
      <c r="C12" s="30">
        <v>33787.333740000002</v>
      </c>
      <c r="D12" s="63">
        <f>IF(OR(25686.31025="",33787.33374=""),"-",33787.33374/25686.31025*100)</f>
        <v>131.53829184166304</v>
      </c>
      <c r="E12" s="63">
        <f>IF(25686.31025="","-",25686.31025/2393616.81978*100)</f>
        <v>1.0731170518914075</v>
      </c>
      <c r="F12" s="63">
        <f>IF(33787.33374="","-",33787.33374/3266364.96356*100)</f>
        <v>1.0344016702645287</v>
      </c>
      <c r="G12" s="63">
        <f>IF(OR(2808282.38613="",25421.80047="",25686.31025=""),"-",(25686.31025-25421.80047)/2808282.38613*100)</f>
        <v>9.4189167480593864E-3</v>
      </c>
      <c r="H12" s="63">
        <f>IF(OR(2393616.81978="",33787.33374="",25686.31025=""),"-",(33787.33374-25686.31025)/2393616.81978*100)</f>
        <v>0.33844278762816249</v>
      </c>
    </row>
    <row r="13" spans="1:17" s="33" customFormat="1" ht="24" x14ac:dyDescent="0.2">
      <c r="A13" s="61" t="s">
        <v>223</v>
      </c>
      <c r="B13" s="144" t="s">
        <v>184</v>
      </c>
      <c r="C13" s="30">
        <v>55023.842729999997</v>
      </c>
      <c r="D13" s="63">
        <f>IF(OR(50087.81655="",55023.84273=""),"-",55023.84273/50087.81655*100)</f>
        <v>109.85474416732185</v>
      </c>
      <c r="E13" s="63">
        <f>IF(50087.81655="","-",50087.81655/2393616.81978*100)</f>
        <v>2.0925578453531934</v>
      </c>
      <c r="F13" s="63">
        <f>IF(55023.84273="","-",55023.84273/3266364.96356*100)</f>
        <v>1.6845589315294913</v>
      </c>
      <c r="G13" s="63">
        <f>IF(OR(2808282.38613="",43947.35028="",50087.81655=""),"-",(50087.81655-43947.35028)/2808282.38613*100)</f>
        <v>0.21865558464944745</v>
      </c>
      <c r="H13" s="63">
        <f>IF(OR(2393616.81978="",55023.84273="",50087.81655=""),"-",(55023.84273-50087.81655)/2393616.81978*100)</f>
        <v>0.20621622221277963</v>
      </c>
    </row>
    <row r="14" spans="1:17" s="33" customFormat="1" x14ac:dyDescent="0.2">
      <c r="A14" s="61" t="s">
        <v>224</v>
      </c>
      <c r="B14" s="144" t="s">
        <v>185</v>
      </c>
      <c r="C14" s="30">
        <v>101381.01555</v>
      </c>
      <c r="D14" s="63">
        <f>IF(OR(91797.37015="",101381.01555=""),"-",101381.01555/91797.37015*100)</f>
        <v>110.43999995243871</v>
      </c>
      <c r="E14" s="63">
        <f>IF(91797.37015="","-",91797.37015/2393616.81978*100)</f>
        <v>3.8350904535520938</v>
      </c>
      <c r="F14" s="63">
        <f>IF(101381.01555="","-",101381.01555/3266364.96356*100)</f>
        <v>3.1037871358840801</v>
      </c>
      <c r="G14" s="63">
        <f>IF(OR(2808282.38613="",92836.71171="",91797.37015=""),"-",(91797.37015-92836.71171)/2808282.38613*100)</f>
        <v>-3.7009866427011373E-2</v>
      </c>
      <c r="H14" s="63">
        <f>IF(OR(2393616.81978="",101381.01555="",91797.37015=""),"-",(101381.01555-91797.37015)/2393616.81978*100)</f>
        <v>0.40038344152682037</v>
      </c>
    </row>
    <row r="15" spans="1:17" s="33" customFormat="1" ht="24" x14ac:dyDescent="0.2">
      <c r="A15" s="61" t="s">
        <v>225</v>
      </c>
      <c r="B15" s="144" t="s">
        <v>143</v>
      </c>
      <c r="C15" s="30">
        <v>9666.38688</v>
      </c>
      <c r="D15" s="63">
        <f>IF(OR(8568.60403="",9666.38688=""),"-",9666.38688/8568.60403*100)</f>
        <v>112.81168841688208</v>
      </c>
      <c r="E15" s="63">
        <f>IF(8568.60403="","-",8568.60403/2393616.81978*100)</f>
        <v>0.35797726516592365</v>
      </c>
      <c r="F15" s="63">
        <f>IF(9666.38688="","-",9666.38688/3266364.96356*100)</f>
        <v>0.29593713463864241</v>
      </c>
      <c r="G15" s="63">
        <f>IF(OR(2808282.38613="",7689.98836="",8568.60403=""),"-",(8568.60403-7689.98836)/2808282.38613*100)</f>
        <v>3.1286585506480745E-2</v>
      </c>
      <c r="H15" s="63">
        <f>IF(OR(2393616.81978="",9666.38688="",8568.60403=""),"-",(9666.38688-8568.60403)/2393616.81978*100)</f>
        <v>4.586293181633383E-2</v>
      </c>
    </row>
    <row r="16" spans="1:17" s="33" customFormat="1" ht="24" x14ac:dyDescent="0.2">
      <c r="A16" s="61" t="s">
        <v>226</v>
      </c>
      <c r="B16" s="144" t="s">
        <v>186</v>
      </c>
      <c r="C16" s="30">
        <v>30214.298190000001</v>
      </c>
      <c r="D16" s="63">
        <f>IF(OR(24086.08012="",30214.29819=""),"-",30214.29819/24086.08012*100)</f>
        <v>125.44298632018337</v>
      </c>
      <c r="E16" s="63">
        <f>IF(24086.08012="","-",24086.08012/2393616.81978*100)</f>
        <v>1.0062629874991342</v>
      </c>
      <c r="F16" s="63">
        <f>IF(30214.29819="","-",30214.29819/3266364.96356*100)</f>
        <v>0.92501292804309099</v>
      </c>
      <c r="G16" s="63">
        <f>IF(OR(2808282.38613="",23986.23132="",24086.08012=""),"-",(24086.08012-23986.23132)/2808282.38613*100)</f>
        <v>3.555511386360189E-3</v>
      </c>
      <c r="H16" s="63">
        <f>IF(OR(2393616.81978="",30214.29819="",24086.08012=""),"-",(30214.29819-24086.08012)/2393616.81978*100)</f>
        <v>0.25602335425447315</v>
      </c>
    </row>
    <row r="17" spans="1:8" s="33" customFormat="1" ht="24" x14ac:dyDescent="0.2">
      <c r="A17" s="61" t="s">
        <v>227</v>
      </c>
      <c r="B17" s="144" t="s">
        <v>144</v>
      </c>
      <c r="C17" s="30">
        <v>24285.15036</v>
      </c>
      <c r="D17" s="63">
        <f>IF(OR(18414.38084="",24285.15036=""),"-",24285.15036/18414.38084*100)</f>
        <v>131.88143859416343</v>
      </c>
      <c r="E17" s="63">
        <f>IF(18414.38084="","-",18414.38084/2393616.81978*100)</f>
        <v>0.76931197541018648</v>
      </c>
      <c r="F17" s="63">
        <f>IF(24285.15036="","-",24285.15036/3266364.96356*100)</f>
        <v>0.74349163767455118</v>
      </c>
      <c r="G17" s="63">
        <f>IF(OR(2808282.38613="",16345.09126="",18414.38084=""),"-",(18414.38084-16345.09126)/2808282.38613*100)</f>
        <v>7.368523871460167E-2</v>
      </c>
      <c r="H17" s="63">
        <f>IF(OR(2393616.81978="",24285.15036="",18414.38084=""),"-",(24285.15036-18414.38084)/2393616.81978*100)</f>
        <v>0.24526772503794431</v>
      </c>
    </row>
    <row r="18" spans="1:8" s="33" customFormat="1" ht="24" x14ac:dyDescent="0.2">
      <c r="A18" s="61" t="s">
        <v>228</v>
      </c>
      <c r="B18" s="144" t="s">
        <v>187</v>
      </c>
      <c r="C18" s="30">
        <v>48648.071349999998</v>
      </c>
      <c r="D18" s="63">
        <f>IF(OR(37380.7283="",48648.07135=""),"-",48648.07135/37380.7283*100)</f>
        <v>130.14211750925139</v>
      </c>
      <c r="E18" s="63">
        <f>IF(37380.7283="","-",37380.7283/2393616.81978*100)</f>
        <v>1.5616838915526883</v>
      </c>
      <c r="F18" s="63">
        <f>IF(48648.07135="","-",48648.07135/3266364.96356*100)</f>
        <v>1.4893642288208551</v>
      </c>
      <c r="G18" s="63">
        <f>IF(OR(2808282.38613="",34343.53907="",37380.7283=""),"-",(37380.7283-34343.53907)/2808282.38613*100)</f>
        <v>0.10815113341167419</v>
      </c>
      <c r="H18" s="63">
        <f>IF(OR(2393616.81978="",48648.07135="",37380.7283=""),"-",(48648.07135-37380.7283)/2393616.81978*100)</f>
        <v>0.47072459371486164</v>
      </c>
    </row>
    <row r="19" spans="1:8" s="33" customFormat="1" x14ac:dyDescent="0.2">
      <c r="A19" s="58" t="s">
        <v>229</v>
      </c>
      <c r="B19" s="143" t="s">
        <v>188</v>
      </c>
      <c r="C19" s="27">
        <v>57275.756939999999</v>
      </c>
      <c r="D19" s="60">
        <f>IF(46767.95084="","-",57275.75694/46767.95084*100)</f>
        <v>122.4679634477652</v>
      </c>
      <c r="E19" s="60">
        <f>IF(46767.95084="","-",46767.95084/2393616.81978*100)</f>
        <v>1.9538612217931561</v>
      </c>
      <c r="F19" s="60">
        <f>IF(57275.75694="","-",57275.75694/3266364.96356*100)</f>
        <v>1.7535014482146338</v>
      </c>
      <c r="G19" s="60">
        <f>IF(2808282.38613="","-",(46767.95084-56688.19665)/2808282.38613*100)</f>
        <v>-0.35324958269851059</v>
      </c>
      <c r="H19" s="60">
        <f>IF(2393616.81978="","-",(57275.75694-46767.95084)/2393616.81978*100)</f>
        <v>0.43899282513254506</v>
      </c>
    </row>
    <row r="20" spans="1:8" s="33" customFormat="1" x14ac:dyDescent="0.2">
      <c r="A20" s="61" t="s">
        <v>230</v>
      </c>
      <c r="B20" s="144" t="s">
        <v>189</v>
      </c>
      <c r="C20" s="30">
        <v>35411.216939999998</v>
      </c>
      <c r="D20" s="63">
        <f>IF(OR(23776.18203="",35411.21694=""),"-",35411.21694/23776.18203*100)</f>
        <v>148.93567392493588</v>
      </c>
      <c r="E20" s="63">
        <f>IF(23776.18203="","-",23776.18203/2393616.81978*100)</f>
        <v>0.99331613287147991</v>
      </c>
      <c r="F20" s="63">
        <f>IF(35411.21694="","-",35411.21694/3266364.96356*100)</f>
        <v>1.0841169720791224</v>
      </c>
      <c r="G20" s="63">
        <f>IF(OR(2808282.38613="",29286.22466="",23776.18203=""),"-",(23776.18203-29286.22466)/2808282.38613*100)</f>
        <v>-0.19620685787205341</v>
      </c>
      <c r="H20" s="63">
        <f>IF(OR(2393616.81978="",35411.21694="",23776.18203=""),"-",(35411.21694-23776.18203)/2393616.81978*100)</f>
        <v>0.48608594382577019</v>
      </c>
    </row>
    <row r="21" spans="1:8" s="33" customFormat="1" x14ac:dyDescent="0.2">
      <c r="A21" s="61" t="s">
        <v>231</v>
      </c>
      <c r="B21" s="144" t="s">
        <v>190</v>
      </c>
      <c r="C21" s="30">
        <v>21864.54</v>
      </c>
      <c r="D21" s="63">
        <f>IF(OR(22991.76881="",21864.54=""),"-",21864.54/22991.76881*100)</f>
        <v>95.097250588611843</v>
      </c>
      <c r="E21" s="63">
        <f>IF(22991.76881="","-",22991.76881/2393616.81978*100)</f>
        <v>0.96054508892167623</v>
      </c>
      <c r="F21" s="63">
        <f>IF(21864.54="","-",21864.54/3266364.96356*100)</f>
        <v>0.66938447613551166</v>
      </c>
      <c r="G21" s="63">
        <f>IF(OR(2808282.38613="",27401.97199="",22991.76881=""),"-",(22991.76881-27401.97199)/2808282.38613*100)</f>
        <v>-0.15704272482645701</v>
      </c>
      <c r="H21" s="63">
        <f>IF(OR(2393616.81978="",21864.54="",22991.76881=""),"-",(21864.54-22991.76881)/2393616.81978*100)</f>
        <v>-4.7093118693225314E-2</v>
      </c>
    </row>
    <row r="22" spans="1:8" s="33" customFormat="1" ht="24" x14ac:dyDescent="0.2">
      <c r="A22" s="58" t="s">
        <v>232</v>
      </c>
      <c r="B22" s="143" t="s">
        <v>24</v>
      </c>
      <c r="C22" s="27">
        <v>105357.17690999999</v>
      </c>
      <c r="D22" s="60">
        <f>IF(75514.10935="","-",105357.17691/75514.10935*100)</f>
        <v>139.51985637767442</v>
      </c>
      <c r="E22" s="60">
        <f>IF(75514.10935="","-",75514.10935/2393616.81978*100)</f>
        <v>3.1548119450857044</v>
      </c>
      <c r="F22" s="60">
        <f>IF(105357.17691="","-",105357.17691/3266364.96356*100)</f>
        <v>3.2255176039842031</v>
      </c>
      <c r="G22" s="60">
        <f>IF(2808282.38613="","-",(75514.10935-82373.81292)/2808282.38613*100)</f>
        <v>-0.24426687301390393</v>
      </c>
      <c r="H22" s="60">
        <f>IF(2393616.81978="","-",(105357.17691-75514.10935)/2393616.81978*100)</f>
        <v>1.2467771496835867</v>
      </c>
    </row>
    <row r="23" spans="1:8" s="33" customFormat="1" ht="24" x14ac:dyDescent="0.2">
      <c r="A23" s="61" t="s">
        <v>233</v>
      </c>
      <c r="B23" s="144" t="s">
        <v>197</v>
      </c>
      <c r="C23" s="30">
        <v>14.63442</v>
      </c>
      <c r="D23" s="63" t="str">
        <f>IF(OR(""="",14.63442=""),"-",14.63442/""*100)</f>
        <v>-</v>
      </c>
      <c r="E23" s="63" t="str">
        <f>IF(""="","-",""/2393616.81978*100)</f>
        <v>-</v>
      </c>
      <c r="F23" s="63">
        <f>IF(14.63442="","-",14.63442/3266364.96356*100)</f>
        <v>4.4803382852998748E-4</v>
      </c>
      <c r="G23" s="63" t="str">
        <f>IF(OR(2808282.38613="",""="",""=""),"-",(""-"")/2808282.38613*100)</f>
        <v>-</v>
      </c>
      <c r="H23" s="63" t="str">
        <f>IF(OR(2393616.81978="",14.63442="",""=""),"-",(14.63442-"")/2393616.81978*100)</f>
        <v>-</v>
      </c>
    </row>
    <row r="24" spans="1:8" s="33" customFormat="1" x14ac:dyDescent="0.2">
      <c r="A24" s="61" t="s">
        <v>234</v>
      </c>
      <c r="B24" s="144" t="s">
        <v>191</v>
      </c>
      <c r="C24" s="30">
        <v>39013.283960000001</v>
      </c>
      <c r="D24" s="63">
        <f>IF(OR(27453.04116="",39013.28396=""),"-",39013.28396/27453.04116*100)</f>
        <v>142.10915188822017</v>
      </c>
      <c r="E24" s="63">
        <f>IF(27453.04116="","-",27453.04116/2393616.81978*100)</f>
        <v>1.1469271494559117</v>
      </c>
      <c r="F24" s="63">
        <f>IF(39013.28396="","-",39013.28396/3266364.96356*100)</f>
        <v>1.194394514857873</v>
      </c>
      <c r="G24" s="63">
        <f>IF(OR(2808282.38613="",25072.21105="",27453.04116=""),"-",(27453.04116-25072.21105)/2808282.38613*100)</f>
        <v>8.4778871304354173E-2</v>
      </c>
      <c r="H24" s="63">
        <f>IF(OR(2393616.81978="",39013.28396="",27453.04116=""),"-",(39013.28396-27453.04116)/2393616.81978*100)</f>
        <v>0.4829612954116238</v>
      </c>
    </row>
    <row r="25" spans="1:8" s="33" customFormat="1" ht="24" x14ac:dyDescent="0.2">
      <c r="A25" s="61" t="s">
        <v>287</v>
      </c>
      <c r="B25" s="144" t="s">
        <v>192</v>
      </c>
      <c r="C25" s="30">
        <v>1066.0415399999999</v>
      </c>
      <c r="D25" s="63" t="s">
        <v>102</v>
      </c>
      <c r="E25" s="63">
        <f>IF(652.67152="","-",652.67152/2393616.81978*100)</f>
        <v>2.7267168019816459E-2</v>
      </c>
      <c r="F25" s="63">
        <f>IF(1066.04154="","-",1066.04154/3266364.96356*100)</f>
        <v>3.263693897935168E-2</v>
      </c>
      <c r="G25" s="63">
        <f>IF(OR(2808282.38613="",706.78843="",652.67152=""),"-",(652.67152-706.78843)/2808282.38613*100)</f>
        <v>-1.92704659144256E-3</v>
      </c>
      <c r="H25" s="63">
        <f>IF(OR(2393616.81978="",1066.04154="",652.67152=""),"-",(1066.04154-652.67152)/2393616.81978*100)</f>
        <v>1.7269682289331224E-2</v>
      </c>
    </row>
    <row r="26" spans="1:8" s="33" customFormat="1" x14ac:dyDescent="0.2">
      <c r="A26" s="61" t="s">
        <v>235</v>
      </c>
      <c r="B26" s="144" t="s">
        <v>193</v>
      </c>
      <c r="C26" s="30">
        <v>19386.542839999998</v>
      </c>
      <c r="D26" s="63">
        <f>IF(OR(15735.93886="",19386.54284=""),"-",19386.54284/15735.93886*100)</f>
        <v>123.19914949135737</v>
      </c>
      <c r="E26" s="63">
        <f>IF(15735.93886="","-",15735.93886/2393616.81978*100)</f>
        <v>0.65741261215929736</v>
      </c>
      <c r="F26" s="63">
        <f>IF(19386.54284="","-",19386.54284/3266364.96356*100)</f>
        <v>0.59352041355693064</v>
      </c>
      <c r="G26" s="63">
        <f>IF(OR(2808282.38613="",17210.5515="",15735.93886=""),"-",(15735.93886-17210.5515)/2808282.38613*100)</f>
        <v>-5.2509414554713481E-2</v>
      </c>
      <c r="H26" s="63">
        <f>IF(OR(2393616.81978="",19386.54284="",15735.93886=""),"-",(19386.54284-15735.93886)/2393616.81978*100)</f>
        <v>0.1525141346698729</v>
      </c>
    </row>
    <row r="27" spans="1:8" s="33" customFormat="1" x14ac:dyDescent="0.2">
      <c r="A27" s="61" t="s">
        <v>236</v>
      </c>
      <c r="B27" s="144" t="s">
        <v>145</v>
      </c>
      <c r="C27" s="30">
        <v>262.95085</v>
      </c>
      <c r="D27" s="63">
        <f>IF(OR(187.27346="",262.95085=""),"-",262.95085/187.27346*100)</f>
        <v>140.41009868670125</v>
      </c>
      <c r="E27" s="63">
        <f>IF(187.27346="","-",187.27346/2393616.81978*100)</f>
        <v>7.8238696541751626E-3</v>
      </c>
      <c r="F27" s="63">
        <f>IF(262.95085="","-",262.95085/3266364.96356*100)</f>
        <v>8.0502593229328165E-3</v>
      </c>
      <c r="G27" s="63">
        <f>IF(OR(2808282.38613="",238.17438="",187.27346=""),"-",(187.27346-238.17438)/2808282.38613*100)</f>
        <v>-1.8125285495289834E-3</v>
      </c>
      <c r="H27" s="63">
        <f>IF(OR(2393616.81978="",262.95085="",187.27346=""),"-",(262.95085-187.27346)/2393616.81978*100)</f>
        <v>3.1616334483710556E-3</v>
      </c>
    </row>
    <row r="28" spans="1:8" s="33" customFormat="1" ht="36" x14ac:dyDescent="0.2">
      <c r="A28" s="61" t="s">
        <v>237</v>
      </c>
      <c r="B28" s="144" t="s">
        <v>146</v>
      </c>
      <c r="C28" s="30">
        <v>5004.3376200000002</v>
      </c>
      <c r="D28" s="63" t="s">
        <v>102</v>
      </c>
      <c r="E28" s="63">
        <f>IF(3135.27397="","-",3135.27397/2393616.81978*100)</f>
        <v>0.13098479021751555</v>
      </c>
      <c r="F28" s="63">
        <f>IF(5004.33762="","-",5004.33762/3266364.96356*100)</f>
        <v>0.15320815878902247</v>
      </c>
      <c r="G28" s="63">
        <f>IF(OR(2808282.38613="",3672.4226="",3135.27397=""),"-",(3135.27397-3672.4226)/2808282.38613*100)</f>
        <v>-1.9127301180713034E-2</v>
      </c>
      <c r="H28" s="63">
        <f>IF(OR(2393616.81978="",5004.33762="",3135.27397=""),"-",(5004.33762-3135.27397)/2393616.81978*100)</f>
        <v>7.8085332395507981E-2</v>
      </c>
    </row>
    <row r="29" spans="1:8" s="33" customFormat="1" ht="36" x14ac:dyDescent="0.2">
      <c r="A29" s="61" t="s">
        <v>238</v>
      </c>
      <c r="B29" s="144" t="s">
        <v>147</v>
      </c>
      <c r="C29" s="30">
        <v>9258.8847900000001</v>
      </c>
      <c r="D29" s="63">
        <f>IF(OR(6675.38641="",9258.88479=""),"-",9258.88479/6675.38641*100)</f>
        <v>138.7018551634676</v>
      </c>
      <c r="E29" s="63">
        <f>IF(6675.38641="","-",6675.38641/2393616.81978*100)</f>
        <v>0.27888283349435783</v>
      </c>
      <c r="F29" s="63">
        <f>IF(9258.88479="","-",9258.88479/3266364.96356*100)</f>
        <v>0.28346142863070556</v>
      </c>
      <c r="G29" s="63">
        <f>IF(OR(2808282.38613="",13698.07178="",6675.38641=""),"-",(6675.38641-13698.07178)/2808282.38613*100)</f>
        <v>-0.25007048453121294</v>
      </c>
      <c r="H29" s="63">
        <f>IF(OR(2393616.81978="",9258.88479="",6675.38641=""),"-",(9258.88479-6675.38641)/2393616.81978*100)</f>
        <v>0.10793283029476089</v>
      </c>
    </row>
    <row r="30" spans="1:8" s="33" customFormat="1" ht="24" x14ac:dyDescent="0.2">
      <c r="A30" s="61" t="s">
        <v>239</v>
      </c>
      <c r="B30" s="144" t="s">
        <v>148</v>
      </c>
      <c r="C30" s="30">
        <v>713.44268999999997</v>
      </c>
      <c r="D30" s="63">
        <f>IF(OR(715.77442="",713.44269=""),"-",713.44269/715.77442*100)</f>
        <v>99.674236751852632</v>
      </c>
      <c r="E30" s="63">
        <f>IF(715.77442="","-",715.77442/2393616.81978*100)</f>
        <v>2.9903467175075565E-2</v>
      </c>
      <c r="F30" s="63">
        <f>IF(713.44269="","-",713.44269/3266364.96356*100)</f>
        <v>2.1842099641627959E-2</v>
      </c>
      <c r="G30" s="63">
        <f>IF(OR(2808282.38613="",674.86985="",715.77442=""),"-",(715.77442-674.86985)/2808282.38613*100)</f>
        <v>1.4565689761836644E-3</v>
      </c>
      <c r="H30" s="63">
        <f>IF(OR(2393616.81978="",713.44269="",715.77442=""),"-",(713.44269-715.77442)/2393616.81978*100)</f>
        <v>-9.7414505978208536E-5</v>
      </c>
    </row>
    <row r="31" spans="1:8" s="33" customFormat="1" ht="24" x14ac:dyDescent="0.2">
      <c r="A31" s="61" t="s">
        <v>240</v>
      </c>
      <c r="B31" s="144" t="s">
        <v>149</v>
      </c>
      <c r="C31" s="30">
        <v>30637.058199999999</v>
      </c>
      <c r="D31" s="63">
        <f>IF(OR(20958.74955="",30637.0582=""),"-",30637.0582/20958.74955*100)</f>
        <v>146.17789160995056</v>
      </c>
      <c r="E31" s="63">
        <f>IF(20958.74955="","-",20958.74955/2393616.81978*100)</f>
        <v>0.8756100549095549</v>
      </c>
      <c r="F31" s="63">
        <f>IF(30637.0582="","-",30637.0582/3266364.96356*100)</f>
        <v>0.93795575637722894</v>
      </c>
      <c r="G31" s="63">
        <f>IF(OR(2808282.38613="",21100.72333="",20958.74955=""),"-",(20958.74955-21100.72333)/2808282.38613*100)</f>
        <v>-5.0555378868308741E-3</v>
      </c>
      <c r="H31" s="63">
        <f>IF(OR(2393616.81978="",30637.0582="",20958.74955=""),"-",(30637.0582-20958.74955)/2393616.81978*100)</f>
        <v>0.40433826208196272</v>
      </c>
    </row>
    <row r="32" spans="1:8" s="33" customFormat="1" ht="24" x14ac:dyDescent="0.2">
      <c r="A32" s="58" t="s">
        <v>241</v>
      </c>
      <c r="B32" s="143" t="s">
        <v>150</v>
      </c>
      <c r="C32" s="27">
        <v>389074.52123999997</v>
      </c>
      <c r="D32" s="60">
        <f>IF(306920.85099="","-",389074.52124/306920.85099*100)</f>
        <v>126.76705410694846</v>
      </c>
      <c r="E32" s="60">
        <f>IF(306920.85099="","-",306920.85099/2393616.81978*100)</f>
        <v>12.822472187432634</v>
      </c>
      <c r="F32" s="60">
        <f>IF(389074.52124="","-",389074.52124/3266364.96356*100)</f>
        <v>11.911544655314604</v>
      </c>
      <c r="G32" s="60">
        <f>IF(2808282.38613="","-",(306920.85099-455297.39898)/2808282.38613*100)</f>
        <v>-5.2835337615200704</v>
      </c>
      <c r="H32" s="60">
        <f>IF(2393616.81978="","-",(389074.52124-306920.85099)/2393616.81978*100)</f>
        <v>3.4321980682585109</v>
      </c>
    </row>
    <row r="33" spans="1:8" s="33" customFormat="1" x14ac:dyDescent="0.2">
      <c r="A33" s="61" t="s">
        <v>242</v>
      </c>
      <c r="B33" s="144" t="s">
        <v>194</v>
      </c>
      <c r="C33" s="30">
        <v>5539.8723600000003</v>
      </c>
      <c r="D33" s="63">
        <f>IF(OR(6748.59052="",5539.87236=""),"-",5539.87236/6748.59052*100)</f>
        <v>82.089324334942773</v>
      </c>
      <c r="E33" s="63">
        <f>IF(6748.59052="","-",6748.59052/2393616.81978*100)</f>
        <v>0.28194113879180838</v>
      </c>
      <c r="F33" s="63">
        <f>IF(5539.87236="","-",5539.87236/3266364.96356*100)</f>
        <v>0.16960359365237962</v>
      </c>
      <c r="G33" s="63">
        <f>IF(OR(2808282.38613="",8557.23921="",6748.59052=""),"-",(6748.59052-8557.23921)/2808282.38613*100)</f>
        <v>-6.4404089094916059E-2</v>
      </c>
      <c r="H33" s="63">
        <f>IF(OR(2393616.81978="",5539.87236="",6748.59052=""),"-",(5539.87236-6748.59052)/2393616.81978*100)</f>
        <v>-5.0497562935369673E-2</v>
      </c>
    </row>
    <row r="34" spans="1:8" s="33" customFormat="1" ht="24" x14ac:dyDescent="0.2">
      <c r="A34" s="61" t="s">
        <v>243</v>
      </c>
      <c r="B34" s="144" t="s">
        <v>151</v>
      </c>
      <c r="C34" s="30">
        <v>252298.63428999999</v>
      </c>
      <c r="D34" s="63">
        <f>IF(OR(178295.54237="",252298.63429=""),"-",252298.63429/178295.54237*100)</f>
        <v>141.50585647644982</v>
      </c>
      <c r="E34" s="63">
        <f>IF(178295.54237="","-",178295.54237/2393616.81978*100)</f>
        <v>7.4487921749475063</v>
      </c>
      <c r="F34" s="63">
        <f>IF(252298.63429="","-",252298.63429/3266364.96356*100)</f>
        <v>7.7241409672426986</v>
      </c>
      <c r="G34" s="63">
        <f>IF(OR(2808282.38613="",266282.32722="",178295.54237=""),"-",(178295.54237-266282.32722)/2808282.38613*100)</f>
        <v>-3.1331174273842031</v>
      </c>
      <c r="H34" s="63">
        <f>IF(OR(2393616.81978="",252298.63429="",178295.54237=""),"-",(252298.63429-178295.54237)/2393616.81978*100)</f>
        <v>3.0916849893627369</v>
      </c>
    </row>
    <row r="35" spans="1:8" s="33" customFormat="1" ht="24" x14ac:dyDescent="0.2">
      <c r="A35" s="61" t="s">
        <v>288</v>
      </c>
      <c r="B35" s="144" t="s">
        <v>195</v>
      </c>
      <c r="C35" s="30">
        <v>127670.48247</v>
      </c>
      <c r="D35" s="63">
        <f>IF(OR(113766.20818="",127670.48247=""),"-",127670.48247/113766.20818*100)</f>
        <v>112.22179635977739</v>
      </c>
      <c r="E35" s="63">
        <f>IF(113766.20818="","-",113766.20818/2393616.81978*100)</f>
        <v>4.7528997640673492</v>
      </c>
      <c r="F35" s="63">
        <f>IF(127670.48247="","-",127670.48247/3266364.96356*100)</f>
        <v>3.9086410702511447</v>
      </c>
      <c r="G35" s="63">
        <f>IF(OR(2808282.38613="",158696.34334="",113766.20818=""),"-",(113766.20818-158696.34334)/2808282.38613*100)</f>
        <v>-1.599915143217371</v>
      </c>
      <c r="H35" s="63">
        <f>IF(OR(2393616.81978="",127670.48247="",113766.20818=""),"-",(127670.48247-113766.20818)/2393616.81978*100)</f>
        <v>0.5808897303486511</v>
      </c>
    </row>
    <row r="36" spans="1:8" s="33" customFormat="1" x14ac:dyDescent="0.2">
      <c r="A36" s="61" t="s">
        <v>295</v>
      </c>
      <c r="B36" s="144" t="s">
        <v>297</v>
      </c>
      <c r="C36" s="30">
        <v>3565.5321199999998</v>
      </c>
      <c r="D36" s="63">
        <f>IF(OR(8110.50992="",3565.53212=""),"-",3565.53212/8110.50992*100)</f>
        <v>43.961873608065325</v>
      </c>
      <c r="E36" s="63">
        <f>IF(8110.50992="","-",8110.50992/2393616.81978*100)</f>
        <v>0.33883910962596958</v>
      </c>
      <c r="F36" s="63">
        <f>IF(3565.53212="","-",3565.53212/3266364.96356*100)</f>
        <v>0.1091590241683813</v>
      </c>
      <c r="G36" s="63">
        <f>IF(OR(2808282.38613="",21761.48921="",8110.50992=""),"-",(8110.50992-21761.48921)/2808282.38613*100)</f>
        <v>-0.48609710182357968</v>
      </c>
      <c r="H36" s="63">
        <f>IF(OR(2393616.81978="",3565.53212="",8110.50992=""),"-",(3565.53212-8110.50992)/2393616.81978*100)</f>
        <v>-0.18987908851750693</v>
      </c>
    </row>
    <row r="37" spans="1:8" s="33" customFormat="1" ht="24" x14ac:dyDescent="0.2">
      <c r="A37" s="58" t="s">
        <v>244</v>
      </c>
      <c r="B37" s="143" t="s">
        <v>152</v>
      </c>
      <c r="C37" s="27">
        <v>6781.6562400000003</v>
      </c>
      <c r="D37" s="60">
        <f>IF(4508.4006="","-",6781.65624/4508.4006*100)</f>
        <v>150.42266297276245</v>
      </c>
      <c r="E37" s="60">
        <f>IF(4508.4006="","-",4508.4006/2393616.81978*100)</f>
        <v>0.18835097425553568</v>
      </c>
      <c r="F37" s="60">
        <f>IF(6781.65624="","-",6781.65624/3266364.96356*100)</f>
        <v>0.20762089710295867</v>
      </c>
      <c r="G37" s="60">
        <f>IF(2808282.38613="","-",(4508.4006-5349.10877)/2808282.38613*100)</f>
        <v>-2.9936739059868964E-2</v>
      </c>
      <c r="H37" s="60">
        <f>IF(2393616.81978="","-",(6781.65624-4508.4006)/2393616.81978*100)</f>
        <v>9.4971576954783338E-2</v>
      </c>
    </row>
    <row r="38" spans="1:8" s="33" customFormat="1" ht="24" x14ac:dyDescent="0.2">
      <c r="A38" s="61" t="s">
        <v>245</v>
      </c>
      <c r="B38" s="144" t="s">
        <v>198</v>
      </c>
      <c r="C38" s="30">
        <v>795.35356999999999</v>
      </c>
      <c r="D38" s="63">
        <f>IF(OR(732.04199="",795.35357=""),"-",795.35357/732.04199*100)</f>
        <v>108.64862683628299</v>
      </c>
      <c r="E38" s="63">
        <f>IF(732.04199="","-",732.04199/2393616.81978*100)</f>
        <v>3.0583090156731222E-2</v>
      </c>
      <c r="F38" s="63">
        <f>IF(795.35357="","-",795.35357/3266364.96356*100)</f>
        <v>2.4349807167082359E-2</v>
      </c>
      <c r="G38" s="63">
        <f>IF(OR(2808282.38613="",677.82758="",732.04199=""),"-",(732.04199-677.82758)/2808282.38613*100)</f>
        <v>1.9305184645163518E-3</v>
      </c>
      <c r="H38" s="63">
        <f>IF(OR(2393616.81978="",795.35357="",732.04199=""),"-",(795.35357-732.04199)/2393616.81978*100)</f>
        <v>2.6450173426596731E-3</v>
      </c>
    </row>
    <row r="39" spans="1:8" s="33" customFormat="1" ht="24" x14ac:dyDescent="0.2">
      <c r="A39" s="61" t="s">
        <v>246</v>
      </c>
      <c r="B39" s="144" t="s">
        <v>153</v>
      </c>
      <c r="C39" s="30">
        <v>5051.7080400000004</v>
      </c>
      <c r="D39" s="63" t="s">
        <v>344</v>
      </c>
      <c r="E39" s="63">
        <f>IF(3017.21357="","-",3017.21357/2393616.81978*100)</f>
        <v>0.12605248864675489</v>
      </c>
      <c r="F39" s="63">
        <f>IF(5051.70804="","-",5051.70804/3266364.96356*100)</f>
        <v>0.15465840762920016</v>
      </c>
      <c r="G39" s="63">
        <f>IF(OR(2808282.38613="",3373.70589="",3017.21357=""),"-",(3017.21357-3373.70589)/2808282.38613*100)</f>
        <v>-1.2694318839184489E-2</v>
      </c>
      <c r="H39" s="63">
        <f>IF(OR(2393616.81978="",5051.70804="",3017.21357=""),"-",(5051.70804-3017.21357)/2393616.81978*100)</f>
        <v>8.4996665012865055E-2</v>
      </c>
    </row>
    <row r="40" spans="1:8" s="33" customFormat="1" ht="72" x14ac:dyDescent="0.2">
      <c r="A40" s="61" t="s">
        <v>247</v>
      </c>
      <c r="B40" s="144" t="s">
        <v>196</v>
      </c>
      <c r="C40" s="30">
        <v>934.59463000000005</v>
      </c>
      <c r="D40" s="63">
        <f>IF(OR(759.14504="",934.59463=""),"-",934.59463/759.14504*100)</f>
        <v>123.11147155753004</v>
      </c>
      <c r="E40" s="63">
        <f>IF(759.14504="","-",759.14504/2393616.81978*100)</f>
        <v>3.1715395452049586E-2</v>
      </c>
      <c r="F40" s="63">
        <f>IF(934.59463="","-",934.59463/3266364.96356*100)</f>
        <v>2.8612682306676122E-2</v>
      </c>
      <c r="G40" s="63">
        <f>IF(OR(2808282.38613="",1297.5753="",759.14504=""),"-",(759.14504-1297.5753)/2808282.38613*100)</f>
        <v>-1.9172938685200841E-2</v>
      </c>
      <c r="H40" s="63">
        <f>IF(OR(2393616.81978="",934.59463="",759.14504=""),"-",(934.59463-759.14504)/2393616.81978*100)</f>
        <v>7.3298945992586158E-3</v>
      </c>
    </row>
    <row r="41" spans="1:8" s="33" customFormat="1" ht="24" x14ac:dyDescent="0.2">
      <c r="A41" s="58" t="s">
        <v>248</v>
      </c>
      <c r="B41" s="143" t="s">
        <v>154</v>
      </c>
      <c r="C41" s="27">
        <v>500049.47063</v>
      </c>
      <c r="D41" s="60">
        <f>IF(407703.24126="","-",500049.47063/407703.24126*100)</f>
        <v>122.6503544795488</v>
      </c>
      <c r="E41" s="60">
        <f>IF(407703.24126="","-",407703.24126/2393616.81978*100)</f>
        <v>17.032936846486248</v>
      </c>
      <c r="F41" s="60">
        <f>IF(500049.47063="","-",500049.47063/3266364.96356*100)</f>
        <v>15.309050770768669</v>
      </c>
      <c r="G41" s="60">
        <f>IF(2808282.38613="","-",(407703.24126-423507.08596)/2808282.38613*100)</f>
        <v>-0.56275838847455673</v>
      </c>
      <c r="H41" s="60">
        <f>IF(2393616.81978="","-",(500049.47063-407703.24126)/2393616.81978*100)</f>
        <v>3.8580205740068143</v>
      </c>
    </row>
    <row r="42" spans="1:8" s="33" customFormat="1" x14ac:dyDescent="0.2">
      <c r="A42" s="61" t="s">
        <v>249</v>
      </c>
      <c r="B42" s="144" t="s">
        <v>25</v>
      </c>
      <c r="C42" s="30">
        <v>6155.2508900000003</v>
      </c>
      <c r="D42" s="63">
        <f>IF(OR(5461.98403="",6155.25089=""),"-",6155.25089/5461.98403*100)</f>
        <v>112.69258306491241</v>
      </c>
      <c r="E42" s="63">
        <f>IF(5461.98403="","-",5461.98403/2393616.81978*100)</f>
        <v>0.22818957424029199</v>
      </c>
      <c r="F42" s="63">
        <f>IF(6155.25089="","-",6155.25089/3266364.96356*100)</f>
        <v>0.1884434519310853</v>
      </c>
      <c r="G42" s="63">
        <f>IF(OR(2808282.38613="",10576.56015="",5461.98403=""),"-",(5461.98403-10576.56015)/2808282.38613*100)</f>
        <v>-0.18212470887047175</v>
      </c>
      <c r="H42" s="63">
        <f>IF(OR(2393616.81978="",6155.25089="",5461.98403=""),"-",(6155.25089-5461.98403)/2393616.81978*100)</f>
        <v>2.8963151255919046E-2</v>
      </c>
    </row>
    <row r="43" spans="1:8" s="33" customFormat="1" x14ac:dyDescent="0.2">
      <c r="A43" s="61" t="s">
        <v>250</v>
      </c>
      <c r="B43" s="144" t="s">
        <v>26</v>
      </c>
      <c r="C43" s="30">
        <v>7583.7682500000001</v>
      </c>
      <c r="D43" s="63">
        <f>IF(OR(7876.94744="",7583.76825=""),"-",7583.76825/7876.94744*100)</f>
        <v>96.27801007645165</v>
      </c>
      <c r="E43" s="63">
        <f>IF(7876.94744="","-",7876.94744/2393616.81978*100)</f>
        <v>0.32908138741789</v>
      </c>
      <c r="F43" s="63">
        <f>IF(7583.76825="","-",7583.76825/3266364.96356*100)</f>
        <v>0.2321776144002744</v>
      </c>
      <c r="G43" s="63">
        <f>IF(OR(2808282.38613="",8057.77891="",7876.94744=""),"-",(7876.94744-8057.77891)/2808282.38613*100)</f>
        <v>-6.4392196060168256E-3</v>
      </c>
      <c r="H43" s="63">
        <f>IF(OR(2393616.81978="",7583.76825="",7876.94744=""),"-",(7583.76825-7876.94744)/2393616.81978*100)</f>
        <v>-1.2248376079966979E-2</v>
      </c>
    </row>
    <row r="44" spans="1:8" s="33" customFormat="1" x14ac:dyDescent="0.2">
      <c r="A44" s="61" t="s">
        <v>251</v>
      </c>
      <c r="B44" s="144" t="s">
        <v>155</v>
      </c>
      <c r="C44" s="30">
        <v>22901.07591</v>
      </c>
      <c r="D44" s="63">
        <f>IF(OR(16761.08644="",22901.07591=""),"-",22901.07591/16761.08644*100)</f>
        <v>136.63240740377688</v>
      </c>
      <c r="E44" s="63">
        <f>IF(16761.08644="","-",16761.08644/2393616.81978*100)</f>
        <v>0.70024100355129226</v>
      </c>
      <c r="F44" s="63">
        <f>IF(22901.07591="","-",22901.07591/3266364.96356*100)</f>
        <v>0.70111809811479842</v>
      </c>
      <c r="G44" s="63">
        <f>IF(OR(2808282.38613="",17123.60962="",16761.08644=""),"-",(16761.08644-17123.60962)/2808282.38613*100)</f>
        <v>-1.2909071459141301E-2</v>
      </c>
      <c r="H44" s="63">
        <f>IF(OR(2393616.81978="",22901.07591="",16761.08644=""),"-",(22901.07591-16761.08644)/2393616.81978*100)</f>
        <v>0.25651513722920505</v>
      </c>
    </row>
    <row r="45" spans="1:8" s="33" customFormat="1" ht="24" x14ac:dyDescent="0.2">
      <c r="A45" s="61" t="s">
        <v>252</v>
      </c>
      <c r="B45" s="144" t="s">
        <v>156</v>
      </c>
      <c r="C45" s="30">
        <v>149793.79152999999</v>
      </c>
      <c r="D45" s="63">
        <f>IF(OR(118190.15938="",149793.79153=""),"-",149793.79153/118190.15938*100)</f>
        <v>126.73964762869075</v>
      </c>
      <c r="E45" s="63">
        <f>IF(118190.15938="","-",118190.15938/2393616.81978*100)</f>
        <v>4.9377226297592189</v>
      </c>
      <c r="F45" s="63">
        <f>IF(149793.79153="","-",149793.79153/3266364.96356*100)</f>
        <v>4.5859477799057773</v>
      </c>
      <c r="G45" s="63">
        <f>IF(OR(2808282.38613="",124072.08076="",118190.15938=""),"-",(118190.15938-124072.08076)/2808282.38613*100)</f>
        <v>-0.20944907139860955</v>
      </c>
      <c r="H45" s="63">
        <f>IF(OR(2393616.81978="",149793.79153="",118190.15938=""),"-",(149793.79153-118190.15938)/2393616.81978*100)</f>
        <v>1.3203296320797375</v>
      </c>
    </row>
    <row r="46" spans="1:8" s="33" customFormat="1" ht="48" x14ac:dyDescent="0.2">
      <c r="A46" s="61" t="s">
        <v>253</v>
      </c>
      <c r="B46" s="144" t="s">
        <v>157</v>
      </c>
      <c r="C46" s="30">
        <v>65224.716699999997</v>
      </c>
      <c r="D46" s="63">
        <f>IF(OR(50718.61225="",65224.7167=""),"-",65224.7167/50718.61225*100)</f>
        <v>128.60114621925604</v>
      </c>
      <c r="E46" s="63">
        <f>IF(50718.61225="","-",50718.61225/2393616.81978*100)</f>
        <v>2.1189110901494086</v>
      </c>
      <c r="F46" s="63">
        <f>IF(65224.7167="","-",65224.7167/3266364.96356*100)</f>
        <v>1.9968594271508413</v>
      </c>
      <c r="G46" s="63">
        <f>IF(OR(2808282.38613="",53836.83053="",50718.61225=""),"-",(50718.61225-53836.83053)/2808282.38613*100)</f>
        <v>-0.11103649317464521</v>
      </c>
      <c r="H46" s="63">
        <f>IF(OR(2393616.81978="",65224.7167="",50718.61225=""),"-",(65224.7167-50718.61225)/2393616.81978*100)</f>
        <v>0.6060328591496642</v>
      </c>
    </row>
    <row r="47" spans="1:8" s="33" customFormat="1" x14ac:dyDescent="0.2">
      <c r="A47" s="61" t="s">
        <v>254</v>
      </c>
      <c r="B47" s="144" t="s">
        <v>158</v>
      </c>
      <c r="C47" s="30">
        <v>40762.952440000001</v>
      </c>
      <c r="D47" s="63">
        <f>IF(OR(47773.96831="",40762.95244=""),"-",40762.95244/47773.96831*100)</f>
        <v>85.324610623705595</v>
      </c>
      <c r="E47" s="63">
        <f>IF(47773.96831="","-",47773.96831/2393616.81978*100)</f>
        <v>1.9958903996334283</v>
      </c>
      <c r="F47" s="63">
        <f>IF(40762.95244="","-",40762.95244/3266364.96356*100)</f>
        <v>1.2479607421325203</v>
      </c>
      <c r="G47" s="63">
        <f>IF(OR(2808282.38613="",45340.45542="",47773.96831=""),"-",(47773.96831-45340.45542)/2808282.38613*100)</f>
        <v>8.665485002573195E-2</v>
      </c>
      <c r="H47" s="63">
        <f>IF(OR(2393616.81978="",40762.95244="",47773.96831=""),"-",(40762.95244-47773.96831)/2393616.81978*100)</f>
        <v>-0.2929046876702841</v>
      </c>
    </row>
    <row r="48" spans="1:8" s="33" customFormat="1" ht="24" x14ac:dyDescent="0.2">
      <c r="A48" s="61" t="s">
        <v>255</v>
      </c>
      <c r="B48" s="144" t="s">
        <v>27</v>
      </c>
      <c r="C48" s="30">
        <v>31121.228279999999</v>
      </c>
      <c r="D48" s="63">
        <f>IF(OR(21676.17363="",31121.22828=""),"-",31121.22828/21676.17363*100)</f>
        <v>143.57344064142376</v>
      </c>
      <c r="E48" s="63">
        <f>IF(21676.17363="","-",21676.17363/2393616.81978*100)</f>
        <v>0.90558244121932108</v>
      </c>
      <c r="F48" s="63">
        <f>IF(31121.22828="","-",31121.22828/3266364.96356*100)</f>
        <v>0.95277865845343501</v>
      </c>
      <c r="G48" s="63">
        <f>IF(OR(2808282.38613="",25237.59214="",21676.17363=""),"-",(21676.17363-25237.59214)/2808282.38613*100)</f>
        <v>-0.1268183900447373</v>
      </c>
      <c r="H48" s="63">
        <f>IF(OR(2393616.81978="",31121.22828="",21676.17363=""),"-",(31121.22828-21676.17363)/2393616.81978*100)</f>
        <v>0.39459342748385701</v>
      </c>
    </row>
    <row r="49" spans="1:8" s="33" customFormat="1" x14ac:dyDescent="0.2">
      <c r="A49" s="61" t="s">
        <v>256</v>
      </c>
      <c r="B49" s="144" t="s">
        <v>28</v>
      </c>
      <c r="C49" s="30">
        <v>73237.079620000004</v>
      </c>
      <c r="D49" s="63">
        <f>IF(OR(50136.69356="",73237.07962=""),"-",73237.07962/50136.69356*100)</f>
        <v>146.07480952519361</v>
      </c>
      <c r="E49" s="63">
        <f>IF(50136.69356="","-",50136.69356/2393616.81978*100)</f>
        <v>2.0945998183873105</v>
      </c>
      <c r="F49" s="63">
        <f>IF(73237.07962="","-",73237.07962/3266364.96356*100)</f>
        <v>2.2421584984238612</v>
      </c>
      <c r="G49" s="63">
        <f>IF(OR(2808282.38613="",53298.79645="",50136.69356=""),"-",(50136.69356-53298.79645)/2808282.38613*100)</f>
        <v>-0.11259917825990393</v>
      </c>
      <c r="H49" s="63">
        <f>IF(OR(2393616.81978="",73237.07962="",50136.69356=""),"-",(73237.07962-50136.69356)/2393616.81978*100)</f>
        <v>0.96508287663700443</v>
      </c>
    </row>
    <row r="50" spans="1:8" s="33" customFormat="1" x14ac:dyDescent="0.2">
      <c r="A50" s="61" t="s">
        <v>257</v>
      </c>
      <c r="B50" s="144" t="s">
        <v>159</v>
      </c>
      <c r="C50" s="30">
        <v>103269.60701000001</v>
      </c>
      <c r="D50" s="63">
        <f>IF(OR(89107.61622="",103269.60701=""),"-",103269.60701/89107.61622*100)</f>
        <v>115.89313168813216</v>
      </c>
      <c r="E50" s="63">
        <f>IF(89107.61622="","-",89107.61622/2393616.81978*100)</f>
        <v>3.7227185021280884</v>
      </c>
      <c r="F50" s="63">
        <f>IF(103269.60701="","-",103269.60701/3266364.96356*100)</f>
        <v>3.1616065002560769</v>
      </c>
      <c r="G50" s="63">
        <f>IF(OR(2808282.38613="",85963.38198="",89107.61622=""),"-",(89107.61622-85963.38198)/2808282.38613*100)</f>
        <v>0.1119628943132373</v>
      </c>
      <c r="H50" s="63">
        <f>IF(OR(2393616.81978="",103269.60701="",89107.61622=""),"-",(103269.60701-89107.61622)/2393616.81978*100)</f>
        <v>0.59165655392167804</v>
      </c>
    </row>
    <row r="51" spans="1:8" s="33" customFormat="1" ht="24" x14ac:dyDescent="0.2">
      <c r="A51" s="58" t="s">
        <v>258</v>
      </c>
      <c r="B51" s="143" t="s">
        <v>323</v>
      </c>
      <c r="C51" s="27">
        <v>616694.82082999998</v>
      </c>
      <c r="D51" s="60">
        <f>IF(446226.57693="","-",616694.82083/446226.57693*100)</f>
        <v>138.20217188155996</v>
      </c>
      <c r="E51" s="60">
        <f>IF(446226.57693="","-",446226.57693/2393616.81978*100)</f>
        <v>18.642356338848469</v>
      </c>
      <c r="F51" s="60">
        <f>IF(616694.82083="","-",616694.82083/3266364.96356*100)</f>
        <v>18.880156617828352</v>
      </c>
      <c r="G51" s="60">
        <f>IF(2808282.38613="","-",(446226.57693-525763.46523)/2808282.38613*100)</f>
        <v>-2.8322254447355317</v>
      </c>
      <c r="H51" s="60">
        <f>IF(2393616.81978="","-",(616694.82083-446226.57693)/2393616.81978*100)</f>
        <v>7.1217850113397816</v>
      </c>
    </row>
    <row r="52" spans="1:8" s="33" customFormat="1" x14ac:dyDescent="0.2">
      <c r="A52" s="61" t="s">
        <v>259</v>
      </c>
      <c r="B52" s="144" t="s">
        <v>160</v>
      </c>
      <c r="C52" s="30">
        <v>28815.831330000001</v>
      </c>
      <c r="D52" s="63" t="s">
        <v>102</v>
      </c>
      <c r="E52" s="63">
        <f>IF(18552.03806="","-",18552.03806/2393616.81978*100)</f>
        <v>0.77506298864097789</v>
      </c>
      <c r="F52" s="63">
        <f>IF(28815.83133="","-",28815.83133/3266364.96356*100)</f>
        <v>0.88219876380849149</v>
      </c>
      <c r="G52" s="63">
        <f>IF(OR(2808282.38613="",25655.8899="",18552.03806=""),"-",(18552.03806-25655.8899)/2808282.38613*100)</f>
        <v>-0.25296073767672561</v>
      </c>
      <c r="H52" s="63">
        <f>IF(OR(2393616.81978="",28815.83133="",18552.03806=""),"-",(28815.83133-18552.03806)/2393616.81978*100)</f>
        <v>0.42879851048771278</v>
      </c>
    </row>
    <row r="53" spans="1:8" s="33" customFormat="1" x14ac:dyDescent="0.2">
      <c r="A53" s="61" t="s">
        <v>260</v>
      </c>
      <c r="B53" s="144" t="s">
        <v>29</v>
      </c>
      <c r="C53" s="30">
        <v>31044.060570000001</v>
      </c>
      <c r="D53" s="63">
        <f>IF(OR(24557.1228899999="",31044.06057=""),"-",31044.06057/24557.1228899999*100)</f>
        <v>126.41570720257991</v>
      </c>
      <c r="E53" s="63">
        <f>IF(24557.1228899999="","-",24557.1228899999/2393616.81978*100)</f>
        <v>1.0259421093246233</v>
      </c>
      <c r="F53" s="63">
        <f>IF(31044.06057="","-",31044.06057/3266364.96356*100)</f>
        <v>0.95041616342116253</v>
      </c>
      <c r="G53" s="63">
        <f>IF(OR(2808282.38613="",28661.84327="",24557.1228899999=""),"-",(24557.1228899999-28661.84327)/2808282.38613*100)</f>
        <v>-0.14616480166927509</v>
      </c>
      <c r="H53" s="63">
        <f>IF(OR(2393616.81978="",31044.06057="",24557.1228899999=""),"-",(31044.06057-24557.1228899999)/2393616.81978*100)</f>
        <v>0.27100986366716467</v>
      </c>
    </row>
    <row r="54" spans="1:8" s="33" customFormat="1" x14ac:dyDescent="0.2">
      <c r="A54" s="61" t="s">
        <v>261</v>
      </c>
      <c r="B54" s="144" t="s">
        <v>161</v>
      </c>
      <c r="C54" s="30">
        <v>49327.708509999997</v>
      </c>
      <c r="D54" s="63">
        <f>IF(OR(33918.99772="",49327.70851=""),"-",49327.70851/33918.99772*100)</f>
        <v>145.4279661126732</v>
      </c>
      <c r="E54" s="63">
        <f>IF(33918.99772="","-",33918.99772/2393616.81978*100)</f>
        <v>1.4170604684803949</v>
      </c>
      <c r="F54" s="63">
        <f>IF(49327.70851="","-",49327.70851/3266364.96356*100)</f>
        <v>1.5101713697124002</v>
      </c>
      <c r="G54" s="63">
        <f>IF(OR(2808282.38613="",39920.95491="",33918.99772=""),"-",(33918.99772-39920.95491)/2808282.38613*100)</f>
        <v>-0.21372342110762932</v>
      </c>
      <c r="H54" s="63">
        <f>IF(OR(2393616.81978="",49327.70851="",33918.99772=""),"-",(49327.70851-33918.99772)/2393616.81978*100)</f>
        <v>0.64374174941736206</v>
      </c>
    </row>
    <row r="55" spans="1:8" s="33" customFormat="1" ht="36" x14ac:dyDescent="0.2">
      <c r="A55" s="61" t="s">
        <v>262</v>
      </c>
      <c r="B55" s="144" t="s">
        <v>162</v>
      </c>
      <c r="C55" s="30">
        <v>52025.337979999997</v>
      </c>
      <c r="D55" s="63">
        <f>IF(OR(42886.18886="",52025.33798=""),"-",52025.33798/42886.18886*100)</f>
        <v>121.31023847755354</v>
      </c>
      <c r="E55" s="63">
        <f>IF(42886.18886="","-",42886.18886/2393616.81978*100)</f>
        <v>1.7916898187547714</v>
      </c>
      <c r="F55" s="63">
        <f>IF(52025.33798="","-",52025.33798/3266364.96356*100)</f>
        <v>1.5927594913734855</v>
      </c>
      <c r="G55" s="63">
        <f>IF(OR(2808282.38613="",50615.86993="",42886.18886=""),"-",(42886.18886-50615.86993)/2808282.38613*100)</f>
        <v>-0.27524586231700199</v>
      </c>
      <c r="H55" s="63">
        <f>IF(OR(2393616.81978="",52025.33798="",42886.18886=""),"-",(52025.33798-42886.18886)/2393616.81978*100)</f>
        <v>0.38181337315468827</v>
      </c>
    </row>
    <row r="56" spans="1:8" s="33" customFormat="1" ht="36" x14ac:dyDescent="0.2">
      <c r="A56" s="61" t="s">
        <v>263</v>
      </c>
      <c r="B56" s="144" t="s">
        <v>163</v>
      </c>
      <c r="C56" s="30">
        <v>159375.68358000001</v>
      </c>
      <c r="D56" s="63">
        <f>IF(OR(115037.8795="",159375.68358=""),"-",159375.68358/115037.8795*100)</f>
        <v>138.54191703872638</v>
      </c>
      <c r="E56" s="63">
        <f>IF(115037.8795="","-",115037.8795/2393616.81978*100)</f>
        <v>4.8060273703530063</v>
      </c>
      <c r="F56" s="63">
        <f>IF(159375.68358="","-",159375.68358/3266364.96356*100)</f>
        <v>4.879298099202515</v>
      </c>
      <c r="G56" s="63">
        <f>IF(OR(2808282.38613="",136962.65796="",115037.8795=""),"-",(115037.8795-136962.65796)/2808282.38613*100)</f>
        <v>-0.78071844086213205</v>
      </c>
      <c r="H56" s="63">
        <f>IF(OR(2393616.81978="",159375.68358="",115037.8795=""),"-",(159375.68358-115037.8795)/2393616.81978*100)</f>
        <v>1.8523350819399387</v>
      </c>
    </row>
    <row r="57" spans="1:8" s="33" customFormat="1" x14ac:dyDescent="0.2">
      <c r="A57" s="61" t="s">
        <v>264</v>
      </c>
      <c r="B57" s="144" t="s">
        <v>30</v>
      </c>
      <c r="C57" s="30">
        <v>75857.421000000002</v>
      </c>
      <c r="D57" s="63">
        <f>IF(OR(57315.32027="",75857.421=""),"-",75857.421/57315.32027*100)</f>
        <v>132.35103745848789</v>
      </c>
      <c r="E57" s="63">
        <f>IF(57315.32027="","-",57315.32027/2393616.81978*100)</f>
        <v>2.3945069150737295</v>
      </c>
      <c r="F57" s="63">
        <f>IF(75857.421="","-",75857.421/3266364.96356*100)</f>
        <v>2.3223804396102525</v>
      </c>
      <c r="G57" s="63">
        <f>IF(OR(2808282.38613="",59365.33963="",57315.32027=""),"-",(57315.32027-59365.33963)/2808282.38613*100)</f>
        <v>-7.2999046325432707E-2</v>
      </c>
      <c r="H57" s="63">
        <f>IF(OR(2393616.81978="",75857.421="",57315.32027=""),"-",(75857.421-57315.32027)/2393616.81978*100)</f>
        <v>0.77464782904158536</v>
      </c>
    </row>
    <row r="58" spans="1:8" s="33" customFormat="1" x14ac:dyDescent="0.2">
      <c r="A58" s="61" t="s">
        <v>265</v>
      </c>
      <c r="B58" s="144" t="s">
        <v>164</v>
      </c>
      <c r="C58" s="30">
        <v>82222.661529999998</v>
      </c>
      <c r="D58" s="63">
        <f>IF(OR(57980.7865699999="",82222.66153=""),"-",82222.66153/57980.7865699999*100)</f>
        <v>141.81018643259179</v>
      </c>
      <c r="E58" s="63">
        <f>IF(57980.7865699999="","-",57980.7865699999/2393616.81978*100)</f>
        <v>2.4223086206140958</v>
      </c>
      <c r="F58" s="63">
        <f>IF(82222.66153="","-",82222.66153/3266364.96356*100)</f>
        <v>2.5172527395832032</v>
      </c>
      <c r="G58" s="63">
        <f>IF(OR(2808282.38613="",61419.66162="",57980.7865699999=""),"-",(57980.7865699999-61419.66162)/2808282.38613*100)</f>
        <v>-0.12245474554071095</v>
      </c>
      <c r="H58" s="63">
        <f>IF(OR(2393616.81978="",82222.66153="",57980.7865699999=""),"-",(82222.66153-57980.7865699999)/2393616.81978*100)</f>
        <v>1.0127717502514957</v>
      </c>
    </row>
    <row r="59" spans="1:8" s="33" customFormat="1" x14ac:dyDescent="0.2">
      <c r="A59" s="61" t="s">
        <v>266</v>
      </c>
      <c r="B59" s="144" t="s">
        <v>31</v>
      </c>
      <c r="C59" s="30">
        <v>38517.192940000001</v>
      </c>
      <c r="D59" s="63">
        <f>IF(OR(29850.74417="",38517.19294=""),"-",38517.19294/29850.74417*100)</f>
        <v>129.03260542063734</v>
      </c>
      <c r="E59" s="63">
        <f>IF(29850.74417="","-",29850.74417/2393616.81978*100)</f>
        <v>1.2470978614172512</v>
      </c>
      <c r="F59" s="63">
        <f>IF(38517.19294="","-",38517.19294/3266364.96356*100)</f>
        <v>1.1792066523399223</v>
      </c>
      <c r="G59" s="63">
        <f>IF(OR(2808282.38613="",45232.8400499999="",29850.74417=""),"-",(29850.74417-45232.8400499999)/2808282.38613*100)</f>
        <v>-0.54774035388931974</v>
      </c>
      <c r="H59" s="63">
        <f>IF(OR(2393616.81978="",38517.19294="",29850.74417=""),"-",(38517.19294-29850.74417)/2393616.81978*100)</f>
        <v>0.36206500131447694</v>
      </c>
    </row>
    <row r="60" spans="1:8" s="33" customFormat="1" x14ac:dyDescent="0.2">
      <c r="A60" s="61" t="s">
        <v>267</v>
      </c>
      <c r="B60" s="144" t="s">
        <v>32</v>
      </c>
      <c r="C60" s="30">
        <v>99508.923389999996</v>
      </c>
      <c r="D60" s="63" t="s">
        <v>368</v>
      </c>
      <c r="E60" s="63">
        <f>IF(66127.49889="","-",66127.49889/2393616.81978*100)</f>
        <v>2.7626601861896116</v>
      </c>
      <c r="F60" s="63">
        <f>IF(99508.92339="","-",99508.92339/3266364.96356*100)</f>
        <v>3.0464728987769192</v>
      </c>
      <c r="G60" s="63">
        <f>IF(OR(2808282.38613="",77928.40796="",66127.49889=""),"-",(66127.49889-77928.40796)/2808282.38613*100)</f>
        <v>-0.42021803534730823</v>
      </c>
      <c r="H60" s="63">
        <f>IF(OR(2393616.81978="",99508.92339="",66127.49889=""),"-",(99508.92339-66127.49889)/2393616.81978*100)</f>
        <v>1.394601852065366</v>
      </c>
    </row>
    <row r="61" spans="1:8" s="33" customFormat="1" ht="24" x14ac:dyDescent="0.2">
      <c r="A61" s="58" t="s">
        <v>268</v>
      </c>
      <c r="B61" s="143" t="s">
        <v>165</v>
      </c>
      <c r="C61" s="27">
        <v>834729.08672000002</v>
      </c>
      <c r="D61" s="60" t="s">
        <v>368</v>
      </c>
      <c r="E61" s="60">
        <f>IF(552768.19786="","-",552768.19786/2393616.81978*100)</f>
        <v>23.093428876841095</v>
      </c>
      <c r="F61" s="60">
        <f>IF(834729.08672="","-",834729.08672/3266364.96356*100)</f>
        <v>25.555291464130566</v>
      </c>
      <c r="G61" s="60">
        <f>IF(2808282.38613="","-",(552768.19786-666845.29436)/2808282.38613*100)</f>
        <v>-4.0621661505061795</v>
      </c>
      <c r="H61" s="60">
        <f>IF(2393616.81978="","-",(834729.08672-552768.19786)/2393616.81978*100)</f>
        <v>11.779700348442379</v>
      </c>
    </row>
    <row r="62" spans="1:8" s="33" customFormat="1" ht="24" x14ac:dyDescent="0.2">
      <c r="A62" s="61" t="s">
        <v>269</v>
      </c>
      <c r="B62" s="144" t="s">
        <v>166</v>
      </c>
      <c r="C62" s="30">
        <v>13605.153480000001</v>
      </c>
      <c r="D62" s="63" t="s">
        <v>202</v>
      </c>
      <c r="E62" s="63">
        <f>IF(7565.09157="","-",7565.09157/2393616.81978*100)</f>
        <v>0.31605274108557257</v>
      </c>
      <c r="F62" s="63">
        <f>IF(13605.15348="","-",13605.15348/3266364.96356*100)</f>
        <v>0.4165227594522013</v>
      </c>
      <c r="G62" s="63">
        <f>IF(OR(2808282.38613="",8770.17993="",7565.09157=""),"-",(7565.09157-8770.17993)/2808282.38613*100)</f>
        <v>-4.2911936703797532E-2</v>
      </c>
      <c r="H62" s="63">
        <f>IF(OR(2393616.81978="",13605.15348="",7565.09157=""),"-",(13605.15348-7565.09157)/2393616.81978*100)</f>
        <v>0.2523403854822156</v>
      </c>
    </row>
    <row r="63" spans="1:8" s="33" customFormat="1" ht="24" x14ac:dyDescent="0.2">
      <c r="A63" s="61" t="s">
        <v>270</v>
      </c>
      <c r="B63" s="144" t="s">
        <v>167</v>
      </c>
      <c r="C63" s="30">
        <v>96479.634730000005</v>
      </c>
      <c r="D63" s="63">
        <f>IF(OR(78238.70511="",96479.63473=""),"-",96479.63473/78238.70511*100)</f>
        <v>123.31445745983922</v>
      </c>
      <c r="E63" s="63">
        <f>IF(78238.70511="","-",78238.70511/2393616.81978*100)</f>
        <v>3.2686395108633555</v>
      </c>
      <c r="F63" s="63">
        <f>IF(96479.63473="","-",96479.63473/3266364.96356*100)</f>
        <v>2.9537310069860405</v>
      </c>
      <c r="G63" s="63">
        <f>IF(OR(2808282.38613="",98997.53451="",78238.70511=""),"-",(78238.70511-98997.53451)/2808282.38613*100)</f>
        <v>-0.73920021371522582</v>
      </c>
      <c r="H63" s="63">
        <f>IF(OR(2393616.81978="",96479.63473="",78238.70511=""),"-",(96479.63473-78238.70511)/2393616.81978*100)</f>
        <v>0.76206556827573402</v>
      </c>
    </row>
    <row r="64" spans="1:8" s="33" customFormat="1" ht="24" x14ac:dyDescent="0.2">
      <c r="A64" s="61" t="s">
        <v>271</v>
      </c>
      <c r="B64" s="144" t="s">
        <v>168</v>
      </c>
      <c r="C64" s="30">
        <v>9371.7146499999999</v>
      </c>
      <c r="D64" s="63">
        <f>IF(OR(6737.57881="",9371.71465=""),"-",9371.71465/6737.57881*100)</f>
        <v>139.09617852766905</v>
      </c>
      <c r="E64" s="63">
        <f>IF(6737.57881="","-",6737.57881/2393616.81978*100)</f>
        <v>0.28148109397974813</v>
      </c>
      <c r="F64" s="63">
        <f>IF(9371.71465="","-",9371.71465/3266364.96356*100)</f>
        <v>0.28691572296886869</v>
      </c>
      <c r="G64" s="63">
        <f>IF(OR(2808282.38613="",4864.78195="",6737.57881=""),"-",(6737.57881-4864.78195)/2808282.38613*100)</f>
        <v>6.6688338368309147E-2</v>
      </c>
      <c r="H64" s="63">
        <f>IF(OR(2393616.81978="",9371.71465="",6737.57881=""),"-",(9371.71465-6737.57881)/2393616.81978*100)</f>
        <v>0.11004835102395823</v>
      </c>
    </row>
    <row r="65" spans="1:8" s="33" customFormat="1" ht="36" x14ac:dyDescent="0.2">
      <c r="A65" s="61" t="s">
        <v>272</v>
      </c>
      <c r="B65" s="144" t="s">
        <v>169</v>
      </c>
      <c r="C65" s="30">
        <v>118564.14434</v>
      </c>
      <c r="D65" s="63">
        <f>IF(OR(91761.5504="",118564.14434=""),"-",118564.14434/91761.5504*100)</f>
        <v>129.20895933336368</v>
      </c>
      <c r="E65" s="63">
        <f>IF(91761.5504="","-",91761.5504/2393616.81978*100)</f>
        <v>3.8335939838705637</v>
      </c>
      <c r="F65" s="63">
        <f>IF(118564.14434="","-",118564.14434/3266364.96356*100)</f>
        <v>3.6298498686679928</v>
      </c>
      <c r="G65" s="63">
        <f>IF(OR(2808282.38613="",92613.51564="",91761.5504=""),"-",(91761.5504-92613.51564)/2808282.38613*100)</f>
        <v>-3.0337591554461509E-2</v>
      </c>
      <c r="H65" s="63">
        <f>IF(OR(2393616.81978="",118564.14434="",91761.5504=""),"-",(118564.14434-91761.5504)/2393616.81978*100)</f>
        <v>1.1197529077550292</v>
      </c>
    </row>
    <row r="66" spans="1:8" s="33" customFormat="1" ht="36" x14ac:dyDescent="0.2">
      <c r="A66" s="61" t="s">
        <v>273</v>
      </c>
      <c r="B66" s="144" t="s">
        <v>170</v>
      </c>
      <c r="C66" s="30">
        <v>37523.458429999999</v>
      </c>
      <c r="D66" s="63" t="s">
        <v>202</v>
      </c>
      <c r="E66" s="63">
        <f>IF(20530.59668="","-",20530.59668/2393616.81978*100)</f>
        <v>0.85772277794601182</v>
      </c>
      <c r="F66" s="63">
        <f>IF(37523.45843="","-",37523.45843/3266364.96356*100)</f>
        <v>1.1487833983224982</v>
      </c>
      <c r="G66" s="63">
        <f>IF(OR(2808282.38613="",22105.35623="",20530.59668=""),"-",(20530.59668-22105.35623)/2808282.38613*100)</f>
        <v>-5.6075541326530413E-2</v>
      </c>
      <c r="H66" s="63">
        <f>IF(OR(2393616.81978="",37523.45843="",20530.59668=""),"-",(37523.45843-20530.59668)/2393616.81978*100)</f>
        <v>0.70992406176197542</v>
      </c>
    </row>
    <row r="67" spans="1:8" s="33" customFormat="1" ht="48" x14ac:dyDescent="0.2">
      <c r="A67" s="61" t="s">
        <v>274</v>
      </c>
      <c r="B67" s="144" t="s">
        <v>171</v>
      </c>
      <c r="C67" s="30">
        <v>88791.266990000004</v>
      </c>
      <c r="D67" s="63">
        <f>IF(OR(65237.62219="",88791.26699=""),"-",88791.26699/65237.62219*100)</f>
        <v>136.10438886230659</v>
      </c>
      <c r="E67" s="63">
        <f>IF(65237.62219="","-",65237.62219/2393616.81978*100)</f>
        <v>2.7254831120377934</v>
      </c>
      <c r="F67" s="63">
        <f>IF(88791.26699="","-",88791.26699/3266364.96356*100)</f>
        <v>2.7183510716214241</v>
      </c>
      <c r="G67" s="63">
        <f>IF(OR(2808282.38613="",71313.83309="",65237.62219=""),"-",(65237.62219-71313.83309)/2808282.38613*100)</f>
        <v>-0.21636751809612073</v>
      </c>
      <c r="H67" s="63">
        <f>IF(OR(2393616.81978="",88791.26699="",65237.62219=""),"-",(88791.26699-65237.62219)/2393616.81978*100)</f>
        <v>0.98401902114661954</v>
      </c>
    </row>
    <row r="68" spans="1:8" s="33" customFormat="1" ht="48" x14ac:dyDescent="0.2">
      <c r="A68" s="61" t="s">
        <v>275</v>
      </c>
      <c r="B68" s="144" t="s">
        <v>172</v>
      </c>
      <c r="C68" s="30">
        <v>261890.29913999999</v>
      </c>
      <c r="D68" s="63" t="s">
        <v>102</v>
      </c>
      <c r="E68" s="63">
        <f>IF(163403.18599="","-",163403.18599/2393616.81978*100)</f>
        <v>6.8266225671416603</v>
      </c>
      <c r="F68" s="63">
        <f>IF(261890.29914="","-",261890.29914/3266364.96356*100)</f>
        <v>8.0177904815194516</v>
      </c>
      <c r="G68" s="63">
        <f>IF(OR(2808282.38613="",206779.80816="",163403.18599=""),"-",(163403.18599-206779.80816)/2808282.38613*100)</f>
        <v>-1.5445961696813495</v>
      </c>
      <c r="H68" s="63">
        <f>IF(OR(2393616.81978="",261890.29914="",163403.18599=""),"-",(261890.29914-163403.18599)/2393616.81978*100)</f>
        <v>4.1145730735236077</v>
      </c>
    </row>
    <row r="69" spans="1:8" s="33" customFormat="1" ht="24" x14ac:dyDescent="0.2">
      <c r="A69" s="61" t="s">
        <v>276</v>
      </c>
      <c r="B69" s="144" t="s">
        <v>173</v>
      </c>
      <c r="C69" s="30">
        <v>207336.01008000001</v>
      </c>
      <c r="D69" s="63" t="s">
        <v>202</v>
      </c>
      <c r="E69" s="63">
        <f>IF(115445.81405="","-",115445.81405/2393616.81978*100)</f>
        <v>4.8230699707654443</v>
      </c>
      <c r="F69" s="63">
        <f>IF(207336.01008="","-",207336.01008/3266364.96356*100)</f>
        <v>6.3476069696150912</v>
      </c>
      <c r="G69" s="63">
        <f>IF(OR(2808282.38613="",158393.76015="",115445.81405=""),"-",(115445.81405-158393.76015)/2808282.38613*100)</f>
        <v>-1.5293314629653436</v>
      </c>
      <c r="H69" s="63">
        <f>IF(OR(2393616.81978="",207336.01008="",115445.81405=""),"-",(207336.01008-115445.81405)/2393616.81978*100)</f>
        <v>3.8389685128652187</v>
      </c>
    </row>
    <row r="70" spans="1:8" s="33" customFormat="1" x14ac:dyDescent="0.2">
      <c r="A70" s="61" t="s">
        <v>277</v>
      </c>
      <c r="B70" s="144" t="s">
        <v>33</v>
      </c>
      <c r="C70" s="30">
        <v>1167.40488</v>
      </c>
      <c r="D70" s="63">
        <f>IF(OR(3848.05306="",1167.40488=""),"-",1167.40488/3848.05306*100)</f>
        <v>30.337546333105912</v>
      </c>
      <c r="E70" s="63">
        <f>IF(3848.05306="","-",3848.05306/2393616.81978*100)</f>
        <v>0.16076311915094577</v>
      </c>
      <c r="F70" s="63">
        <f>IF(1167.40488="","-",1167.40488/3266364.96356*100)</f>
        <v>3.5740184976991961E-2</v>
      </c>
      <c r="G70" s="63">
        <f>IF(OR(2808282.38613="",3006.5247="",3848.05306=""),"-",(3848.05306-3006.5247)/2808282.38613*100)</f>
        <v>2.9965945168344783E-2</v>
      </c>
      <c r="H70" s="63">
        <f>IF(OR(2393616.81978="",1167.40488="",3848.05306=""),"-",(1167.40488-3848.05306)/2393616.81978*100)</f>
        <v>-0.11199153339198133</v>
      </c>
    </row>
    <row r="71" spans="1:8" s="33" customFormat="1" x14ac:dyDescent="0.2">
      <c r="A71" s="58" t="s">
        <v>278</v>
      </c>
      <c r="B71" s="143" t="s">
        <v>34</v>
      </c>
      <c r="C71" s="27">
        <v>380521.58633999998</v>
      </c>
      <c r="D71" s="60" t="s">
        <v>102</v>
      </c>
      <c r="E71" s="60">
        <f>IF(236113.88061="","-",236113.88061/2393616.81978*100)</f>
        <v>9.8643140647591814</v>
      </c>
      <c r="F71" s="60">
        <f>IF(380521.58634="","-",380521.58634/3266364.96356*100)</f>
        <v>11.649695933710689</v>
      </c>
      <c r="G71" s="60">
        <f>IF(2808282.38613="","-",(236113.88061-293128.63324)/2808282.38613*100)</f>
        <v>-2.0302357381007585</v>
      </c>
      <c r="H71" s="60">
        <f>IF(2393616.81978="","-",(380521.58634-236113.88061)/2393616.81978*100)</f>
        <v>6.0330335472522565</v>
      </c>
    </row>
    <row r="72" spans="1:8" ht="48" x14ac:dyDescent="0.2">
      <c r="A72" s="61" t="s">
        <v>279</v>
      </c>
      <c r="B72" s="144" t="s">
        <v>199</v>
      </c>
      <c r="C72" s="30">
        <v>30521.924640000001</v>
      </c>
      <c r="D72" s="63" t="s">
        <v>344</v>
      </c>
      <c r="E72" s="63">
        <f>IF(17930.33029="","-",17930.33029/2393616.81978*100)</f>
        <v>0.7490894173967243</v>
      </c>
      <c r="F72" s="63">
        <f>IF(30521.92464="","-",30521.92464/3266364.96356*100)</f>
        <v>0.93443093409666811</v>
      </c>
      <c r="G72" s="63">
        <f>IF(OR(2808282.38613="",20190.55228="",17930.33029=""),"-",(17930.33029-20190.55228)/2808282.38613*100)</f>
        <v>-8.0484142234525588E-2</v>
      </c>
      <c r="H72" s="63">
        <f>IF(OR(2393616.81978="",30521.92464="",17930.33029=""),"-",(30521.92464-17930.33029)/2393616.81978*100)</f>
        <v>0.52604887490543728</v>
      </c>
    </row>
    <row r="73" spans="1:8" x14ac:dyDescent="0.2">
      <c r="A73" s="61" t="s">
        <v>280</v>
      </c>
      <c r="B73" s="144" t="s">
        <v>174</v>
      </c>
      <c r="C73" s="30">
        <v>33629.883840000002</v>
      </c>
      <c r="D73" s="63" t="s">
        <v>102</v>
      </c>
      <c r="E73" s="63">
        <f>IF(20755.91831="","-",20755.91831/2393616.81978*100)</f>
        <v>0.86713621572510924</v>
      </c>
      <c r="F73" s="63">
        <f>IF(33629.88384="","-",33629.88384/3266364.96356*100)</f>
        <v>1.0295813301691465</v>
      </c>
      <c r="G73" s="63">
        <f>IF(OR(2808282.38613="",25173.37021="",20755.91831=""),"-",(20755.91831-25173.37021)/2808282.38613*100)</f>
        <v>-0.15730084416786672</v>
      </c>
      <c r="H73" s="63">
        <f>IF(OR(2393616.81978="",33629.88384="",20755.91831=""),"-",(33629.88384-20755.91831)/2393616.81978*100)</f>
        <v>0.53784571630739386</v>
      </c>
    </row>
    <row r="74" spans="1:8" x14ac:dyDescent="0.2">
      <c r="A74" s="61" t="s">
        <v>281</v>
      </c>
      <c r="B74" s="144" t="s">
        <v>175</v>
      </c>
      <c r="C74" s="30">
        <v>6078.9084899999998</v>
      </c>
      <c r="D74" s="63" t="s">
        <v>344</v>
      </c>
      <c r="E74" s="63">
        <f>IF(3609.58892="","-",3609.58892/2393616.81978*100)</f>
        <v>0.15080061646340542</v>
      </c>
      <c r="F74" s="63">
        <f>IF(6078.90849="","-",6078.90849/3266364.96356*100)</f>
        <v>0.1861062238242544</v>
      </c>
      <c r="G74" s="63">
        <f>IF(OR(2808282.38613="",4782.11778="",3609.58892=""),"-",(3609.58892-4782.11778)/2808282.38613*100)</f>
        <v>-4.1752526946402357E-2</v>
      </c>
      <c r="H74" s="63">
        <f>IF(OR(2393616.81978="",6078.90849="",3609.58892=""),"-",(6078.90849-3609.58892)/2393616.81978*100)</f>
        <v>0.10316269294209579</v>
      </c>
    </row>
    <row r="75" spans="1:8" x14ac:dyDescent="0.2">
      <c r="A75" s="61" t="s">
        <v>282</v>
      </c>
      <c r="B75" s="144" t="s">
        <v>176</v>
      </c>
      <c r="C75" s="30">
        <v>88654.598299999998</v>
      </c>
      <c r="D75" s="63" t="s">
        <v>344</v>
      </c>
      <c r="E75" s="63">
        <f>IF(53238.27236="","-",53238.27236/2393616.81978*100)</f>
        <v>2.2241768991618796</v>
      </c>
      <c r="F75" s="63">
        <f>IF(88654.5983="","-",88654.5983/3266364.96356*100)</f>
        <v>2.7141669497757426</v>
      </c>
      <c r="G75" s="63">
        <f>IF(OR(2808282.38613="",67873.84571="",53238.27236=""),"-",(53238.27236-67873.84571)/2808282.38613*100)</f>
        <v>-0.5211574670084651</v>
      </c>
      <c r="H75" s="63">
        <f>IF(OR(2393616.81978="",88654.5983="",53238.27236=""),"-",(88654.5983-53238.27236)/2393616.81978*100)</f>
        <v>1.4796155193818847</v>
      </c>
    </row>
    <row r="76" spans="1:8" x14ac:dyDescent="0.2">
      <c r="A76" s="61" t="s">
        <v>283</v>
      </c>
      <c r="B76" s="144" t="s">
        <v>177</v>
      </c>
      <c r="C76" s="30">
        <v>24629.43389</v>
      </c>
      <c r="D76" s="63">
        <f>IF(OR(18114.84107="",24629.43389=""),"-",24629.43389/18114.84107*100)</f>
        <v>135.96273792757049</v>
      </c>
      <c r="E76" s="63">
        <f>IF(18114.84107="","-",18114.84107/2393616.81978*100)</f>
        <v>0.75679786841007213</v>
      </c>
      <c r="F76" s="63">
        <f>IF(24629.43389="","-",24629.43389/3266364.96356*100)</f>
        <v>0.75403190288804911</v>
      </c>
      <c r="G76" s="63">
        <f>IF(OR(2808282.38613="",23580.79112="",18114.84107=""),"-",(18114.84107-23580.79112)/2808282.38613*100)</f>
        <v>-0.19463676719250611</v>
      </c>
      <c r="H76" s="63">
        <f>IF(OR(2393616.81978="",24629.43389="",18114.84107=""),"-",(24629.43389-18114.84107)/2393616.81978*100)</f>
        <v>0.27216523405775384</v>
      </c>
    </row>
    <row r="77" spans="1:8" ht="24" x14ac:dyDescent="0.2">
      <c r="A77" s="61" t="s">
        <v>284</v>
      </c>
      <c r="B77" s="144" t="s">
        <v>200</v>
      </c>
      <c r="C77" s="30">
        <v>48038.686240000003</v>
      </c>
      <c r="D77" s="63" t="s">
        <v>341</v>
      </c>
      <c r="E77" s="63">
        <f>IF(24669.19537="","-",24669.19537/2393616.81978*100)</f>
        <v>1.0306242488832182</v>
      </c>
      <c r="F77" s="63">
        <f>IF(48038.68624="","-",48038.68624/3266364.96356*100)</f>
        <v>1.470707859529659</v>
      </c>
      <c r="G77" s="63">
        <f>IF(OR(2808282.38613="",28981.79877="",24669.19537=""),"-",(24669.19537-28981.79877)/2808282.38613*100)</f>
        <v>-0.15356729869117808</v>
      </c>
      <c r="H77" s="63">
        <f>IF(OR(2393616.81978="",48038.68624="",24669.19537=""),"-",(48038.68624-24669.19537)/2393616.81978*100)</f>
        <v>0.97632547853452656</v>
      </c>
    </row>
    <row r="78" spans="1:8" ht="36" x14ac:dyDescent="0.2">
      <c r="A78" s="61" t="s">
        <v>285</v>
      </c>
      <c r="B78" s="144" t="s">
        <v>178</v>
      </c>
      <c r="C78" s="30">
        <v>9333.6165899999996</v>
      </c>
      <c r="D78" s="63" t="s">
        <v>341</v>
      </c>
      <c r="E78" s="63">
        <f>IF(5006.9134="","-",5006.9134/2393616.81978*100)</f>
        <v>0.2091777329865267</v>
      </c>
      <c r="F78" s="63">
        <f>IF(9333.61659="","-",9333.61659/3266364.96356*100)</f>
        <v>0.2857493481018521</v>
      </c>
      <c r="G78" s="63">
        <f>IF(OR(2808282.38613="",5743.50752="",5006.9134=""),"-",(5006.9134-5743.50752)/2808282.38613*100)</f>
        <v>-2.6229346579888478E-2</v>
      </c>
      <c r="H78" s="63">
        <f>IF(OR(2393616.81978="",9333.61659="",5006.9134=""),"-",(9333.61659-5006.9134)/2393616.81978*100)</f>
        <v>0.18076005959874861</v>
      </c>
    </row>
    <row r="79" spans="1:8" x14ac:dyDescent="0.2">
      <c r="A79" s="61" t="s">
        <v>286</v>
      </c>
      <c r="B79" s="144" t="s">
        <v>35</v>
      </c>
      <c r="C79" s="30">
        <v>139634.53435</v>
      </c>
      <c r="D79" s="63" t="s">
        <v>368</v>
      </c>
      <c r="E79" s="63">
        <f>IF(92788.82089="","-",92788.82089/2393616.81978*100)</f>
        <v>3.8765110657322475</v>
      </c>
      <c r="F79" s="63">
        <f>IF(139634.53435="","-",139634.53435/3266364.96356*100)</f>
        <v>4.2749213853253192</v>
      </c>
      <c r="G79" s="63">
        <f>IF(OR(2808282.38613="",116802.64985="",92788.82089=""),"-",(92788.82089-116802.64985)/2808282.38613*100)</f>
        <v>-0.85510734527992571</v>
      </c>
      <c r="H79" s="63">
        <f>IF(OR(2393616.81978="",139634.53435="",92788.82089=""),"-",(139634.53435-92788.82089)/2393616.81978*100)</f>
        <v>1.9571099715244165</v>
      </c>
    </row>
    <row r="80" spans="1:8" ht="24" x14ac:dyDescent="0.2">
      <c r="A80" s="64" t="s">
        <v>289</v>
      </c>
      <c r="B80" s="145" t="s">
        <v>179</v>
      </c>
      <c r="C80" s="65">
        <v>85.985060000000004</v>
      </c>
      <c r="D80" s="66">
        <f>IF(177.52041="","-",85.98506/177.52041*100)</f>
        <v>48.436717783605843</v>
      </c>
      <c r="E80" s="66">
        <f>IF(177.52041="","-",177.52041/2393616.81978*100)</f>
        <v>7.4164088643192318E-3</v>
      </c>
      <c r="F80" s="66">
        <f>IF(85.98506="","-",85.98506/3266364.96356*100)</f>
        <v>2.6324388413193479E-3</v>
      </c>
      <c r="G80" s="66">
        <f>IF(2808282.38613="","-",(177.52041-140.81538)/2808282.38613*100)</f>
        <v>1.3070277469703453E-3</v>
      </c>
      <c r="H80" s="66">
        <f>IF(2393616.81978="","-",(85.98506-177.52041)/2393616.81978*100)</f>
        <v>-3.824143833030598E-3</v>
      </c>
    </row>
    <row r="81" spans="1:5" x14ac:dyDescent="0.2">
      <c r="A81" s="1" t="s">
        <v>291</v>
      </c>
      <c r="B81" s="3"/>
      <c r="C81" s="3"/>
      <c r="D81" s="3"/>
      <c r="E81" s="3"/>
    </row>
    <row r="82" spans="1:5" ht="13.5" x14ac:dyDescent="0.2">
      <c r="A82" s="2" t="s">
        <v>386</v>
      </c>
      <c r="B82" s="2"/>
      <c r="C82" s="2"/>
      <c r="D82" s="2"/>
      <c r="E82" s="2"/>
    </row>
  </sheetData>
  <mergeCells count="11">
    <mergeCell ref="A82:E82"/>
    <mergeCell ref="A4:A6"/>
    <mergeCell ref="B2:H2"/>
    <mergeCell ref="B4:B6"/>
    <mergeCell ref="C4:D4"/>
    <mergeCell ref="E4:F4"/>
    <mergeCell ref="G4:H4"/>
    <mergeCell ref="C5:C6"/>
    <mergeCell ref="D5:D6"/>
    <mergeCell ref="E5:F5"/>
    <mergeCell ref="G5:H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2:G81"/>
  <sheetViews>
    <sheetView zoomScale="99" zoomScaleNormal="99" workbookViewId="0">
      <selection activeCell="C11" sqref="C11"/>
    </sheetView>
  </sheetViews>
  <sheetFormatPr defaultRowHeight="12" x14ac:dyDescent="0.2"/>
  <cols>
    <col min="1" max="1" width="7" style="7" customWidth="1"/>
    <col min="2" max="2" width="35.25" style="7" customWidth="1"/>
    <col min="3" max="3" width="13.875" style="7" customWidth="1"/>
    <col min="4" max="4" width="14.125" style="7" customWidth="1"/>
    <col min="5" max="5" width="16.25" style="7" customWidth="1"/>
    <col min="6" max="6" width="9" style="7"/>
    <col min="7" max="7" width="12.125" style="7" bestFit="1" customWidth="1"/>
    <col min="8" max="16384" width="9" style="7"/>
  </cols>
  <sheetData>
    <row r="2" spans="1:7" ht="24.75" customHeight="1" x14ac:dyDescent="0.2">
      <c r="B2" s="146" t="s">
        <v>396</v>
      </c>
      <c r="C2" s="40"/>
      <c r="D2" s="40"/>
      <c r="E2" s="40"/>
    </row>
    <row r="3" spans="1:7" x14ac:dyDescent="0.2">
      <c r="B3" s="41"/>
    </row>
    <row r="4" spans="1:7" x14ac:dyDescent="0.2">
      <c r="A4" s="42" t="s">
        <v>290</v>
      </c>
      <c r="B4" s="42"/>
      <c r="C4" s="43" t="s">
        <v>321</v>
      </c>
      <c r="D4" s="44"/>
      <c r="E4" s="45" t="s">
        <v>324</v>
      </c>
      <c r="F4" s="46"/>
    </row>
    <row r="5" spans="1:7" ht="21.75" customHeight="1" x14ac:dyDescent="0.2">
      <c r="A5" s="47"/>
      <c r="B5" s="47"/>
      <c r="C5" s="48">
        <v>2020</v>
      </c>
      <c r="D5" s="49">
        <v>2021</v>
      </c>
      <c r="E5" s="50"/>
      <c r="F5" s="46"/>
    </row>
    <row r="6" spans="1:7" x14ac:dyDescent="0.2">
      <c r="A6" s="51"/>
      <c r="B6" s="142" t="s">
        <v>298</v>
      </c>
      <c r="C6" s="52">
        <v>-1223440.28314</v>
      </c>
      <c r="D6" s="52">
        <v>-1934832.6315899999</v>
      </c>
      <c r="E6" s="53" t="s">
        <v>102</v>
      </c>
      <c r="G6" s="54"/>
    </row>
    <row r="7" spans="1:7" x14ac:dyDescent="0.2">
      <c r="A7" s="51"/>
      <c r="B7" s="147" t="s">
        <v>124</v>
      </c>
      <c r="C7" s="55"/>
      <c r="D7" s="56"/>
      <c r="E7" s="57"/>
    </row>
    <row r="8" spans="1:7" x14ac:dyDescent="0.2">
      <c r="A8" s="58" t="s">
        <v>218</v>
      </c>
      <c r="B8" s="143" t="s">
        <v>180</v>
      </c>
      <c r="C8" s="27">
        <v>3377.6393600000001</v>
      </c>
      <c r="D8" s="27">
        <v>-145561.80546</v>
      </c>
      <c r="E8" s="60" t="s">
        <v>22</v>
      </c>
    </row>
    <row r="9" spans="1:7" x14ac:dyDescent="0.2">
      <c r="A9" s="61" t="s">
        <v>219</v>
      </c>
      <c r="B9" s="144" t="s">
        <v>23</v>
      </c>
      <c r="C9" s="30">
        <v>2831.4473899999998</v>
      </c>
      <c r="D9" s="30">
        <v>3770.4438500000001</v>
      </c>
      <c r="E9" s="63">
        <f>IF(OR(2831.44739="",3770.44385="",2831.44739=0,3770.44385=0),"-",3770.44385/2831.44739*100)</f>
        <v>133.16312580330163</v>
      </c>
    </row>
    <row r="10" spans="1:7" x14ac:dyDescent="0.2">
      <c r="A10" s="61" t="s">
        <v>220</v>
      </c>
      <c r="B10" s="144" t="s">
        <v>181</v>
      </c>
      <c r="C10" s="30">
        <v>-16126.709559999999</v>
      </c>
      <c r="D10" s="30">
        <v>-23541.19658</v>
      </c>
      <c r="E10" s="63">
        <f>IF(OR(-16126.70956="",-23541.19658="",-16126.70956=0,-23541.19658=0),"-",-23541.19658/-16126.70956*100)</f>
        <v>145.97644046613561</v>
      </c>
    </row>
    <row r="11" spans="1:7" x14ac:dyDescent="0.2">
      <c r="A11" s="61" t="s">
        <v>221</v>
      </c>
      <c r="B11" s="144" t="s">
        <v>182</v>
      </c>
      <c r="C11" s="30">
        <v>-34626.728419999999</v>
      </c>
      <c r="D11" s="30">
        <v>-38444.623540000001</v>
      </c>
      <c r="E11" s="63">
        <f>IF(OR(-34626.72842="",-38444.62354="",-34626.72842=0,-38444.62354=0),"-",-38444.62354/-34626.72842*100)</f>
        <v>111.02586150701671</v>
      </c>
    </row>
    <row r="12" spans="1:7" x14ac:dyDescent="0.2">
      <c r="A12" s="61" t="s">
        <v>222</v>
      </c>
      <c r="B12" s="144" t="s">
        <v>183</v>
      </c>
      <c r="C12" s="30">
        <v>-25683.356660000001</v>
      </c>
      <c r="D12" s="30">
        <v>-33747.84186</v>
      </c>
      <c r="E12" s="63">
        <f>IF(OR(-25683.35666="",-33747.84186="",-25683.35666=0,-33747.84186=0),"-",-33747.84186/-25683.35666*100)</f>
        <v>131.39965428490839</v>
      </c>
    </row>
    <row r="13" spans="1:7" x14ac:dyDescent="0.2">
      <c r="A13" s="61" t="s">
        <v>223</v>
      </c>
      <c r="B13" s="144" t="s">
        <v>184</v>
      </c>
      <c r="C13" s="30">
        <v>62225.764340000002</v>
      </c>
      <c r="D13" s="30">
        <v>4010.2673599999998</v>
      </c>
      <c r="E13" s="63">
        <f>IF(OR(62225.76434="",4010.26736="",62225.76434=0,4010.26736=0),"-",4010.26736/62225.76434*100)</f>
        <v>6.4447056657882102</v>
      </c>
    </row>
    <row r="14" spans="1:7" x14ac:dyDescent="0.2">
      <c r="A14" s="61" t="s">
        <v>224</v>
      </c>
      <c r="B14" s="144" t="s">
        <v>185</v>
      </c>
      <c r="C14" s="30">
        <v>71254.27867</v>
      </c>
      <c r="D14" s="30">
        <v>31770.698069999999</v>
      </c>
      <c r="E14" s="63">
        <f>IF(OR(71254.27867="",31770.69807="",71254.27867=0,31770.69807=0),"-",31770.69807/71254.27867*100)</f>
        <v>44.587775868365263</v>
      </c>
    </row>
    <row r="15" spans="1:7" x14ac:dyDescent="0.2">
      <c r="A15" s="61" t="s">
        <v>225</v>
      </c>
      <c r="B15" s="144" t="s">
        <v>143</v>
      </c>
      <c r="C15" s="30">
        <v>1849.2707600000001</v>
      </c>
      <c r="D15" s="30">
        <v>-3435.79277</v>
      </c>
      <c r="E15" s="63" t="s">
        <v>22</v>
      </c>
    </row>
    <row r="16" spans="1:7" ht="24" x14ac:dyDescent="0.2">
      <c r="A16" s="61" t="s">
        <v>226</v>
      </c>
      <c r="B16" s="144" t="s">
        <v>186</v>
      </c>
      <c r="C16" s="30">
        <v>-20374.416130000001</v>
      </c>
      <c r="D16" s="30">
        <v>-25453.530289999999</v>
      </c>
      <c r="E16" s="63">
        <f>IF(OR(-20374.41613="",-25453.53029="",-20374.41613=0,-25453.53029=0),"-",-25453.53029/-20374.41613*100)</f>
        <v>124.92888202337897</v>
      </c>
    </row>
    <row r="17" spans="1:5" ht="24" x14ac:dyDescent="0.2">
      <c r="A17" s="61" t="s">
        <v>227</v>
      </c>
      <c r="B17" s="144" t="s">
        <v>144</v>
      </c>
      <c r="C17" s="30">
        <v>-2034.1312800000001</v>
      </c>
      <c r="D17" s="30">
        <v>-14291.054980000001</v>
      </c>
      <c r="E17" s="63" t="s">
        <v>337</v>
      </c>
    </row>
    <row r="18" spans="1:5" x14ac:dyDescent="0.2">
      <c r="A18" s="61" t="s">
        <v>228</v>
      </c>
      <c r="B18" s="144" t="s">
        <v>187</v>
      </c>
      <c r="C18" s="30">
        <v>-35937.779750000002</v>
      </c>
      <c r="D18" s="30">
        <v>-46199.174720000003</v>
      </c>
      <c r="E18" s="63">
        <f>IF(OR(-35937.77975="",-46199.17472="",-35937.77975=0,-46199.17472=0),"-",-46199.17472/-35937.77975*100)</f>
        <v>128.55322460481159</v>
      </c>
    </row>
    <row r="19" spans="1:5" x14ac:dyDescent="0.2">
      <c r="A19" s="58" t="s">
        <v>229</v>
      </c>
      <c r="B19" s="143" t="s">
        <v>188</v>
      </c>
      <c r="C19" s="27">
        <v>37577.639009999999</v>
      </c>
      <c r="D19" s="27">
        <v>42738.75649</v>
      </c>
      <c r="E19" s="60">
        <f>IF(37577.63901="","-",42738.75649/37577.63901*100)</f>
        <v>113.73454430872185</v>
      </c>
    </row>
    <row r="20" spans="1:5" x14ac:dyDescent="0.2">
      <c r="A20" s="61" t="s">
        <v>230</v>
      </c>
      <c r="B20" s="144" t="s">
        <v>189</v>
      </c>
      <c r="C20" s="30">
        <v>55842.507299999997</v>
      </c>
      <c r="D20" s="30">
        <v>58839.93993</v>
      </c>
      <c r="E20" s="63">
        <f>IF(OR(55842.5073="",58839.93993="",55842.5073=0,58839.93993=0),"-",58839.93993/55842.5073*100)</f>
        <v>105.3676540952881</v>
      </c>
    </row>
    <row r="21" spans="1:5" x14ac:dyDescent="0.2">
      <c r="A21" s="61" t="s">
        <v>231</v>
      </c>
      <c r="B21" s="144" t="s">
        <v>190</v>
      </c>
      <c r="C21" s="30">
        <v>-18264.868289999999</v>
      </c>
      <c r="D21" s="30">
        <v>-16101.183440000001</v>
      </c>
      <c r="E21" s="63">
        <f>IF(OR(-18264.86829="",-16101.18344="",-18264.86829=0,-16101.18344=0),"-",-16101.18344/-18264.86829*100)</f>
        <v>88.153843676033432</v>
      </c>
    </row>
    <row r="22" spans="1:5" ht="24" x14ac:dyDescent="0.2">
      <c r="A22" s="58" t="s">
        <v>232</v>
      </c>
      <c r="B22" s="143" t="s">
        <v>24</v>
      </c>
      <c r="C22" s="27">
        <v>26718.448069999999</v>
      </c>
      <c r="D22" s="27">
        <v>23515.063959999999</v>
      </c>
      <c r="E22" s="60">
        <f>IF(26718.44807="","-",23515.06396/26718.44807*100)</f>
        <v>88.010590654040186</v>
      </c>
    </row>
    <row r="23" spans="1:5" x14ac:dyDescent="0.2">
      <c r="A23" s="61" t="s">
        <v>233</v>
      </c>
      <c r="B23" s="144" t="s">
        <v>197</v>
      </c>
      <c r="C23" s="30">
        <v>709.12761</v>
      </c>
      <c r="D23" s="30">
        <v>640.98766999999998</v>
      </c>
      <c r="E23" s="63">
        <f>IF(OR(709.12761="",640.98767="",709.12761=0,640.98767=0),"-",640.98767/709.12761*100)</f>
        <v>90.391018620752888</v>
      </c>
    </row>
    <row r="24" spans="1:5" x14ac:dyDescent="0.2">
      <c r="A24" s="61" t="s">
        <v>234</v>
      </c>
      <c r="B24" s="144" t="s">
        <v>191</v>
      </c>
      <c r="C24" s="30">
        <v>59675.934029999997</v>
      </c>
      <c r="D24" s="30">
        <v>38003.685279999998</v>
      </c>
      <c r="E24" s="63">
        <f>IF(OR(59675.93403="",38003.68528="",59675.93403=0,38003.68528=0),"-",38003.68528/59675.93403*100)</f>
        <v>63.683436041227225</v>
      </c>
    </row>
    <row r="25" spans="1:5" ht="17.25" customHeight="1" x14ac:dyDescent="0.2">
      <c r="A25" s="61" t="s">
        <v>287</v>
      </c>
      <c r="B25" s="144" t="s">
        <v>192</v>
      </c>
      <c r="C25" s="30">
        <v>-652.52440000000001</v>
      </c>
      <c r="D25" s="30">
        <v>-1065.50136</v>
      </c>
      <c r="E25" s="63" t="s">
        <v>102</v>
      </c>
    </row>
    <row r="26" spans="1:5" x14ac:dyDescent="0.2">
      <c r="A26" s="61" t="s">
        <v>235</v>
      </c>
      <c r="B26" s="144" t="s">
        <v>193</v>
      </c>
      <c r="C26" s="30">
        <v>-14893.25194</v>
      </c>
      <c r="D26" s="30">
        <v>-18437.35714</v>
      </c>
      <c r="E26" s="63">
        <f>IF(OR(-14893.25194="",-18437.35714="",-14893.25194=0,-18437.35714=0),"-",-18437.35714/-14893.25194*100)</f>
        <v>123.79671823372109</v>
      </c>
    </row>
    <row r="27" spans="1:5" x14ac:dyDescent="0.2">
      <c r="A27" s="61" t="s">
        <v>236</v>
      </c>
      <c r="B27" s="144" t="s">
        <v>145</v>
      </c>
      <c r="C27" s="30">
        <v>668.01365999999996</v>
      </c>
      <c r="D27" s="30">
        <v>2177.3363199999999</v>
      </c>
      <c r="E27" s="63" t="s">
        <v>338</v>
      </c>
    </row>
    <row r="28" spans="1:5" ht="36" x14ac:dyDescent="0.2">
      <c r="A28" s="61" t="s">
        <v>237</v>
      </c>
      <c r="B28" s="144" t="s">
        <v>146</v>
      </c>
      <c r="C28" s="30">
        <v>-3096.67166</v>
      </c>
      <c r="D28" s="30">
        <v>-4865.5053099999996</v>
      </c>
      <c r="E28" s="63" t="s">
        <v>102</v>
      </c>
    </row>
    <row r="29" spans="1:5" ht="24" x14ac:dyDescent="0.2">
      <c r="A29" s="61" t="s">
        <v>238</v>
      </c>
      <c r="B29" s="144" t="s">
        <v>147</v>
      </c>
      <c r="C29" s="30">
        <v>-2831.1696900000002</v>
      </c>
      <c r="D29" s="30">
        <v>-5614.6915399999998</v>
      </c>
      <c r="E29" s="63" t="s">
        <v>20</v>
      </c>
    </row>
    <row r="30" spans="1:5" x14ac:dyDescent="0.2">
      <c r="A30" s="61" t="s">
        <v>239</v>
      </c>
      <c r="B30" s="144" t="s">
        <v>148</v>
      </c>
      <c r="C30" s="30">
        <v>5506.4911700000002</v>
      </c>
      <c r="D30" s="30">
        <v>41377.545189999997</v>
      </c>
      <c r="E30" s="63" t="s">
        <v>339</v>
      </c>
    </row>
    <row r="31" spans="1:5" ht="24" x14ac:dyDescent="0.2">
      <c r="A31" s="61" t="s">
        <v>240</v>
      </c>
      <c r="B31" s="144" t="s">
        <v>149</v>
      </c>
      <c r="C31" s="30">
        <v>-18367.50071</v>
      </c>
      <c r="D31" s="30">
        <v>-28701.435150000001</v>
      </c>
      <c r="E31" s="63" t="s">
        <v>102</v>
      </c>
    </row>
    <row r="32" spans="1:5" ht="15.75" customHeight="1" x14ac:dyDescent="0.2">
      <c r="A32" s="58" t="s">
        <v>241</v>
      </c>
      <c r="B32" s="143" t="s">
        <v>150</v>
      </c>
      <c r="C32" s="27">
        <v>-304444.00399</v>
      </c>
      <c r="D32" s="27">
        <v>-375815.89846</v>
      </c>
      <c r="E32" s="60">
        <f>IF(-304444.00399="","-",-375815.89846/-304444.00399*100)</f>
        <v>123.44335691772874</v>
      </c>
    </row>
    <row r="33" spans="1:5" x14ac:dyDescent="0.2">
      <c r="A33" s="61" t="s">
        <v>242</v>
      </c>
      <c r="B33" s="144" t="s">
        <v>194</v>
      </c>
      <c r="C33" s="30">
        <v>-6696.4727700000003</v>
      </c>
      <c r="D33" s="30">
        <v>-5159.9657800000004</v>
      </c>
      <c r="E33" s="63">
        <f>IF(OR(-6696.47277="",-5159.96578="",-6696.47277=0,-5159.96578=0),"-",-5159.96578/-6696.47277*100)</f>
        <v>77.054980393805138</v>
      </c>
    </row>
    <row r="34" spans="1:5" x14ac:dyDescent="0.2">
      <c r="A34" s="61" t="s">
        <v>243</v>
      </c>
      <c r="B34" s="144" t="s">
        <v>151</v>
      </c>
      <c r="C34" s="30">
        <v>-176181.07665999999</v>
      </c>
      <c r="D34" s="30">
        <v>-239422.77643999999</v>
      </c>
      <c r="E34" s="63">
        <f>IF(OR(-176181.07666="",-239422.77644="",-176181.07666=0,-239422.77644=0),"-",-239422.77644/-176181.07666*100)</f>
        <v>135.89585270956533</v>
      </c>
    </row>
    <row r="35" spans="1:5" x14ac:dyDescent="0.2">
      <c r="A35" s="61" t="s">
        <v>288</v>
      </c>
      <c r="B35" s="144" t="s">
        <v>195</v>
      </c>
      <c r="C35" s="30">
        <v>-113459.83706000001</v>
      </c>
      <c r="D35" s="30">
        <v>-127670.48247</v>
      </c>
      <c r="E35" s="63">
        <f>IF(OR(-113459.83706="",-127670.48247="",-113459.83706=0,-127670.48247=0),"-",-127670.48247/-113459.83706*100)</f>
        <v>112.52482444733734</v>
      </c>
    </row>
    <row r="36" spans="1:5" x14ac:dyDescent="0.2">
      <c r="A36" s="61" t="s">
        <v>295</v>
      </c>
      <c r="B36" s="144" t="s">
        <v>297</v>
      </c>
      <c r="C36" s="30">
        <v>-8106.6175000000003</v>
      </c>
      <c r="D36" s="30">
        <v>-3562.6737699999999</v>
      </c>
      <c r="E36" s="63">
        <f>IF(OR(-8106.6175="",-3562.67377="",-8106.6175=0,-3562.67377=0),"-",-3562.67377/-8106.6175*100)</f>
        <v>43.947722585899726</v>
      </c>
    </row>
    <row r="37" spans="1:5" ht="24" x14ac:dyDescent="0.2">
      <c r="A37" s="58" t="s">
        <v>244</v>
      </c>
      <c r="B37" s="143" t="s">
        <v>152</v>
      </c>
      <c r="C37" s="27">
        <v>56602.186029999997</v>
      </c>
      <c r="D37" s="27">
        <v>37262.154210000001</v>
      </c>
      <c r="E37" s="60">
        <f>IF(56602.18603="","-",37262.15421/56602.18603*100)</f>
        <v>65.831652138400642</v>
      </c>
    </row>
    <row r="38" spans="1:5" x14ac:dyDescent="0.2">
      <c r="A38" s="61" t="s">
        <v>245</v>
      </c>
      <c r="B38" s="144" t="s">
        <v>198</v>
      </c>
      <c r="C38" s="30">
        <v>-729.44458999999995</v>
      </c>
      <c r="D38" s="30">
        <v>-790.53854999999999</v>
      </c>
      <c r="E38" s="63">
        <f>IF(OR(-729.44459="",-790.53855="",-729.44459=0,-790.53855=0),"-",-790.53855/-729.44459*100)</f>
        <v>108.37540792508997</v>
      </c>
    </row>
    <row r="39" spans="1:5" ht="14.25" customHeight="1" x14ac:dyDescent="0.2">
      <c r="A39" s="61" t="s">
        <v>246</v>
      </c>
      <c r="B39" s="144" t="s">
        <v>153</v>
      </c>
      <c r="C39" s="30">
        <v>58068.496169999999</v>
      </c>
      <c r="D39" s="30">
        <v>38983.725059999997</v>
      </c>
      <c r="E39" s="63">
        <f>IF(OR(58068.49617="",38983.72506="",58068.49617=0,38983.72506=0),"-",38983.72506/58068.49617*100)</f>
        <v>67.134035890773092</v>
      </c>
    </row>
    <row r="40" spans="1:5" ht="48" x14ac:dyDescent="0.2">
      <c r="A40" s="61" t="s">
        <v>247</v>
      </c>
      <c r="B40" s="144" t="s">
        <v>196</v>
      </c>
      <c r="C40" s="30">
        <v>-736.86554999999998</v>
      </c>
      <c r="D40" s="30">
        <v>-931.03229999999996</v>
      </c>
      <c r="E40" s="63">
        <f>IF(OR(-736.86555="",-931.0323="",-736.86555=0,-931.0323=0),"-",-931.0323/-736.86555*100)</f>
        <v>126.3503633736168</v>
      </c>
    </row>
    <row r="41" spans="1:5" ht="15" customHeight="1" x14ac:dyDescent="0.2">
      <c r="A41" s="58" t="s">
        <v>248</v>
      </c>
      <c r="B41" s="143" t="s">
        <v>154</v>
      </c>
      <c r="C41" s="27">
        <v>-343358.54440000001</v>
      </c>
      <c r="D41" s="27">
        <v>-435038.60278000002</v>
      </c>
      <c r="E41" s="60">
        <f>IF(-343358.5444="","-",-435038.60278/-343358.5444*100)</f>
        <v>126.70096896531462</v>
      </c>
    </row>
    <row r="42" spans="1:5" x14ac:dyDescent="0.2">
      <c r="A42" s="61" t="s">
        <v>249</v>
      </c>
      <c r="B42" s="144" t="s">
        <v>25</v>
      </c>
      <c r="C42" s="30">
        <v>19531.195220000001</v>
      </c>
      <c r="D42" s="30">
        <v>9947.2967000000008</v>
      </c>
      <c r="E42" s="63">
        <f>IF(OR(19531.19522="",9947.2967="",19531.19522=0,9947.2967=0),"-",9947.2967/19531.19522*100)</f>
        <v>50.930301950051373</v>
      </c>
    </row>
    <row r="43" spans="1:5" x14ac:dyDescent="0.2">
      <c r="A43" s="61" t="s">
        <v>250</v>
      </c>
      <c r="B43" s="144" t="s">
        <v>26</v>
      </c>
      <c r="C43" s="30">
        <v>-7239.7316899999996</v>
      </c>
      <c r="D43" s="30">
        <v>-7113.9407099999999</v>
      </c>
      <c r="E43" s="63">
        <f>IF(OR(-7239.73169="",-7113.94071="",-7239.73169=0,-7113.94071=0),"-",-7113.94071/-7239.73169*100)</f>
        <v>98.262491133839248</v>
      </c>
    </row>
    <row r="44" spans="1:5" x14ac:dyDescent="0.2">
      <c r="A44" s="61" t="s">
        <v>251</v>
      </c>
      <c r="B44" s="144" t="s">
        <v>155</v>
      </c>
      <c r="C44" s="30">
        <v>-16343.329110000001</v>
      </c>
      <c r="D44" s="30">
        <v>-21725.205419999998</v>
      </c>
      <c r="E44" s="63">
        <f>IF(OR(-16343.32911="",-21725.20542="",-16343.32911=0,-21725.20542=0),"-",-21725.20542/-16343.32911*100)</f>
        <v>132.93011034518656</v>
      </c>
    </row>
    <row r="45" spans="1:5" x14ac:dyDescent="0.2">
      <c r="A45" s="61" t="s">
        <v>252</v>
      </c>
      <c r="B45" s="144" t="s">
        <v>156</v>
      </c>
      <c r="C45" s="30">
        <v>-88007.636079999997</v>
      </c>
      <c r="D45" s="30">
        <v>-113743.47977999999</v>
      </c>
      <c r="E45" s="63">
        <f>IF(OR(-88007.63608="",-113743.47978="",-88007.63608=0,-113743.47978=0),"-",-113743.47978/-88007.63608*100)</f>
        <v>129.24273943298036</v>
      </c>
    </row>
    <row r="46" spans="1:5" ht="36" x14ac:dyDescent="0.2">
      <c r="A46" s="61" t="s">
        <v>253</v>
      </c>
      <c r="B46" s="144" t="s">
        <v>157</v>
      </c>
      <c r="C46" s="30">
        <v>-45668.478130000003</v>
      </c>
      <c r="D46" s="30">
        <v>-60480.6325</v>
      </c>
      <c r="E46" s="63">
        <f>IF(OR(-45668.47813="",-60480.6325="",-45668.47813=0,-60480.6325=0),"-",-60480.6325/-45668.47813*100)</f>
        <v>132.4340879672751</v>
      </c>
    </row>
    <row r="47" spans="1:5" x14ac:dyDescent="0.2">
      <c r="A47" s="61" t="s">
        <v>254</v>
      </c>
      <c r="B47" s="144" t="s">
        <v>158</v>
      </c>
      <c r="C47" s="30">
        <v>-47773.840389999998</v>
      </c>
      <c r="D47" s="30">
        <v>-40699.365299999998</v>
      </c>
      <c r="E47" s="63">
        <f>IF(OR(-47773.84039="",-40699.3653="",-47773.84039=0,-40699.3653=0),"-",-40699.3653/-47773.84039*100)</f>
        <v>85.191738758601403</v>
      </c>
    </row>
    <row r="48" spans="1:5" x14ac:dyDescent="0.2">
      <c r="A48" s="61" t="s">
        <v>255</v>
      </c>
      <c r="B48" s="144" t="s">
        <v>27</v>
      </c>
      <c r="C48" s="30">
        <v>-20733.249510000001</v>
      </c>
      <c r="D48" s="30">
        <v>-30193.201010000001</v>
      </c>
      <c r="E48" s="63">
        <f>IF(OR(-20733.24951="",-30193.20101="",-20733.24951=0,-30193.20101=0),"-",-30193.20101/-20733.24951*100)</f>
        <v>145.62696018989837</v>
      </c>
    </row>
    <row r="49" spans="1:5" x14ac:dyDescent="0.2">
      <c r="A49" s="61" t="s">
        <v>256</v>
      </c>
      <c r="B49" s="144" t="s">
        <v>28</v>
      </c>
      <c r="C49" s="30">
        <v>-49151.595580000001</v>
      </c>
      <c r="D49" s="30">
        <v>-71027.567009999999</v>
      </c>
      <c r="E49" s="63">
        <f>IF(OR(-49151.59558="",-71027.56701="",-49151.59558=0,-71027.56701=0),"-",-71027.56701/-49151.59558*100)</f>
        <v>144.50714401406213</v>
      </c>
    </row>
    <row r="50" spans="1:5" x14ac:dyDescent="0.2">
      <c r="A50" s="61" t="s">
        <v>257</v>
      </c>
      <c r="B50" s="144" t="s">
        <v>159</v>
      </c>
      <c r="C50" s="30">
        <v>-87971.879130000001</v>
      </c>
      <c r="D50" s="30">
        <v>-100002.50775</v>
      </c>
      <c r="E50" s="63">
        <f>IF(OR(-87971.87913="",-100002.50775="",-87971.87913=0,-100002.50775=0),"-",-100002.50775/-87971.87913*100)</f>
        <v>113.67553897788383</v>
      </c>
    </row>
    <row r="51" spans="1:5" ht="24" x14ac:dyDescent="0.2">
      <c r="A51" s="58" t="s">
        <v>258</v>
      </c>
      <c r="B51" s="143" t="s">
        <v>323</v>
      </c>
      <c r="C51" s="27">
        <v>-371492.69493</v>
      </c>
      <c r="D51" s="27">
        <v>-502328.24888000003</v>
      </c>
      <c r="E51" s="60">
        <f>IF(-371492.69493="","-",-502328.24888/-371492.69493*100)</f>
        <v>135.21887663892105</v>
      </c>
    </row>
    <row r="52" spans="1:5" x14ac:dyDescent="0.2">
      <c r="A52" s="61" t="s">
        <v>259</v>
      </c>
      <c r="B52" s="144" t="s">
        <v>160</v>
      </c>
      <c r="C52" s="30">
        <v>-18262.515520000001</v>
      </c>
      <c r="D52" s="30">
        <v>-28267.49235</v>
      </c>
      <c r="E52" s="63" t="s">
        <v>368</v>
      </c>
    </row>
    <row r="53" spans="1:5" x14ac:dyDescent="0.2">
      <c r="A53" s="61" t="s">
        <v>260</v>
      </c>
      <c r="B53" s="144" t="s">
        <v>29</v>
      </c>
      <c r="C53" s="30">
        <v>-23992.936549999999</v>
      </c>
      <c r="D53" s="30">
        <v>-30273.07675</v>
      </c>
      <c r="E53" s="63">
        <f>IF(OR(-23992.93655="",-30273.07675="",-23992.93655=0,-30273.07675=0),"-",-30273.07675/-23992.93655*100)</f>
        <v>126.17495439506759</v>
      </c>
    </row>
    <row r="54" spans="1:5" x14ac:dyDescent="0.2">
      <c r="A54" s="61" t="s">
        <v>261</v>
      </c>
      <c r="B54" s="144" t="s">
        <v>161</v>
      </c>
      <c r="C54" s="30">
        <v>-25145.621299999999</v>
      </c>
      <c r="D54" s="30">
        <v>-36983.435369999999</v>
      </c>
      <c r="E54" s="63">
        <f>IF(OR(-25145.6212999999="",-36983.43537="",-25145.6212999999=0,-36983.43537=0),"-",-36983.43537/-25145.6212999999*100)</f>
        <v>147.07703949235943</v>
      </c>
    </row>
    <row r="55" spans="1:5" ht="24" x14ac:dyDescent="0.2">
      <c r="A55" s="61" t="s">
        <v>262</v>
      </c>
      <c r="B55" s="144" t="s">
        <v>162</v>
      </c>
      <c r="C55" s="30">
        <v>-38683.465129999997</v>
      </c>
      <c r="D55" s="30">
        <v>-46840.131359999999</v>
      </c>
      <c r="E55" s="63">
        <f>IF(OR(-38683.46513="",-46840.1313599999="",-38683.46513=0,-46840.1313599999=0),"-",-46840.1313599999/-38683.46513*100)</f>
        <v>121.08566593656627</v>
      </c>
    </row>
    <row r="56" spans="1:5" ht="24" x14ac:dyDescent="0.2">
      <c r="A56" s="61" t="s">
        <v>263</v>
      </c>
      <c r="B56" s="144" t="s">
        <v>163</v>
      </c>
      <c r="C56" s="30">
        <v>-88539.957389999996</v>
      </c>
      <c r="D56" s="30">
        <v>-118979.51036</v>
      </c>
      <c r="E56" s="63">
        <f>IF(OR(-88539.95739="",-118979.51036="",-88539.95739=0,-118979.51036=0),"-",-118979.51036/-88539.95739*100)</f>
        <v>134.37945292419801</v>
      </c>
    </row>
    <row r="57" spans="1:5" x14ac:dyDescent="0.2">
      <c r="A57" s="61" t="s">
        <v>264</v>
      </c>
      <c r="B57" s="144" t="s">
        <v>30</v>
      </c>
      <c r="C57" s="30">
        <v>-35839.91977</v>
      </c>
      <c r="D57" s="30">
        <v>-46863.104290000003</v>
      </c>
      <c r="E57" s="63">
        <f>IF(OR(-35839.91977="",-46863.10429="",-35839.91977=0,-46863.10429=0),"-",-46863.10429/-35839.91977*100)</f>
        <v>130.7567220873832</v>
      </c>
    </row>
    <row r="58" spans="1:5" x14ac:dyDescent="0.2">
      <c r="A58" s="61" t="s">
        <v>265</v>
      </c>
      <c r="B58" s="144" t="s">
        <v>164</v>
      </c>
      <c r="C58" s="30">
        <v>-57222.761010000002</v>
      </c>
      <c r="D58" s="30">
        <v>-77357.629329999996</v>
      </c>
      <c r="E58" s="63">
        <f>IF(OR(-57222.76101="",-77357.62933="",-57222.76101=0,-77357.62933=0),"-",-77357.62933/-57222.76101*100)</f>
        <v>135.18681721156608</v>
      </c>
    </row>
    <row r="59" spans="1:5" x14ac:dyDescent="0.2">
      <c r="A59" s="61" t="s">
        <v>266</v>
      </c>
      <c r="B59" s="144" t="s">
        <v>31</v>
      </c>
      <c r="C59" s="30">
        <v>-28991.20422</v>
      </c>
      <c r="D59" s="30">
        <v>-37779.634919999997</v>
      </c>
      <c r="E59" s="63">
        <f>IF(OR(-28991.20422="",-37779.63492="",-28991.20422=0,-37779.63492=0),"-",-37779.63492/-28991.20422*100)</f>
        <v>130.31412780686486</v>
      </c>
    </row>
    <row r="60" spans="1:5" x14ac:dyDescent="0.2">
      <c r="A60" s="61" t="s">
        <v>267</v>
      </c>
      <c r="B60" s="144" t="s">
        <v>32</v>
      </c>
      <c r="C60" s="30">
        <v>-54814.314039999997</v>
      </c>
      <c r="D60" s="30">
        <v>-78984.234150000004</v>
      </c>
      <c r="E60" s="63">
        <f>IF(OR(-54814.31404="",-78984.23415="",-54814.31404=0,-78984.23415=0),"-",-78984.23415/-54814.31404*100)</f>
        <v>144.09417600731504</v>
      </c>
    </row>
    <row r="61" spans="1:5" x14ac:dyDescent="0.2">
      <c r="A61" s="58" t="s">
        <v>268</v>
      </c>
      <c r="B61" s="143" t="s">
        <v>165</v>
      </c>
      <c r="C61" s="27">
        <v>-314647.97532000003</v>
      </c>
      <c r="D61" s="27">
        <v>-489035.11472999997</v>
      </c>
      <c r="E61" s="60" t="s">
        <v>102</v>
      </c>
    </row>
    <row r="62" spans="1:5" ht="16.5" customHeight="1" x14ac:dyDescent="0.2">
      <c r="A62" s="61" t="s">
        <v>269</v>
      </c>
      <c r="B62" s="144" t="s">
        <v>166</v>
      </c>
      <c r="C62" s="30">
        <v>-6572.4745599999997</v>
      </c>
      <c r="D62" s="30">
        <v>-12526.141509999999</v>
      </c>
      <c r="E62" s="63" t="s">
        <v>341</v>
      </c>
    </row>
    <row r="63" spans="1:5" ht="24" x14ac:dyDescent="0.2">
      <c r="A63" s="61" t="s">
        <v>270</v>
      </c>
      <c r="B63" s="144" t="s">
        <v>167</v>
      </c>
      <c r="C63" s="30">
        <v>-73224.015769999998</v>
      </c>
      <c r="D63" s="30">
        <v>-89167.058090000006</v>
      </c>
      <c r="E63" s="63">
        <f>IF(OR(-73224.01577="",-89167.05809="",-73224.01577=0,-89167.05809=0),"-",-89167.05809/-73224.01577*100)</f>
        <v>121.77296908991968</v>
      </c>
    </row>
    <row r="64" spans="1:5" x14ac:dyDescent="0.2">
      <c r="A64" s="61" t="s">
        <v>271</v>
      </c>
      <c r="B64" s="144" t="s">
        <v>168</v>
      </c>
      <c r="C64" s="30">
        <v>-5109.7888499999999</v>
      </c>
      <c r="D64" s="30">
        <v>-6971.53</v>
      </c>
      <c r="E64" s="63">
        <f>IF(OR(-5109.78885="",-6971.53="",-5109.78885=0,-6971.53=0),"-",-6971.53/-5109.78885*100)</f>
        <v>136.43479612665402</v>
      </c>
    </row>
    <row r="65" spans="1:5" ht="36" x14ac:dyDescent="0.2">
      <c r="A65" s="61" t="s">
        <v>272</v>
      </c>
      <c r="B65" s="144" t="s">
        <v>169</v>
      </c>
      <c r="C65" s="30">
        <v>-82113.654720000006</v>
      </c>
      <c r="D65" s="30">
        <v>-106189.07</v>
      </c>
      <c r="E65" s="63">
        <f>IF(OR(-82113.65472="",-106189.07="",-82113.65472=0,-106189.07=0),"-",-106189.07/-82113.65472*100)</f>
        <v>129.31962456438572</v>
      </c>
    </row>
    <row r="66" spans="1:5" ht="27.75" customHeight="1" x14ac:dyDescent="0.2">
      <c r="A66" s="61" t="s">
        <v>273</v>
      </c>
      <c r="B66" s="144" t="s">
        <v>170</v>
      </c>
      <c r="C66" s="30">
        <v>-19882.442579999999</v>
      </c>
      <c r="D66" s="30">
        <v>-36495.274380000003</v>
      </c>
      <c r="E66" s="63" t="s">
        <v>202</v>
      </c>
    </row>
    <row r="67" spans="1:5" ht="27" customHeight="1" x14ac:dyDescent="0.2">
      <c r="A67" s="61" t="s">
        <v>274</v>
      </c>
      <c r="B67" s="144" t="s">
        <v>171</v>
      </c>
      <c r="C67" s="30">
        <v>-63968.526899999997</v>
      </c>
      <c r="D67" s="30">
        <v>-87197.560129999998</v>
      </c>
      <c r="E67" s="63">
        <f>IF(OR(-63968.5269="",-87197.56013="",-63968.5269=0,-87197.56013=0),"-",-87197.56013/-63968.5269*100)</f>
        <v>136.31322207296287</v>
      </c>
    </row>
    <row r="68" spans="1:5" ht="15" customHeight="1" x14ac:dyDescent="0.2">
      <c r="A68" s="61" t="s">
        <v>275</v>
      </c>
      <c r="B68" s="144" t="s">
        <v>172</v>
      </c>
      <c r="C68" s="30">
        <v>44214.363890000001</v>
      </c>
      <c r="D68" s="30">
        <v>31018.026089999999</v>
      </c>
      <c r="E68" s="63">
        <f>IF(OR(44214.36389="",31018.02609="",44214.36389=0,31018.02609=0),"-",31018.02609/44214.36389*100)</f>
        <v>70.153731414454143</v>
      </c>
    </row>
    <row r="69" spans="1:5" ht="24" x14ac:dyDescent="0.2">
      <c r="A69" s="61" t="s">
        <v>276</v>
      </c>
      <c r="B69" s="144" t="s">
        <v>173</v>
      </c>
      <c r="C69" s="30">
        <v>-104403.86801000001</v>
      </c>
      <c r="D69" s="30">
        <v>-180693.99552999999</v>
      </c>
      <c r="E69" s="63" t="s">
        <v>344</v>
      </c>
    </row>
    <row r="70" spans="1:5" x14ac:dyDescent="0.2">
      <c r="A70" s="61" t="s">
        <v>277</v>
      </c>
      <c r="B70" s="144" t="s">
        <v>33</v>
      </c>
      <c r="C70" s="30">
        <v>-3587.5678200000002</v>
      </c>
      <c r="D70" s="30">
        <v>-812.51117999999997</v>
      </c>
      <c r="E70" s="63">
        <f>IF(OR(-3587.56782="",-812.51118="",-3587.56782=0,-812.51118=0),"-",-812.51118/-3587.56782*100)</f>
        <v>22.647967112159009</v>
      </c>
    </row>
    <row r="71" spans="1:5" x14ac:dyDescent="0.2">
      <c r="A71" s="58" t="s">
        <v>278</v>
      </c>
      <c r="B71" s="143" t="s">
        <v>34</v>
      </c>
      <c r="C71" s="27">
        <v>-13782.67143</v>
      </c>
      <c r="D71" s="27">
        <v>-90841.27549</v>
      </c>
      <c r="E71" s="60" t="s">
        <v>384</v>
      </c>
    </row>
    <row r="72" spans="1:5" ht="24" x14ac:dyDescent="0.2">
      <c r="A72" s="61" t="s">
        <v>279</v>
      </c>
      <c r="B72" s="144" t="s">
        <v>199</v>
      </c>
      <c r="C72" s="30">
        <v>-12539.37818</v>
      </c>
      <c r="D72" s="30">
        <v>-21992.402330000001</v>
      </c>
      <c r="E72" s="63" t="s">
        <v>202</v>
      </c>
    </row>
    <row r="73" spans="1:5" x14ac:dyDescent="0.2">
      <c r="A73" s="61" t="s">
        <v>280</v>
      </c>
      <c r="B73" s="144" t="s">
        <v>174</v>
      </c>
      <c r="C73" s="30">
        <v>32723.998179999999</v>
      </c>
      <c r="D73" s="30">
        <v>46814.665609999996</v>
      </c>
      <c r="E73" s="63">
        <f>IF(OR(32723.99818="",46814.66561="",32723.99818=0,46814.66561=0),"-",46814.66561/32723.99818*100)</f>
        <v>143.05912545433347</v>
      </c>
    </row>
    <row r="74" spans="1:5" x14ac:dyDescent="0.2">
      <c r="A74" s="61" t="s">
        <v>281</v>
      </c>
      <c r="B74" s="144" t="s">
        <v>175</v>
      </c>
      <c r="C74" s="30">
        <v>2612.1642700000002</v>
      </c>
      <c r="D74" s="30">
        <v>1696.23784</v>
      </c>
      <c r="E74" s="63">
        <f>IF(OR(2612.16427="",1696.23784="",2612.16427=0,1696.23784=0),"-",1696.23784/2612.16427*100)</f>
        <v>64.936109090872748</v>
      </c>
    </row>
    <row r="75" spans="1:5" x14ac:dyDescent="0.2">
      <c r="A75" s="61" t="s">
        <v>282</v>
      </c>
      <c r="B75" s="144" t="s">
        <v>176</v>
      </c>
      <c r="C75" s="30">
        <v>51973.757030000001</v>
      </c>
      <c r="D75" s="30">
        <v>42779.157700000003</v>
      </c>
      <c r="E75" s="63">
        <f>IF(OR(51973.75703="",42779.1577="",51973.75703=0,42779.1577=0),"-",42779.1577/51973.75703*100)</f>
        <v>82.309150126105479</v>
      </c>
    </row>
    <row r="76" spans="1:5" x14ac:dyDescent="0.2">
      <c r="A76" s="61" t="s">
        <v>283</v>
      </c>
      <c r="B76" s="144" t="s">
        <v>177</v>
      </c>
      <c r="C76" s="30">
        <v>-3263.2280000000001</v>
      </c>
      <c r="D76" s="30">
        <v>-6297.1736300000002</v>
      </c>
      <c r="E76" s="63" t="s">
        <v>341</v>
      </c>
    </row>
    <row r="77" spans="1:5" ht="24" x14ac:dyDescent="0.2">
      <c r="A77" s="61" t="s">
        <v>284</v>
      </c>
      <c r="B77" s="144" t="s">
        <v>200</v>
      </c>
      <c r="C77" s="30">
        <v>-15789.803239999999</v>
      </c>
      <c r="D77" s="30">
        <v>-35994.58167</v>
      </c>
      <c r="E77" s="63" t="s">
        <v>212</v>
      </c>
    </row>
    <row r="78" spans="1:5" ht="24" x14ac:dyDescent="0.2">
      <c r="A78" s="61" t="s">
        <v>285</v>
      </c>
      <c r="B78" s="144" t="s">
        <v>178</v>
      </c>
      <c r="C78" s="30">
        <v>-3523.0534899999998</v>
      </c>
      <c r="D78" s="30">
        <v>-7776.1899400000002</v>
      </c>
      <c r="E78" s="63" t="s">
        <v>340</v>
      </c>
    </row>
    <row r="79" spans="1:5" x14ac:dyDescent="0.2">
      <c r="A79" s="61" t="s">
        <v>286</v>
      </c>
      <c r="B79" s="144" t="s">
        <v>35</v>
      </c>
      <c r="C79" s="30">
        <v>-65977.127999999997</v>
      </c>
      <c r="D79" s="30">
        <v>-110070.98907</v>
      </c>
      <c r="E79" s="63" t="s">
        <v>344</v>
      </c>
    </row>
    <row r="80" spans="1:5" ht="15.75" customHeight="1" x14ac:dyDescent="0.2">
      <c r="A80" s="64" t="s">
        <v>289</v>
      </c>
      <c r="B80" s="145" t="s">
        <v>179</v>
      </c>
      <c r="C80" s="65">
        <v>9.6944599999999994</v>
      </c>
      <c r="D80" s="65">
        <v>272.33954999999997</v>
      </c>
      <c r="E80" s="66" t="s">
        <v>385</v>
      </c>
    </row>
    <row r="81" spans="1:2" x14ac:dyDescent="0.2">
      <c r="A81" s="1" t="s">
        <v>291</v>
      </c>
      <c r="B81" s="3"/>
    </row>
  </sheetData>
  <mergeCells count="5">
    <mergeCell ref="A4:A5"/>
    <mergeCell ref="B2:E2"/>
    <mergeCell ref="B4:B5"/>
    <mergeCell ref="E4:E5"/>
    <mergeCell ref="C4:D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Ciobanu</dc:creator>
  <cp:lastModifiedBy>Doina Vudvud</cp:lastModifiedBy>
  <dcterms:created xsi:type="dcterms:W3CDTF">2021-08-09T06:14:59Z</dcterms:created>
  <dcterms:modified xsi:type="dcterms:W3CDTF">2021-08-16T13:19:45Z</dcterms:modified>
</cp:coreProperties>
</file>