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11_2021_REV\"/>
    </mc:Choice>
  </mc:AlternateContent>
  <bookViews>
    <workbookView xWindow="0" yWindow="0" windowWidth="28800" windowHeight="1219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E79" i="4" l="1"/>
  <c r="E75" i="4"/>
  <c r="E74" i="4"/>
  <c r="E73" i="4"/>
  <c r="E72" i="4"/>
  <c r="E70" i="4"/>
  <c r="E69" i="4"/>
  <c r="E67" i="4"/>
  <c r="E66" i="4"/>
  <c r="E65" i="4"/>
  <c r="E64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7" i="4"/>
  <c r="E46" i="4"/>
  <c r="E45" i="4"/>
  <c r="E44" i="4"/>
  <c r="E43" i="4"/>
  <c r="E42" i="4"/>
  <c r="E41" i="4"/>
  <c r="E40" i="4"/>
  <c r="E39" i="4"/>
  <c r="E38" i="4"/>
  <c r="E37" i="4"/>
  <c r="E36" i="4"/>
  <c r="E33" i="4"/>
  <c r="E31" i="4"/>
  <c r="E29" i="4"/>
  <c r="E28" i="4"/>
  <c r="E26" i="4"/>
  <c r="E24" i="4"/>
  <c r="E23" i="4"/>
  <c r="E22" i="4"/>
  <c r="E21" i="4"/>
  <c r="E20" i="4"/>
  <c r="E19" i="4"/>
  <c r="E18" i="4"/>
  <c r="E16" i="4"/>
  <c r="E14" i="4"/>
  <c r="E12" i="4"/>
  <c r="E11" i="4"/>
  <c r="E9" i="4"/>
  <c r="E6" i="4"/>
  <c r="H80" i="6" l="1"/>
  <c r="G80" i="6"/>
  <c r="F80" i="6"/>
  <c r="E80" i="6"/>
  <c r="D80" i="6"/>
  <c r="H79" i="6"/>
  <c r="G79" i="6"/>
  <c r="F79" i="6"/>
  <c r="E79" i="6"/>
  <c r="D79" i="6"/>
  <c r="H78" i="6"/>
  <c r="G78" i="6"/>
  <c r="F78" i="6"/>
  <c r="E78" i="6"/>
  <c r="H77" i="6"/>
  <c r="G77" i="6"/>
  <c r="F77" i="6"/>
  <c r="E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H34" i="6"/>
  <c r="G34" i="6"/>
  <c r="F34" i="6"/>
  <c r="E34" i="6"/>
  <c r="H33" i="6"/>
  <c r="G33" i="6"/>
  <c r="F33" i="6"/>
  <c r="E33" i="6"/>
  <c r="D33" i="6"/>
  <c r="H32" i="6"/>
  <c r="G32" i="6"/>
  <c r="F32" i="6"/>
  <c r="E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H24" i="6"/>
  <c r="G24" i="6"/>
  <c r="F24" i="6"/>
  <c r="E24" i="6"/>
  <c r="D24" i="6"/>
  <c r="H23" i="6"/>
  <c r="G23" i="6"/>
  <c r="F23" i="6"/>
  <c r="E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H9" i="6"/>
  <c r="G9" i="6"/>
  <c r="F9" i="6"/>
  <c r="E9" i="6"/>
  <c r="D9" i="6"/>
  <c r="H8" i="6"/>
  <c r="G8" i="6"/>
  <c r="F8" i="6"/>
  <c r="E8" i="6"/>
  <c r="D8" i="6"/>
  <c r="H7" i="6"/>
  <c r="G7" i="6"/>
  <c r="D7" i="6"/>
  <c r="H79" i="5"/>
  <c r="G79" i="5"/>
  <c r="F79" i="5"/>
  <c r="E79" i="5"/>
  <c r="D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H68" i="5"/>
  <c r="G68" i="5"/>
  <c r="F68" i="5"/>
  <c r="E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H58" i="5"/>
  <c r="G58" i="5"/>
  <c r="F58" i="5"/>
  <c r="E58" i="5"/>
  <c r="D58" i="5"/>
  <c r="H57" i="5"/>
  <c r="G57" i="5"/>
  <c r="F57" i="5"/>
  <c r="E57" i="5"/>
  <c r="H56" i="5"/>
  <c r="G56" i="5"/>
  <c r="F56" i="5"/>
  <c r="E56" i="5"/>
  <c r="D56" i="5"/>
  <c r="H55" i="5"/>
  <c r="G55" i="5"/>
  <c r="F55" i="5"/>
  <c r="E55" i="5"/>
  <c r="D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D52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H48" i="5"/>
  <c r="G48" i="5"/>
  <c r="F48" i="5"/>
  <c r="E48" i="5"/>
  <c r="D48" i="5"/>
  <c r="H47" i="5"/>
  <c r="G47" i="5"/>
  <c r="F47" i="5"/>
  <c r="E47" i="5"/>
  <c r="D47" i="5"/>
  <c r="H46" i="5"/>
  <c r="G46" i="5"/>
  <c r="F46" i="5"/>
  <c r="E46" i="5"/>
  <c r="H45" i="5"/>
  <c r="G45" i="5"/>
  <c r="F45" i="5"/>
  <c r="E45" i="5"/>
  <c r="D45" i="5"/>
  <c r="H44" i="5"/>
  <c r="G44" i="5"/>
  <c r="F44" i="5"/>
  <c r="E44" i="5"/>
  <c r="H43" i="5"/>
  <c r="G43" i="5"/>
  <c r="F43" i="5"/>
  <c r="E43" i="5"/>
  <c r="H42" i="5"/>
  <c r="G42" i="5"/>
  <c r="F42" i="5"/>
  <c r="E42" i="5"/>
  <c r="D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H36" i="5"/>
  <c r="G36" i="5"/>
  <c r="F36" i="5"/>
  <c r="E36" i="5"/>
  <c r="D36" i="5"/>
  <c r="H35" i="5"/>
  <c r="G35" i="5"/>
  <c r="F35" i="5"/>
  <c r="E35" i="5"/>
  <c r="D35" i="5"/>
  <c r="H34" i="5"/>
  <c r="G34" i="5"/>
  <c r="F34" i="5"/>
  <c r="E34" i="5"/>
  <c r="D34" i="5"/>
  <c r="H33" i="5"/>
  <c r="G33" i="5"/>
  <c r="F33" i="5"/>
  <c r="E33" i="5"/>
  <c r="H32" i="5"/>
  <c r="G32" i="5"/>
  <c r="F32" i="5"/>
  <c r="E32" i="5"/>
  <c r="D32" i="5"/>
  <c r="H31" i="5"/>
  <c r="G31" i="5"/>
  <c r="F31" i="5"/>
  <c r="E31" i="5"/>
  <c r="D31" i="5"/>
  <c r="H30" i="5"/>
  <c r="G30" i="5"/>
  <c r="F30" i="5"/>
  <c r="E30" i="5"/>
  <c r="H29" i="5"/>
  <c r="G29" i="5"/>
  <c r="F29" i="5"/>
  <c r="E29" i="5"/>
  <c r="D29" i="5"/>
  <c r="H28" i="5"/>
  <c r="G28" i="5"/>
  <c r="F28" i="5"/>
  <c r="E28" i="5"/>
  <c r="H27" i="5"/>
  <c r="G27" i="5"/>
  <c r="F27" i="5"/>
  <c r="E27" i="5"/>
  <c r="H26" i="5"/>
  <c r="G26" i="5"/>
  <c r="F26" i="5"/>
  <c r="E26" i="5"/>
  <c r="H25" i="5"/>
  <c r="G25" i="5"/>
  <c r="F25" i="5"/>
  <c r="E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H14" i="5"/>
  <c r="G14" i="5"/>
  <c r="F14" i="5"/>
  <c r="E14" i="5"/>
  <c r="D14" i="5"/>
  <c r="H13" i="5"/>
  <c r="G13" i="5"/>
  <c r="F13" i="5"/>
  <c r="E13" i="5"/>
  <c r="H12" i="5"/>
  <c r="G12" i="5"/>
  <c r="F12" i="5"/>
  <c r="E12" i="5"/>
  <c r="H11" i="5"/>
  <c r="G11" i="5"/>
  <c r="F11" i="5"/>
  <c r="E11" i="5"/>
  <c r="D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H7" i="5"/>
  <c r="G7" i="5"/>
  <c r="D7" i="5"/>
  <c r="E39" i="8" l="1"/>
  <c r="D39" i="8"/>
  <c r="E38" i="8"/>
  <c r="D38" i="8"/>
  <c r="E37" i="8"/>
  <c r="D37" i="8"/>
  <c r="E36" i="8"/>
  <c r="D36" i="8"/>
  <c r="E35" i="8"/>
  <c r="D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9" i="7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D156" i="3" l="1"/>
  <c r="D154" i="3"/>
  <c r="D153" i="3"/>
  <c r="D141" i="3"/>
  <c r="D139" i="3"/>
  <c r="D138" i="3"/>
  <c r="D130" i="3"/>
  <c r="D124" i="3"/>
  <c r="D121" i="3"/>
  <c r="D120" i="3"/>
  <c r="B120" i="3"/>
  <c r="D119" i="3"/>
  <c r="B119" i="3"/>
  <c r="D118" i="3"/>
  <c r="D115" i="3"/>
  <c r="D112" i="3"/>
  <c r="D109" i="3"/>
  <c r="D108" i="3"/>
  <c r="D107" i="3"/>
  <c r="D106" i="3"/>
  <c r="D105" i="3"/>
  <c r="D99" i="3"/>
  <c r="D98" i="3"/>
  <c r="D97" i="3"/>
  <c r="D96" i="3"/>
  <c r="D93" i="3"/>
  <c r="D91" i="3"/>
  <c r="D88" i="3"/>
  <c r="D86" i="3"/>
  <c r="D85" i="3"/>
  <c r="D84" i="3"/>
  <c r="D83" i="3"/>
  <c r="D80" i="3"/>
  <c r="D79" i="3"/>
  <c r="D77" i="3"/>
  <c r="D76" i="3"/>
  <c r="D75" i="3"/>
  <c r="D74" i="3"/>
  <c r="D69" i="3"/>
  <c r="D68" i="3"/>
  <c r="D65" i="3"/>
  <c r="D64" i="3"/>
  <c r="D63" i="3"/>
  <c r="D62" i="3"/>
  <c r="D61" i="3"/>
  <c r="D59" i="3"/>
  <c r="D58" i="3"/>
  <c r="D56" i="3"/>
  <c r="D55" i="3"/>
  <c r="D54" i="3"/>
  <c r="D53" i="3"/>
  <c r="D52" i="3"/>
  <c r="D51" i="3"/>
  <c r="D49" i="3"/>
  <c r="D48" i="3"/>
  <c r="D47" i="3"/>
  <c r="D44" i="3"/>
  <c r="D43" i="3"/>
  <c r="D42" i="3"/>
  <c r="D38" i="3"/>
  <c r="D36" i="3"/>
  <c r="D35" i="3"/>
  <c r="D34" i="3"/>
  <c r="D33" i="3"/>
  <c r="D28" i="3"/>
  <c r="D27" i="3"/>
  <c r="D26" i="3"/>
  <c r="D23" i="3"/>
  <c r="D22" i="3"/>
  <c r="D21" i="3"/>
  <c r="D20" i="3"/>
  <c r="D19" i="3"/>
  <c r="D18" i="3"/>
  <c r="D17" i="3"/>
  <c r="D14" i="3"/>
  <c r="D12" i="3"/>
  <c r="D10" i="3"/>
  <c r="D8" i="3"/>
  <c r="D5" i="3"/>
  <c r="G123" i="2" l="1"/>
  <c r="F123" i="2"/>
  <c r="E123" i="2"/>
  <c r="D123" i="2"/>
  <c r="C123" i="2"/>
  <c r="G122" i="2"/>
  <c r="F122" i="2"/>
  <c r="E122" i="2"/>
  <c r="D122" i="2"/>
  <c r="C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G109" i="2"/>
  <c r="F109" i="2"/>
  <c r="E109" i="2"/>
  <c r="D109" i="2"/>
  <c r="C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C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C102" i="2"/>
  <c r="G101" i="2"/>
  <c r="F101" i="2"/>
  <c r="E101" i="2"/>
  <c r="D101" i="2"/>
  <c r="G100" i="2"/>
  <c r="F100" i="2"/>
  <c r="E100" i="2"/>
  <c r="D100" i="2"/>
  <c r="C100" i="2"/>
  <c r="G99" i="2"/>
  <c r="F99" i="2"/>
  <c r="E99" i="2"/>
  <c r="D99" i="2"/>
  <c r="G98" i="2"/>
  <c r="F98" i="2"/>
  <c r="E98" i="2"/>
  <c r="D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G85" i="2"/>
  <c r="F85" i="2"/>
  <c r="E85" i="2"/>
  <c r="D85" i="2"/>
  <c r="C85" i="2"/>
  <c r="G84" i="2"/>
  <c r="F84" i="2"/>
  <c r="E84" i="2"/>
  <c r="D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G42" i="2"/>
  <c r="F42" i="2"/>
  <c r="E42" i="2"/>
  <c r="D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G33" i="2"/>
  <c r="F33" i="2"/>
  <c r="E33" i="2"/>
  <c r="D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6" i="2"/>
  <c r="F6" i="2"/>
  <c r="C6" i="2"/>
  <c r="G121" i="1" l="1"/>
  <c r="F121" i="1"/>
  <c r="E121" i="1"/>
  <c r="D121" i="1"/>
  <c r="G120" i="1"/>
  <c r="F120" i="1"/>
  <c r="E120" i="1"/>
  <c r="D120" i="1"/>
  <c r="C120" i="1"/>
  <c r="G119" i="1"/>
  <c r="F119" i="1"/>
  <c r="E119" i="1"/>
  <c r="D119" i="1"/>
  <c r="G118" i="1"/>
  <c r="F118" i="1"/>
  <c r="E118" i="1"/>
  <c r="D118" i="1"/>
  <c r="C118" i="1"/>
  <c r="G117" i="1"/>
  <c r="F117" i="1"/>
  <c r="E117" i="1"/>
  <c r="D117" i="1"/>
  <c r="C117" i="1"/>
  <c r="G116" i="1"/>
  <c r="F116" i="1"/>
  <c r="E116" i="1"/>
  <c r="D116" i="1"/>
  <c r="C116" i="1"/>
  <c r="G115" i="1"/>
  <c r="F115" i="1"/>
  <c r="E115" i="1"/>
  <c r="D115" i="1"/>
  <c r="G114" i="1"/>
  <c r="F114" i="1"/>
  <c r="E114" i="1"/>
  <c r="D114" i="1"/>
  <c r="C114" i="1"/>
  <c r="G113" i="1"/>
  <c r="F113" i="1"/>
  <c r="E113" i="1"/>
  <c r="D113" i="1"/>
  <c r="G112" i="1"/>
  <c r="F112" i="1"/>
  <c r="E112" i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G107" i="1"/>
  <c r="F107" i="1"/>
  <c r="E107" i="1"/>
  <c r="D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G103" i="1"/>
  <c r="F103" i="1"/>
  <c r="E103" i="1"/>
  <c r="D103" i="1"/>
  <c r="G102" i="1"/>
  <c r="F102" i="1"/>
  <c r="E102" i="1"/>
  <c r="D102" i="1"/>
  <c r="C102" i="1"/>
  <c r="G101" i="1"/>
  <c r="F101" i="1"/>
  <c r="E101" i="1"/>
  <c r="D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C94" i="1"/>
  <c r="G93" i="1"/>
  <c r="F93" i="1"/>
  <c r="E93" i="1"/>
  <c r="D93" i="1"/>
  <c r="G92" i="1"/>
  <c r="F92" i="1"/>
  <c r="E92" i="1"/>
  <c r="D92" i="1"/>
  <c r="C92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G83" i="1"/>
  <c r="F83" i="1"/>
  <c r="E83" i="1"/>
  <c r="D83" i="1"/>
  <c r="G82" i="1"/>
  <c r="F82" i="1"/>
  <c r="E82" i="1"/>
  <c r="D82" i="1"/>
  <c r="C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G75" i="1"/>
  <c r="F75" i="1"/>
  <c r="E75" i="1"/>
  <c r="D75" i="1"/>
  <c r="C75" i="1"/>
  <c r="G74" i="1"/>
  <c r="F74" i="1"/>
  <c r="E74" i="1"/>
  <c r="D74" i="1"/>
  <c r="G73" i="1"/>
  <c r="F73" i="1"/>
  <c r="E73" i="1"/>
  <c r="D73" i="1"/>
  <c r="G72" i="1"/>
  <c r="F72" i="1"/>
  <c r="E72" i="1"/>
  <c r="D72" i="1"/>
  <c r="C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C63" i="1"/>
  <c r="G62" i="1"/>
  <c r="F62" i="1"/>
  <c r="E62" i="1"/>
  <c r="D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C42" i="1"/>
  <c r="G41" i="1"/>
  <c r="F41" i="1"/>
  <c r="E41" i="1"/>
  <c r="D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6" i="1"/>
  <c r="F6" i="1"/>
  <c r="C6" i="1"/>
</calcChain>
</file>

<file path=xl/sharedStrings.xml><?xml version="1.0" encoding="utf-8"?>
<sst xmlns="http://schemas.openxmlformats.org/spreadsheetml/2006/main" count="1198" uniqueCount="417">
  <si>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</si>
  <si>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</si>
  <si>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</si>
  <si>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</si>
  <si>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</si>
  <si>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</si>
  <si>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</si>
  <si>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</si>
  <si>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</si>
  <si>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</si>
  <si>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</si>
  <si>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</si>
  <si>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</si>
  <si>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</si>
  <si>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</si>
  <si>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</si>
  <si>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</si>
  <si>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</si>
  <si>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</si>
  <si>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</si>
  <si>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</si>
  <si>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</si>
  <si>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</si>
  <si>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</si>
  <si>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</si>
  <si>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</si>
  <si>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</si>
  <si>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</si>
  <si>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</si>
  <si>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</si>
  <si>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</si>
  <si>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</si>
  <si>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</si>
  <si>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</si>
  <si>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</si>
  <si>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</si>
  <si>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</si>
  <si>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</si>
  <si>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</si>
  <si>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</si>
  <si>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</si>
  <si>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</si>
  <si>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</si>
  <si>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</si>
  <si>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</si>
  <si>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</si>
  <si>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</si>
  <si>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</si>
  <si>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</si>
  <si>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</si>
  <si>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</si>
  <si>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</si>
  <si>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</si>
  <si>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</si>
  <si>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</si>
  <si>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</si>
  <si>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</si>
  <si>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</si>
  <si>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</si>
  <si>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</si>
  <si>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</si>
  <si>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</si>
  <si>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</si>
  <si>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</si>
  <si>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</si>
  <si>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</si>
  <si>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</si>
  <si>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</si>
  <si>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</si>
  <si>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</si>
  <si>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</si>
  <si>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</si>
  <si>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</si>
  <si>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</si>
  <si>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</si>
  <si>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</si>
  <si>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</si>
  <si>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</si>
  <si>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</si>
  <si>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</si>
  <si>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</si>
  <si>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</si>
  <si>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</si>
  <si>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</si>
  <si>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</si>
  <si>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</si>
  <si>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</si>
  <si>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</si>
  <si>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</si>
  <si>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</si>
  <si>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</si>
  <si>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</si>
  <si>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</si>
  <si>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</si>
  <si>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</si>
  <si>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</si>
  <si>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</si>
  <si>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</si>
  <si>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</si>
  <si>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</si>
  <si>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</si>
  <si>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</si>
  <si>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</si>
  <si>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</si>
  <si>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</si>
  <si>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</si>
  <si>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</si>
  <si>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</si>
  <si>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</si>
  <si>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</si>
  <si>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</si>
  <si>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</si>
  <si>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</si>
  <si>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</si>
  <si>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</si>
  <si>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</si>
  <si>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</si>
  <si>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</si>
  <si>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</si>
  <si>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</si>
  <si>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</si>
  <si>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</si>
  <si>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</si>
  <si>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</si>
  <si>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</si>
  <si>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</si>
  <si>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>Senegal</t>
  </si>
  <si>
    <t xml:space="preserve">   din care:</t>
  </si>
  <si>
    <t xml:space="preserve">IMPORT - total      </t>
  </si>
  <si>
    <t>Burkina Faso</t>
  </si>
  <si>
    <t>Macedonia de Nord</t>
  </si>
  <si>
    <t>Cote D'Ivoire</t>
  </si>
  <si>
    <t>Laos</t>
  </si>
  <si>
    <t xml:space="preserve">     din care:</t>
  </si>
  <si>
    <t>Zimbabwe</t>
  </si>
  <si>
    <t>Camerun</t>
  </si>
  <si>
    <t xml:space="preserve">EXPORT - total      </t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</si>
  <si>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</si>
  <si>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</si>
  <si>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</si>
  <si>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</si>
  <si>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</si>
  <si>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</si>
  <si>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</si>
  <si>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</si>
  <si>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</si>
  <si>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</si>
  <si>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</si>
  <si>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</si>
  <si>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</si>
  <si>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</si>
  <si>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</si>
  <si>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</si>
  <si>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</si>
  <si>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</si>
  <si>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</si>
  <si>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</si>
  <si>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</si>
  <si>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</si>
  <si>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</si>
  <si>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</si>
  <si>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</si>
  <si>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</si>
  <si>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</si>
  <si>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</si>
  <si>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</si>
  <si>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</si>
  <si>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</si>
  <si>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</si>
  <si>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</si>
  <si>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</si>
  <si>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</si>
  <si>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</si>
  <si>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</si>
  <si>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</si>
  <si>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</si>
  <si>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</si>
  <si>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</si>
  <si>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</si>
  <si>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</si>
  <si>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</si>
  <si>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</si>
  <si>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</si>
  <si>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</si>
  <si>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</si>
  <si>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</si>
  <si>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</si>
  <si>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</si>
  <si>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</si>
  <si>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</si>
  <si>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</si>
  <si>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</si>
  <si>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</si>
  <si>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</si>
  <si>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</si>
  <si>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</si>
  <si>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</si>
  <si>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</si>
  <si>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</si>
  <si>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</si>
  <si>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</si>
  <si>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</si>
  <si>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</si>
  <si>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</si>
  <si>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</si>
  <si>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</si>
  <si>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</si>
  <si>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</si>
  <si>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</si>
  <si>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</si>
  <si>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</si>
  <si>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</si>
  <si>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</si>
  <si>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</si>
  <si>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Cuba</t>
  </si>
  <si>
    <t>de 2,5 ori</t>
  </si>
  <si>
    <t>Libia</t>
  </si>
  <si>
    <t>Statul Palestina</t>
  </si>
  <si>
    <t>de 2,3 ori</t>
  </si>
  <si>
    <t>de 1,5 ori</t>
  </si>
  <si>
    <t>Kosovo</t>
  </si>
  <si>
    <t>Afganistan</t>
  </si>
  <si>
    <t>Tanzania</t>
  </si>
  <si>
    <t>Nicaragua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</si>
  <si>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</si>
  <si>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</si>
  <si>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</si>
  <si>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</si>
  <si>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</si>
  <si>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</si>
  <si>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</si>
  <si>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</si>
  <si>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</si>
  <si>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</si>
  <si>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</si>
  <si>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</si>
  <si>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</si>
  <si>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</si>
  <si>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</si>
  <si>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</si>
  <si>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</si>
  <si>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</si>
  <si>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</si>
  <si>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</si>
  <si>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</si>
  <si>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</si>
  <si>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</si>
  <si>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</si>
  <si>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</si>
  <si>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</si>
  <si>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</si>
  <si>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</si>
  <si>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</si>
  <si>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</si>
  <si>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</si>
  <si>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</si>
  <si>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</si>
  <si>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</si>
  <si>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</si>
  <si>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</si>
  <si>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</si>
  <si>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</si>
  <si>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</si>
  <si>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</si>
  <si>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</si>
  <si>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</si>
  <si>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</si>
  <si>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</si>
  <si>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</si>
  <si>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</si>
  <si>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</si>
  <si>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</si>
  <si>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</si>
  <si>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</si>
  <si>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</si>
  <si>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</si>
  <si>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</si>
  <si>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</si>
  <si>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</si>
  <si>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</si>
  <si>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</si>
  <si>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</si>
  <si>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</si>
  <si>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</si>
  <si>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</si>
  <si>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</si>
  <si>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</si>
  <si>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</si>
  <si>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</si>
  <si>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</si>
  <si>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</si>
  <si>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</si>
  <si>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</si>
  <si>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</si>
  <si>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de 2,6 ori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</si>
  <si>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</si>
  <si>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</si>
  <si>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</si>
  <si>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</si>
  <si>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</si>
  <si>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</si>
  <si>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Sierra Leone</t>
  </si>
  <si>
    <t>-</t>
  </si>
  <si>
    <t>de 2,7 ori</t>
  </si>
  <si>
    <t>de 2,4 ori</t>
  </si>
  <si>
    <t>35</t>
  </si>
  <si>
    <t>Energie electrica</t>
  </si>
  <si>
    <t>de 4,3 ori</t>
  </si>
  <si>
    <t>Energie electrică</t>
  </si>
  <si>
    <t>BALANŢA COMERCIALĂ - total, mii dolari SUA</t>
  </si>
  <si>
    <t>mii dolari                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</si>
  <si>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</si>
  <si>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</si>
  <si>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t>de 4,2 ori</t>
  </si>
  <si>
    <t>Andorra</t>
  </si>
  <si>
    <t>Mauritius</t>
  </si>
  <si>
    <t>de 3,0 ori</t>
  </si>
  <si>
    <t xml:space="preserve">      din care:</t>
  </si>
  <si>
    <t>de 5,8 ori</t>
  </si>
  <si>
    <t>Celelalte țări ale lumii</t>
  </si>
  <si>
    <t>Țările Uniunii Europene - total</t>
  </si>
  <si>
    <t>Trinidad Tobago</t>
  </si>
  <si>
    <t>Congo</t>
  </si>
  <si>
    <t>Angola</t>
  </si>
  <si>
    <t>Madagascar</t>
  </si>
  <si>
    <t>Nepal</t>
  </si>
  <si>
    <t>Togo</t>
  </si>
  <si>
    <t>San Marino</t>
  </si>
  <si>
    <t>Malawi</t>
  </si>
  <si>
    <t>Barbados</t>
  </si>
  <si>
    <t>Guatemala</t>
  </si>
  <si>
    <t>Coreea de Nord</t>
  </si>
  <si>
    <t>Honduras</t>
  </si>
  <si>
    <t>Groenlanda</t>
  </si>
  <si>
    <t>Algeria</t>
  </si>
  <si>
    <t>de 5,2 ori</t>
  </si>
  <si>
    <t>de 5,0 ori</t>
  </si>
  <si>
    <t>Namibia</t>
  </si>
  <si>
    <t>de 7,8 ori</t>
  </si>
  <si>
    <t>Rwanda</t>
  </si>
  <si>
    <t>de 10,6 ori</t>
  </si>
  <si>
    <t>de 3,3 ori</t>
  </si>
  <si>
    <t>de 3,7 ori</t>
  </si>
  <si>
    <t>Republica Dominicană</t>
  </si>
  <si>
    <t>Republica Yemen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</si>
  <si>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</si>
  <si>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pe grupe de ţări</t>
    </r>
  </si>
  <si>
    <r>
      <t xml:space="preserve"> 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Faţă de perioada corespunzătoare din anul precedent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</si>
  <si>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pe grupe de ţări</t>
    </r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</si>
  <si>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</si>
  <si>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</si>
  <si>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</si>
  <si>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</si>
  <si>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</si>
  <si>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</si>
  <si>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Montenegro</t>
  </si>
  <si>
    <t>de 3,2 ori</t>
  </si>
  <si>
    <t>de 132,3 ori</t>
  </si>
  <si>
    <t>de 2,8 ori</t>
  </si>
  <si>
    <t>de 31,9 ori</t>
  </si>
  <si>
    <t xml:space="preserve">Țări cu codul țării de origine a marfii "EU" </t>
  </si>
  <si>
    <t>Antigua și Barbuda</t>
  </si>
  <si>
    <t>de 4,8 ori</t>
  </si>
  <si>
    <t>de 4,7 ori</t>
  </si>
  <si>
    <t>Bolivia</t>
  </si>
  <si>
    <t>de 3,5 ori</t>
  </si>
  <si>
    <t>de 4,1 ori</t>
  </si>
  <si>
    <t>de 6,1 ori</t>
  </si>
  <si>
    <t>de 3,4 ori</t>
  </si>
  <si>
    <t>Ianuarie - noiembrie 2021</t>
  </si>
  <si>
    <t>în % faţă de ianuarie - noiembrie 2020 ¹</t>
  </si>
  <si>
    <t>ianuarie - noiembrie</t>
  </si>
  <si>
    <r>
      <t xml:space="preserve">ianuarie - noiembrie </t>
    </r>
    <r>
      <rPr>
        <b/>
        <vertAlign val="superscript"/>
        <sz val="10"/>
        <rFont val="Times New Roman"/>
        <family val="1"/>
        <charset val="204"/>
      </rPr>
      <t>1,2</t>
    </r>
  </si>
  <si>
    <t>în % faţă de ianuarie-noiembrie 2020 ¹</t>
  </si>
  <si>
    <r>
      <t>ianuarie - noiembrie</t>
    </r>
    <r>
      <rPr>
        <b/>
        <vertAlign val="superscript"/>
        <sz val="10"/>
        <rFont val="Times New Roman"/>
        <family val="1"/>
        <charset val="204"/>
      </rPr>
      <t xml:space="preserve"> 1,2</t>
    </r>
  </si>
  <si>
    <t>Ianuarie - noiembrie</t>
  </si>
  <si>
    <t>Ianuarie - noiembrie 2021 în % faţă de ianuarie - noiembrie 2020 ¹</t>
  </si>
  <si>
    <r>
      <t>ianuarie - noiembrie</t>
    </r>
    <r>
      <rPr>
        <b/>
        <vertAlign val="superscript"/>
        <sz val="10"/>
        <color indexed="8"/>
        <rFont val="Times New Roman"/>
        <family val="1"/>
        <charset val="204"/>
      </rPr>
      <t xml:space="preserve"> 1,2</t>
    </r>
  </si>
  <si>
    <t>Mărfuri manufacturate, clasificate noiembrie ales după materia primă</t>
  </si>
  <si>
    <r>
      <t xml:space="preserve">ianuarie - noiembrie </t>
    </r>
    <r>
      <rPr>
        <b/>
        <vertAlign val="superscript"/>
        <sz val="10"/>
        <color indexed="8"/>
        <rFont val="Times New Roman"/>
        <family val="1"/>
        <charset val="204"/>
      </rPr>
      <t>1,2</t>
    </r>
  </si>
  <si>
    <t>Ianuarie - noiembrie 2021 în % faţă de            ianuarie - noiembrie 2020 ¹</t>
  </si>
  <si>
    <t>Kuwait</t>
  </si>
  <si>
    <t>de 10,7 ori</t>
  </si>
  <si>
    <t>de 25,0 ori</t>
  </si>
  <si>
    <t>de 6,0 ori</t>
  </si>
  <si>
    <t>de 11,6 ori</t>
  </si>
  <si>
    <t>de 6,7 ori</t>
  </si>
  <si>
    <t>de 21,4 ori</t>
  </si>
  <si>
    <t>de 9,9 ori</t>
  </si>
  <si>
    <t>de 294,0 ori</t>
  </si>
  <si>
    <t>de 4,6 ori</t>
  </si>
  <si>
    <t>de 19,5 ori</t>
  </si>
  <si>
    <t>de 23,1 ori</t>
  </si>
  <si>
    <t>de 16,6 ori</t>
  </si>
  <si>
    <t>de 5503,1 ori</t>
  </si>
  <si>
    <t>de 106,0 ori</t>
  </si>
  <si>
    <t xml:space="preserve">Țări cu codul țării de origine a mărfii "EU" </t>
  </si>
  <si>
    <t>Papua-Noua Guinee</t>
  </si>
  <si>
    <t>Somalia</t>
  </si>
  <si>
    <t>Gambia</t>
  </si>
  <si>
    <t>de 5,7 ori</t>
  </si>
  <si>
    <t>de 4,0 ori</t>
  </si>
  <si>
    <t>de 44,1 ori</t>
  </si>
  <si>
    <t>de 3,6 ori</t>
  </si>
  <si>
    <t>de 10,0 ori</t>
  </si>
  <si>
    <t>de 15,3 ori</t>
  </si>
  <si>
    <t>de 9,3 ori</t>
  </si>
  <si>
    <t>de 3,1 ori</t>
  </si>
  <si>
    <t>Insulele Turks și Caicos</t>
  </si>
  <si>
    <t>de 12,5 ori</t>
  </si>
  <si>
    <t>Insulele Feroe</t>
  </si>
  <si>
    <t>Sri Lanka</t>
  </si>
  <si>
    <t>Insulele Folkland</t>
  </si>
  <si>
    <t>Insulele Seychelles</t>
  </si>
  <si>
    <t>de 4,4 ori</t>
  </si>
  <si>
    <t>Kârgâzstan</t>
  </si>
  <si>
    <t>Kârgîzstan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</si>
</sst>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b/>
      <vertAlign val="superscript"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3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 horizontal="right" vertical="top" wrapText="1" indent="1"/>
    </xf>
    <xf numFmtId="4" fontId="11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center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0" fontId="24" fillId="0" borderId="0" xfId="0" applyFont="1" applyAlignment="1">
      <alignment horizontal="center" vertical="top"/>
    </xf>
    <xf numFmtId="0" fontId="28" fillId="0" borderId="5" xfId="0" applyNumberFormat="1" applyFont="1" applyFill="1" applyBorder="1" applyAlignment="1" applyProtection="1">
      <alignment horizontal="center" vertical="top"/>
    </xf>
    <xf numFmtId="38" fontId="11" fillId="0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1"/>
    </xf>
    <xf numFmtId="0" fontId="11" fillId="0" borderId="0" xfId="0" applyNumberFormat="1" applyFont="1" applyFill="1" applyAlignment="1" applyProtection="1">
      <alignment horizontal="left" vertical="top" wrapText="1" indent="1"/>
    </xf>
    <xf numFmtId="4" fontId="11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Alignment="1" applyProtection="1">
      <alignment horizontal="left" vertical="top" wrapText="1" indent="1"/>
    </xf>
    <xf numFmtId="4" fontId="9" fillId="0" borderId="0" xfId="0" applyNumberFormat="1" applyFont="1" applyFill="1" applyAlignment="1" applyProtection="1">
      <alignment horizontal="right" vertical="top" indent="1"/>
    </xf>
    <xf numFmtId="38" fontId="9" fillId="0" borderId="3" xfId="0" applyNumberFormat="1" applyFont="1" applyFill="1" applyBorder="1" applyAlignment="1" applyProtection="1">
      <alignment horizontal="left" vertical="top" wrapText="1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27" fillId="0" borderId="5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29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9" fillId="0" borderId="0" xfId="0" applyNumberFormat="1" applyFont="1" applyBorder="1" applyAlignment="1">
      <alignment horizontal="right" vertical="top" indent="1"/>
    </xf>
    <xf numFmtId="0" fontId="27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Border="1" applyAlignment="1">
      <alignment horizontal="right" vertical="top" indent="1"/>
    </xf>
    <xf numFmtId="0" fontId="11" fillId="0" borderId="0" xfId="0" applyNumberFormat="1" applyFont="1" applyFill="1" applyBorder="1" applyAlignment="1" applyProtection="1">
      <alignment horizontal="left" vertical="top" wrapText="1" inden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22" fillId="0" borderId="0" xfId="0" applyNumberFormat="1" applyFont="1" applyFill="1" applyBorder="1" applyAlignment="1" applyProtection="1">
      <alignment horizontal="right" vertical="top" indent="1"/>
    </xf>
    <xf numFmtId="4" fontId="24" fillId="0" borderId="0" xfId="0" applyNumberFormat="1" applyFont="1" applyAlignment="1">
      <alignment horizontal="right" vertical="top" indent="1"/>
    </xf>
    <xf numFmtId="4" fontId="24" fillId="0" borderId="0" xfId="0" applyNumberFormat="1" applyFont="1" applyAlignment="1">
      <alignment horizontal="right" vertical="top" indent="2"/>
    </xf>
    <xf numFmtId="2" fontId="9" fillId="0" borderId="0" xfId="0" applyNumberFormat="1" applyFont="1" applyFill="1" applyBorder="1" applyAlignment="1" applyProtection="1">
      <alignment horizontal="right" vertical="top" indent="1"/>
    </xf>
    <xf numFmtId="38" fontId="9" fillId="0" borderId="0" xfId="0" applyNumberFormat="1" applyFont="1" applyFill="1" applyBorder="1" applyAlignment="1" applyProtection="1">
      <alignment horizontal="center" vertical="top"/>
    </xf>
    <xf numFmtId="38" fontId="9" fillId="0" borderId="0" xfId="0" applyNumberFormat="1" applyFont="1" applyFill="1" applyBorder="1" applyAlignment="1" applyProtection="1">
      <alignment horizontal="left" vertical="top"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8" fontId="34" fillId="0" borderId="0" xfId="0" applyNumberFormat="1" applyFont="1" applyFill="1" applyBorder="1" applyAlignment="1" applyProtection="1">
      <alignment horizontal="left" wrapText="1"/>
    </xf>
    <xf numFmtId="0" fontId="34" fillId="0" borderId="0" xfId="0" applyFont="1" applyAlignment="1">
      <alignment horizontal="left"/>
    </xf>
    <xf numFmtId="4" fontId="11" fillId="0" borderId="0" xfId="0" applyNumberFormat="1" applyFont="1" applyFill="1" applyAlignment="1" applyProtection="1">
      <alignment horizontal="right" vertical="top" wrapText="1" indent="1"/>
    </xf>
    <xf numFmtId="4" fontId="29" fillId="0" borderId="0" xfId="0" applyNumberFormat="1" applyFont="1" applyBorder="1" applyAlignment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wrapText="1" indent="1"/>
    </xf>
    <xf numFmtId="4" fontId="11" fillId="0" borderId="0" xfId="0" applyNumberFormat="1" applyFont="1" applyBorder="1" applyAlignment="1">
      <alignment horizontal="right" vertical="top" indent="1"/>
    </xf>
    <xf numFmtId="4" fontId="11" fillId="0" borderId="0" xfId="0" applyNumberFormat="1" applyFont="1" applyBorder="1" applyAlignment="1">
      <alignment horizontal="right" vertical="top" wrapText="1" indent="1"/>
    </xf>
    <xf numFmtId="4" fontId="11" fillId="0" borderId="0" xfId="0" applyNumberFormat="1" applyFont="1" applyFill="1" applyBorder="1" applyAlignment="1" applyProtection="1">
      <alignment horizontal="right" vertical="top"/>
    </xf>
    <xf numFmtId="38" fontId="9" fillId="0" borderId="0" xfId="0" applyNumberFormat="1" applyFont="1" applyFill="1" applyBorder="1" applyAlignment="1" applyProtection="1">
      <alignment horizontal="left" vertical="top" wrapText="1" indent="1"/>
    </xf>
    <xf numFmtId="4" fontId="11" fillId="0" borderId="3" xfId="0" applyNumberFormat="1" applyFont="1" applyFill="1" applyBorder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wrapText="1" indent="1"/>
    </xf>
    <xf numFmtId="4" fontId="27" fillId="0" borderId="5" xfId="0" applyNumberFormat="1" applyFont="1" applyFill="1" applyBorder="1" applyAlignment="1" applyProtection="1">
      <alignment horizontal="right" vertical="top" wrapText="1" indent="1"/>
    </xf>
    <xf numFmtId="0" fontId="34" fillId="0" borderId="0" xfId="0" applyFont="1" applyAlignment="1">
      <alignment horizontal="left"/>
    </xf>
    <xf numFmtId="164" fontId="9" fillId="0" borderId="0" xfId="0" applyNumberFormat="1" applyFont="1" applyFill="1" applyAlignment="1" applyProtection="1">
      <alignment horizontal="right" vertical="top" indent="1"/>
    </xf>
    <xf numFmtId="4" fontId="32" fillId="0" borderId="0" xfId="0" applyNumberFormat="1" applyFont="1" applyAlignment="1">
      <alignment horizontal="right" vertical="top" indent="1"/>
    </xf>
    <xf numFmtId="0" fontId="36" fillId="0" borderId="0" xfId="0" applyFont="1" applyAlignment="1">
      <alignment horizontal="left" vertical="top" wrapText="1" indent="1"/>
    </xf>
    <xf numFmtId="0" fontId="36" fillId="0" borderId="3" xfId="0" applyFont="1" applyBorder="1" applyAlignment="1">
      <alignment horizontal="left" vertical="top" wrapText="1" indent="1"/>
    </xf>
    <xf numFmtId="4" fontId="36" fillId="0" borderId="0" xfId="0" applyNumberFormat="1" applyFont="1" applyAlignment="1">
      <alignment horizontal="right" vertical="top"/>
    </xf>
    <xf numFmtId="4" fontId="36" fillId="0" borderId="3" xfId="0" applyNumberFormat="1" applyFont="1" applyBorder="1" applyAlignment="1">
      <alignment horizontal="right" vertical="top"/>
    </xf>
    <xf numFmtId="4" fontId="9" fillId="0" borderId="3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4" fontId="9" fillId="0" borderId="3" xfId="0" applyNumberFormat="1" applyFont="1" applyFill="1" applyBorder="1" applyAlignment="1" applyProtection="1">
      <alignment horizontal="right" vertical="top" indent="2"/>
    </xf>
    <xf numFmtId="4" fontId="31" fillId="0" borderId="0" xfId="0" applyNumberFormat="1" applyFont="1" applyAlignment="1">
      <alignment horizontal="right" vertical="top" indent="1"/>
    </xf>
    <xf numFmtId="4" fontId="9" fillId="0" borderId="3" xfId="0" applyNumberFormat="1" applyFont="1" applyBorder="1" applyAlignment="1">
      <alignment horizontal="right" vertical="top" wrapText="1" indent="1"/>
    </xf>
    <xf numFmtId="4" fontId="31" fillId="0" borderId="0" xfId="0" applyNumberFormat="1" applyFont="1" applyBorder="1" applyAlignment="1">
      <alignment horizontal="right" vertical="top" indent="1"/>
    </xf>
    <xf numFmtId="4" fontId="0" fillId="0" borderId="0" xfId="0" applyNumberFormat="1" applyAlignment="1">
      <alignment horizontal="right" vertical="top" indent="1"/>
    </xf>
    <xf numFmtId="4" fontId="37" fillId="0" borderId="0" xfId="0" applyNumberFormat="1" applyFont="1" applyAlignment="1">
      <alignment horizontal="right" vertical="top" indent="1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3"/>
  <sheetViews>
    <sheetView tabSelected="1" zoomScale="99" zoomScaleNormal="99" workbookViewId="0">
      <selection activeCell="H43" sqref="H43"/>
    </sheetView>
  </sheetViews>
  <sheetFormatPr defaultRowHeight="15.75" x14ac:dyDescent="0.25"/>
  <cols>
    <col min="1" max="1" width="29.625" style="7" customWidth="1"/>
    <col min="2" max="2" width="12.375" style="7" customWidth="1"/>
    <col min="3" max="3" width="10.5" style="7" customWidth="1"/>
    <col min="4" max="4" width="9" style="7" customWidth="1"/>
    <col min="5" max="5" width="8.75" style="7" customWidth="1"/>
    <col min="6" max="6" width="9.875" style="7" customWidth="1"/>
    <col min="7" max="7" width="9.375" style="7" customWidth="1"/>
  </cols>
  <sheetData>
    <row r="1" spans="1:7" x14ac:dyDescent="0.25">
      <c r="A1" s="103" t="s">
        <v>345</v>
      </c>
      <c r="B1" s="103"/>
      <c r="C1" s="103"/>
      <c r="D1" s="103"/>
      <c r="E1" s="103"/>
      <c r="F1" s="103"/>
      <c r="G1" s="103"/>
    </row>
    <row r="3" spans="1:7" ht="54" customHeight="1" x14ac:dyDescent="0.25">
      <c r="A3" s="104"/>
      <c r="B3" s="107" t="s">
        <v>369</v>
      </c>
      <c r="C3" s="108"/>
      <c r="D3" s="107" t="s">
        <v>108</v>
      </c>
      <c r="E3" s="108"/>
      <c r="F3" s="109" t="s">
        <v>1</v>
      </c>
      <c r="G3" s="110"/>
    </row>
    <row r="4" spans="1:7" ht="22.5" customHeight="1" x14ac:dyDescent="0.25">
      <c r="A4" s="105"/>
      <c r="B4" s="111" t="s">
        <v>99</v>
      </c>
      <c r="C4" s="113" t="s">
        <v>370</v>
      </c>
      <c r="D4" s="115" t="s">
        <v>371</v>
      </c>
      <c r="E4" s="115"/>
      <c r="F4" s="115" t="s">
        <v>372</v>
      </c>
      <c r="G4" s="107"/>
    </row>
    <row r="5" spans="1:7" ht="28.5" customHeight="1" x14ac:dyDescent="0.25">
      <c r="A5" s="106"/>
      <c r="B5" s="112"/>
      <c r="C5" s="114"/>
      <c r="D5" s="18">
        <v>2020</v>
      </c>
      <c r="E5" s="18">
        <v>2021</v>
      </c>
      <c r="F5" s="18">
        <v>2020</v>
      </c>
      <c r="G5" s="14">
        <v>2021</v>
      </c>
    </row>
    <row r="6" spans="1:7" ht="15.75" customHeight="1" x14ac:dyDescent="0.25">
      <c r="A6" s="44" t="s">
        <v>100</v>
      </c>
      <c r="B6" s="36">
        <v>2819483.6893099998</v>
      </c>
      <c r="C6" s="37">
        <f>IF(2248863.79366="","-",2819483.68931/2248863.79366*100)</f>
        <v>125.37369747597398</v>
      </c>
      <c r="D6" s="37">
        <v>100</v>
      </c>
      <c r="E6" s="37">
        <v>100</v>
      </c>
      <c r="F6" s="37">
        <f>IF(2560872.65018="","-",(2248863.79366-2560872.65018)/2560872.65018*100)</f>
        <v>-12.183692793082439</v>
      </c>
      <c r="G6" s="37">
        <f>IF(2248863.79366="","-",(2819483.68931-2248863.79366)/2248863.79366*100)</f>
        <v>25.373697475973966</v>
      </c>
    </row>
    <row r="7" spans="1:7" x14ac:dyDescent="0.25">
      <c r="A7" s="45" t="s">
        <v>317</v>
      </c>
      <c r="B7" s="63"/>
      <c r="C7" s="64"/>
      <c r="D7" s="64"/>
      <c r="E7" s="64"/>
      <c r="F7" s="64"/>
      <c r="G7" s="64"/>
    </row>
    <row r="8" spans="1:7" x14ac:dyDescent="0.25">
      <c r="A8" s="38" t="s">
        <v>142</v>
      </c>
      <c r="B8" s="26">
        <v>1726465.9953399999</v>
      </c>
      <c r="C8" s="39">
        <f>IF(1502385.9765="","-",1726465.99534/1502385.9765*100)</f>
        <v>114.91494345294828</v>
      </c>
      <c r="D8" s="39">
        <f>IF(1502385.9765="","-",1502385.9765/2248863.79366*100)</f>
        <v>66.80644602556761</v>
      </c>
      <c r="E8" s="39">
        <f>IF(1726465.99534="","-",1726465.99534/2819483.68931*100)</f>
        <v>61.233409573740452</v>
      </c>
      <c r="F8" s="39">
        <f>IF(2560872.65018="","-",(1502385.9765-1636889.74835)/2560872.65018*100)</f>
        <v>-5.2522632017857598</v>
      </c>
      <c r="G8" s="39">
        <f>IF(2248863.79366="","-",(1726465.99534-1502385.9765)/2248863.79366*100)</f>
        <v>9.9641436476378207</v>
      </c>
    </row>
    <row r="9" spans="1:7" ht="15.75" customHeight="1" x14ac:dyDescent="0.25">
      <c r="A9" s="40" t="s">
        <v>2</v>
      </c>
      <c r="B9" s="27">
        <v>751600.71883000003</v>
      </c>
      <c r="C9" s="41">
        <f>IF(OR(642816.95726="",751600.71883=""),"-",751600.71883/642816.95726*100)</f>
        <v>116.92297633741487</v>
      </c>
      <c r="D9" s="41">
        <f>IF(642816.95726="","-",642816.95726/2248863.79366*100)</f>
        <v>28.584076949090047</v>
      </c>
      <c r="E9" s="41">
        <f>IF(751600.71883="","-",751600.71883/2819483.68931*100)</f>
        <v>26.657388431778305</v>
      </c>
      <c r="F9" s="41">
        <f>IF(OR(2560872.65018="",711134.61346="",642816.95726=""),"-",(642816.95726-711134.61346)/2560872.65018*100)</f>
        <v>-2.6677490657412437</v>
      </c>
      <c r="G9" s="41">
        <f>IF(OR(2248863.79366="",751600.71883="",642816.95726=""),"-",(751600.71883-642816.95726)/2248863.79366*100)</f>
        <v>4.837276578362963</v>
      </c>
    </row>
    <row r="10" spans="1:7" ht="15.75" customHeight="1" x14ac:dyDescent="0.25">
      <c r="A10" s="40" t="s">
        <v>4</v>
      </c>
      <c r="B10" s="27">
        <v>232012.55819000001</v>
      </c>
      <c r="C10" s="41">
        <f>IF(OR(209228.01611="",232012.55819=""),"-",232012.55819/209228.01611*100)</f>
        <v>110.88981413847618</v>
      </c>
      <c r="D10" s="41">
        <f>IF(209228.01611="","-",209228.01611/2248863.79366*100)</f>
        <v>9.3037211368627979</v>
      </c>
      <c r="E10" s="41">
        <f>IF(232012.55819="","-",232012.55819/2819483.68931*100)</f>
        <v>8.2289023011436342</v>
      </c>
      <c r="F10" s="41">
        <f>IF(OR(2560872.65018="",227676.84478="",209228.01611=""),"-",(209228.01611-227676.84478)/2560872.65018*100)</f>
        <v>-0.72041179668591793</v>
      </c>
      <c r="G10" s="41">
        <f>IF(OR(2248863.79366="",232012.55819="",209228.01611=""),"-",(232012.55819-209228.01611)/2248863.79366*100)</f>
        <v>1.0131579397664825</v>
      </c>
    </row>
    <row r="11" spans="1:7" ht="13.5" customHeight="1" x14ac:dyDescent="0.25">
      <c r="A11" s="40" t="s">
        <v>3</v>
      </c>
      <c r="B11" s="27">
        <v>219428.58186999999</v>
      </c>
      <c r="C11" s="41">
        <f>IF(OR(195165.16077="",219428.58187=""),"-",219428.58187/195165.16077*100)</f>
        <v>112.43225020504258</v>
      </c>
      <c r="D11" s="41">
        <f>IF(195165.16077="","-",195165.16077/2248863.79366*100)</f>
        <v>8.6783895636636554</v>
      </c>
      <c r="E11" s="41">
        <f>IF(219428.58187="","-",219428.58187/2819483.68931*100)</f>
        <v>7.782580289503283</v>
      </c>
      <c r="F11" s="41">
        <f>IF(OR(2560872.65018="",244046.34462="",195165.16077=""),"-",(195165.16077-244046.34462)/2560872.65018*100)</f>
        <v>-1.9087705843773302</v>
      </c>
      <c r="G11" s="41">
        <f>IF(OR(2248863.79366="",219428.58187="",195165.16077=""),"-",(219428.58187-195165.16077)/2248863.79366*100)</f>
        <v>1.0789191043229687</v>
      </c>
    </row>
    <row r="12" spans="1:7" ht="15.75" customHeight="1" x14ac:dyDescent="0.25">
      <c r="A12" s="40" t="s">
        <v>5</v>
      </c>
      <c r="B12" s="27">
        <v>99486.353690000004</v>
      </c>
      <c r="C12" s="41">
        <f>IF(OR(100529.02284="",99486.35369=""),"-",99486.35369/100529.02284*100)</f>
        <v>98.962817780831813</v>
      </c>
      <c r="D12" s="41">
        <f>IF(100529.02284="","-",100529.02284/2248863.79366*100)</f>
        <v>4.4702139419653415</v>
      </c>
      <c r="E12" s="41">
        <f>IF(99486.35369="","-",99486.35369/2819483.68931*100)</f>
        <v>3.5285309174583972</v>
      </c>
      <c r="F12" s="41">
        <f>IF(OR(2560872.65018="",104207.06617="",100529.02284=""),"-",(100529.02284-104207.06617)/2560872.65018*100)</f>
        <v>-0.1436246089684107</v>
      </c>
      <c r="G12" s="41">
        <f>IF(OR(2248863.79366="",99486.35369="",100529.02284=""),"-",(99486.35369-100529.02284)/2248863.79366*100)</f>
        <v>-4.6364264164841636E-2</v>
      </c>
    </row>
    <row r="13" spans="1:7" s="10" customFormat="1" x14ac:dyDescent="0.25">
      <c r="A13" s="40" t="s">
        <v>7</v>
      </c>
      <c r="B13" s="27">
        <v>72846.58021</v>
      </c>
      <c r="C13" s="41">
        <f>IF(OR(74250.26613="",72846.58021=""),"-",72846.58021/74250.26613*100)</f>
        <v>98.109520688394056</v>
      </c>
      <c r="D13" s="41">
        <f>IF(74250.26613="","-",74250.26613/2248863.79366*100)</f>
        <v>3.301679111884253</v>
      </c>
      <c r="E13" s="41">
        <f>IF(72846.58021="","-",72846.58021/2819483.68931*100)</f>
        <v>2.583685108241482</v>
      </c>
      <c r="F13" s="41">
        <f>IF(OR(2560872.65018="",58344.32534="",74250.26613=""),"-",(74250.26613-58344.32534)/2560872.65018*100)</f>
        <v>0.62111408737494211</v>
      </c>
      <c r="G13" s="41">
        <f>IF(OR(2248863.79366="",72846.58021="",74250.26613=""),"-",(72846.58021-74250.26613)/2248863.79366*100)</f>
        <v>-6.2417560545786586E-2</v>
      </c>
    </row>
    <row r="14" spans="1:7" s="10" customFormat="1" x14ac:dyDescent="0.25">
      <c r="A14" s="40" t="s">
        <v>6</v>
      </c>
      <c r="B14" s="27">
        <v>65448.721539999999</v>
      </c>
      <c r="C14" s="41">
        <f>IF(OR(54261.61928="",65448.72154=""),"-",65448.72154/54261.61928*100)</f>
        <v>120.61697090584873</v>
      </c>
      <c r="D14" s="41">
        <f>IF(54261.61928="","-",54261.61928/2248863.79366*100)</f>
        <v>2.4128459639474134</v>
      </c>
      <c r="E14" s="41">
        <f>IF(65448.72154="","-",65448.72154/2819483.68931*100)</f>
        <v>2.3213016549145911</v>
      </c>
      <c r="F14" s="41">
        <f>IF(OR(2560872.65018="",54215.36714="",54261.61928=""),"-",(54261.61928-54215.36714)/2560872.65018*100)</f>
        <v>1.8061085543143222E-3</v>
      </c>
      <c r="G14" s="41">
        <f>IF(OR(2248863.79366="",65448.72154="",54261.61928=""),"-",(65448.72154-54261.61928)/2248863.79366*100)</f>
        <v>0.49745575038998335</v>
      </c>
    </row>
    <row r="15" spans="1:7" s="10" customFormat="1" x14ac:dyDescent="0.25">
      <c r="A15" s="40" t="s">
        <v>40</v>
      </c>
      <c r="B15" s="27">
        <v>44113.141060000002</v>
      </c>
      <c r="C15" s="41">
        <f>IF(OR(29684.68628="",44113.14106=""),"-",44113.14106/29684.68628*100)</f>
        <v>148.60571758752641</v>
      </c>
      <c r="D15" s="41">
        <f>IF(29684.68628="","-",29684.68628/2248863.79366*100)</f>
        <v>1.3199859575171744</v>
      </c>
      <c r="E15" s="41">
        <f>IF(44113.14106="","-",44113.14106/2819483.68931*100)</f>
        <v>1.5645822399063294</v>
      </c>
      <c r="F15" s="41">
        <f>IF(OR(2560872.65018="",32773.85563="",29684.68628=""),"-",(29684.68628-32773.85563)/2560872.65018*100)</f>
        <v>-0.12062955765421851</v>
      </c>
      <c r="G15" s="41">
        <f>IF(OR(2248863.79366="",44113.14106="",29684.68628=""),"-",(44113.14106-29684.68628)/2248863.79366*100)</f>
        <v>0.64158864670580407</v>
      </c>
    </row>
    <row r="16" spans="1:7" s="10" customFormat="1" x14ac:dyDescent="0.25">
      <c r="A16" s="40" t="s">
        <v>42</v>
      </c>
      <c r="B16" s="27">
        <v>38829.354440000003</v>
      </c>
      <c r="C16" s="41" t="s">
        <v>104</v>
      </c>
      <c r="D16" s="41">
        <f>IF(24836.0357="","-",24836.0357/2248863.79366*100)</f>
        <v>1.1043815001165382</v>
      </c>
      <c r="E16" s="41">
        <f>IF(38829.35444="","-",38829.35444/2819483.68931*100)</f>
        <v>1.3771796087071015</v>
      </c>
      <c r="F16" s="41">
        <f>IF(OR(2560872.65018="",10064.4466="",24836.0357=""),"-",(24836.0357-10064.4466)/2560872.65018*100)</f>
        <v>0.5768185738936189</v>
      </c>
      <c r="G16" s="41">
        <f>IF(OR(2248863.79366="",38829.35444="",24836.0357=""),"-",(38829.35444-24836.0357)/2248863.79366*100)</f>
        <v>0.62223949620470509</v>
      </c>
    </row>
    <row r="17" spans="1:7" s="10" customFormat="1" x14ac:dyDescent="0.25">
      <c r="A17" s="40" t="s">
        <v>9</v>
      </c>
      <c r="B17" s="27">
        <v>35316.782529999997</v>
      </c>
      <c r="C17" s="41">
        <f>IF(OR(25849.03298="",35316.78253=""),"-",35316.78253/25849.03298*100)</f>
        <v>136.6270937768752</v>
      </c>
      <c r="D17" s="41">
        <f>IF(25849.03298="","-",25849.03298/2248863.79366*100)</f>
        <v>1.1494263482240956</v>
      </c>
      <c r="E17" s="41">
        <f>IF(35316.78253="","-",35316.78253/2819483.68931*100)</f>
        <v>1.2525975115196684</v>
      </c>
      <c r="F17" s="41">
        <f>IF(OR(2560872.65018="",35625.62534="",25849.03298=""),"-",(25849.03298-35625.62534)/2560872.65018*100)</f>
        <v>-0.3817680023765655</v>
      </c>
      <c r="G17" s="41">
        <f>IF(OR(2248863.79366="",35316.78253="",25849.03298=""),"-",(35316.78253-25849.03298)/2248863.79366*100)</f>
        <v>0.42100146646015157</v>
      </c>
    </row>
    <row r="18" spans="1:7" s="10" customFormat="1" x14ac:dyDescent="0.25">
      <c r="A18" s="40" t="s">
        <v>10</v>
      </c>
      <c r="B18" s="27">
        <v>32766.399890000001</v>
      </c>
      <c r="C18" s="41">
        <f>IF(OR(33128.27041="",32766.39989=""),"-",32766.39989/33128.27041*100)</f>
        <v>98.907668539523982</v>
      </c>
      <c r="D18" s="41">
        <f>IF(33128.27041="","-",33128.27041/2248863.79366*100)</f>
        <v>1.4731114664834422</v>
      </c>
      <c r="E18" s="41">
        <f>IF(32766.39989="","-",32766.39989/2819483.68931*100)</f>
        <v>1.162141849383026</v>
      </c>
      <c r="F18" s="41">
        <f>IF(OR(2560872.65018="",34510.21064="",33128.27041=""),"-",(33128.27041-34510.21064)/2560872.65018*100)</f>
        <v>-5.3963645162240517E-2</v>
      </c>
      <c r="G18" s="41">
        <f>IF(OR(2248863.79366="",32766.39989="",33128.27041=""),"-",(32766.39989-33128.27041)/2248863.79366*100)</f>
        <v>-1.6091259996278237E-2</v>
      </c>
    </row>
    <row r="19" spans="1:7" s="12" customFormat="1" x14ac:dyDescent="0.25">
      <c r="A19" s="40" t="s">
        <v>349</v>
      </c>
      <c r="B19" s="27">
        <v>28784.26755</v>
      </c>
      <c r="C19" s="41">
        <f>IF(OR(27058.35895="",28784.26755=""),"-",28784.26755/27058.35895*100)</f>
        <v>106.37846738299699</v>
      </c>
      <c r="D19" s="41">
        <f>IF(27058.35895="","-",27058.35895/2248863.79366*100)</f>
        <v>1.2032013244324964</v>
      </c>
      <c r="E19" s="41">
        <f>IF(28784.26755="","-",28784.26755/2819483.68931*100)</f>
        <v>1.0209056239316019</v>
      </c>
      <c r="F19" s="41">
        <f>IF(OR(2560872.65018="",31202.22862="",27058.35895=""),"-",(27058.35895-31202.22862)/2560872.65018*100)</f>
        <v>-0.16181474973809157</v>
      </c>
      <c r="G19" s="41">
        <f>IF(OR(2248863.79366="",28784.26755="",27058.35895=""),"-",(28784.26755-27058.35895)/2248863.79366*100)</f>
        <v>7.6745804030714654E-2</v>
      </c>
    </row>
    <row r="20" spans="1:7" s="10" customFormat="1" x14ac:dyDescent="0.25">
      <c r="A20" s="40" t="s">
        <v>8</v>
      </c>
      <c r="B20" s="27">
        <v>20362.809639999999</v>
      </c>
      <c r="C20" s="41">
        <f>IF(OR(21538.35798="",20362.80964=""),"-",20362.80964/21538.35798*100)</f>
        <v>94.542070750743463</v>
      </c>
      <c r="D20" s="41">
        <f>IF(21538.35798="","-",21538.35798/2248863.79366*100)</f>
        <v>0.95774399680056077</v>
      </c>
      <c r="E20" s="41">
        <f>IF(20362.80964="","-",20362.80964/2819483.68931*100)</f>
        <v>0.72221767826517569</v>
      </c>
      <c r="F20" s="41">
        <f>IF(OR(2560872.65018="",28413.70117="",21538.35798=""),"-",(21538.35798-28413.70117)/2560872.65018*100)</f>
        <v>-0.26847657533914238</v>
      </c>
      <c r="G20" s="41">
        <f>IF(OR(2248863.79366="",20362.80964="",21538.35798=""),"-",(20362.80964-21538.35798)/2248863.79366*100)</f>
        <v>-5.2272989734376482E-2</v>
      </c>
    </row>
    <row r="21" spans="1:7" s="10" customFormat="1" x14ac:dyDescent="0.25">
      <c r="A21" s="40" t="s">
        <v>41</v>
      </c>
      <c r="B21" s="27">
        <v>19704.338240000001</v>
      </c>
      <c r="C21" s="41" t="s">
        <v>209</v>
      </c>
      <c r="D21" s="41">
        <f>IF(11224.11714="","-",11224.11714/2248863.79366*100)</f>
        <v>0.49910168733397936</v>
      </c>
      <c r="E21" s="41">
        <f>IF(19704.33824="","-",19704.33824/2819483.68931*100)</f>
        <v>0.69886335270207434</v>
      </c>
      <c r="F21" s="41">
        <f>IF(OR(2560872.65018="",12602.53587="",11224.11714=""),"-",(11224.11714-12602.53587)/2560872.65018*100)</f>
        <v>-5.3826133443344498E-2</v>
      </c>
      <c r="G21" s="41">
        <f>IF(OR(2248863.79366="",19704.33824="",11224.11714=""),"-",(19704.33824-11224.11714)/2248863.79366*100)</f>
        <v>0.3770891382531682</v>
      </c>
    </row>
    <row r="22" spans="1:7" s="10" customFormat="1" x14ac:dyDescent="0.25">
      <c r="A22" s="40" t="s">
        <v>51</v>
      </c>
      <c r="B22" s="27">
        <v>16256.449490000001</v>
      </c>
      <c r="C22" s="41" t="s">
        <v>209</v>
      </c>
      <c r="D22" s="41">
        <f>IF(9226.89969="","-",9226.89969/2248863.79366*100)</f>
        <v>0.41029161997327224</v>
      </c>
      <c r="E22" s="41">
        <f>IF(16256.44949="","-",16256.44949/2819483.68931*100)</f>
        <v>0.57657540462588641</v>
      </c>
      <c r="F22" s="41">
        <f>IF(OR(2560872.65018="",8147.49899="",9226.89969=""),"-",(9226.89969-8147.49899)/2560872.65018*100)</f>
        <v>4.2149721889689858E-2</v>
      </c>
      <c r="G22" s="41">
        <f>IF(OR(2248863.79366="",16256.44949="",9226.89969=""),"-",(16256.44949-9226.89969)/2248863.79366*100)</f>
        <v>0.31258228354325934</v>
      </c>
    </row>
    <row r="23" spans="1:7" s="10" customFormat="1" x14ac:dyDescent="0.25">
      <c r="A23" s="40" t="s">
        <v>44</v>
      </c>
      <c r="B23" s="27">
        <v>14912.73358</v>
      </c>
      <c r="C23" s="41" t="s">
        <v>104</v>
      </c>
      <c r="D23" s="41">
        <f>IF(9056.50615="","-",9056.50615/2248863.79366*100)</f>
        <v>0.40271474757751513</v>
      </c>
      <c r="E23" s="41">
        <f>IF(14912.73358="","-",14912.73358/2819483.68931*100)</f>
        <v>0.52891717857922882</v>
      </c>
      <c r="F23" s="41">
        <f>IF(OR(2560872.65018="",11941.48368="",9056.50615=""),"-",(9056.50615-11941.48368)/2560872.65018*100)</f>
        <v>-0.11265603269249722</v>
      </c>
      <c r="G23" s="41">
        <f>IF(OR(2248863.79366="",14912.73358="",9056.50615=""),"-",(14912.73358-9056.50615)/2248863.79366*100)</f>
        <v>0.26040827579286419</v>
      </c>
    </row>
    <row r="24" spans="1:7" s="10" customFormat="1" x14ac:dyDescent="0.25">
      <c r="A24" s="40" t="s">
        <v>47</v>
      </c>
      <c r="B24" s="27">
        <v>8931.0095000000001</v>
      </c>
      <c r="C24" s="41">
        <f>IF(OR(10082.09339="",8931.0095=""),"-",8931.0095/10082.09339*100)</f>
        <v>88.582888042460397</v>
      </c>
      <c r="D24" s="41">
        <f>IF(10082.09339="","-",10082.09339/2248863.79366*100)</f>
        <v>0.44831943216941161</v>
      </c>
      <c r="E24" s="41">
        <f>IF(8931.0095="","-",8931.0095/2819483.68931*100)</f>
        <v>0.3167604598622682</v>
      </c>
      <c r="F24" s="41">
        <f>IF(OR(2560872.65018="",9459.48893="",10082.09339=""),"-",(10082.09339-9459.48893)/2560872.65018*100)</f>
        <v>2.4312199201168342E-2</v>
      </c>
      <c r="G24" s="41">
        <f>IF(OR(2248863.79366="",8931.0095="",10082.09339=""),"-",(8931.0095-10082.09339)/2248863.79366*100)</f>
        <v>-5.1185131498187542E-2</v>
      </c>
    </row>
    <row r="25" spans="1:7" s="10" customFormat="1" x14ac:dyDescent="0.25">
      <c r="A25" s="40" t="s">
        <v>43</v>
      </c>
      <c r="B25" s="27">
        <v>7326.5001199999997</v>
      </c>
      <c r="C25" s="41">
        <f>IF(OR(7064.40199="",7326.50012=""),"-",7326.50012/7064.40199*100)</f>
        <v>103.7101247971309</v>
      </c>
      <c r="D25" s="41">
        <f>IF(7064.40199="","-",7064.40199/2248863.79366*100)</f>
        <v>0.31413205236866598</v>
      </c>
      <c r="E25" s="41">
        <f>IF(7326.50012="","-",7326.50012/2819483.68931*100)</f>
        <v>0.25985254491019893</v>
      </c>
      <c r="F25" s="41">
        <f>IF(OR(2560872.65018="",8013.90792="",7064.40199=""),"-",(7064.40199-8013.90792)/2560872.65018*100)</f>
        <v>-3.7077436472026833E-2</v>
      </c>
      <c r="G25" s="41">
        <f>IF(OR(2248863.79366="",7326.50012="",7064.40199=""),"-",(7326.50012-7064.40199)/2248863.79366*100)</f>
        <v>1.1654691170666131E-2</v>
      </c>
    </row>
    <row r="26" spans="1:7" s="7" customFormat="1" x14ac:dyDescent="0.25">
      <c r="A26" s="40" t="s">
        <v>45</v>
      </c>
      <c r="B26" s="27">
        <v>6289.2102599999998</v>
      </c>
      <c r="C26" s="41">
        <f>IF(OR(6589.21549="",6289.21026=""),"-",6289.21026/6589.21549*100)</f>
        <v>95.447026577666222</v>
      </c>
      <c r="D26" s="41">
        <f>IF(6589.21549="","-",6589.21549/2248863.79366*100)</f>
        <v>0.29300198209319417</v>
      </c>
      <c r="E26" s="41">
        <f>IF(6289.21026="","-",6289.21026/2819483.68931*100)</f>
        <v>0.22306248068911977</v>
      </c>
      <c r="F26" s="41">
        <f>IF(OR(2560872.65018="",7027.04904="",6589.21549=""),"-",(6589.21549-7027.04904)/2560872.65018*100)</f>
        <v>-1.7097045023665103E-2</v>
      </c>
      <c r="G26" s="41">
        <f>IF(OR(2248863.79366="",6289.21026="",6589.21549=""),"-",(6289.21026-6589.21549)/2248863.79366*100)</f>
        <v>-1.3340302371614274E-2</v>
      </c>
    </row>
    <row r="27" spans="1:7" s="7" customFormat="1" x14ac:dyDescent="0.25">
      <c r="A27" s="40" t="s">
        <v>46</v>
      </c>
      <c r="B27" s="27">
        <v>4646.8425399999996</v>
      </c>
      <c r="C27" s="41">
        <f>IF(OR(5421.60666="",4646.84254=""),"-",4646.84254/5421.60666*100)</f>
        <v>85.709695140443827</v>
      </c>
      <c r="D27" s="41">
        <f>IF(5421.60666="","-",5421.60666/2248863.79366*100)</f>
        <v>0.24108203775100126</v>
      </c>
      <c r="E27" s="41">
        <f>IF(4646.84254="","-",4646.84254/2819483.68931*100)</f>
        <v>0.16481182556999299</v>
      </c>
      <c r="F27" s="41">
        <f>IF(OR(2560872.65018="",3190.13203="",5421.60666=""),"-",(5421.60666-3190.13203)/2560872.65018*100)</f>
        <v>8.7137274469433423E-2</v>
      </c>
      <c r="G27" s="41">
        <f>IF(OR(2248863.79366="",4646.84254="",5421.60666=""),"-",(4646.84254-5421.60666)/2248863.79366*100)</f>
        <v>-3.4451358156248363E-2</v>
      </c>
    </row>
    <row r="28" spans="1:7" s="10" customFormat="1" x14ac:dyDescent="0.25">
      <c r="A28" s="40" t="s">
        <v>350</v>
      </c>
      <c r="B28" s="27">
        <v>2004.1470099999999</v>
      </c>
      <c r="C28" s="41">
        <f>IF(OR(2224.37918="",2004.14701=""),"-",2004.14701/2224.37918*100)</f>
        <v>90.099162409890923</v>
      </c>
      <c r="D28" s="41">
        <f>IF(2224.37918="","-",2224.37918/2248863.79366*100)</f>
        <v>9.891124514837106E-2</v>
      </c>
      <c r="E28" s="41">
        <f>IF(2004.14701="","-",2004.14701/2819483.68931*100)</f>
        <v>7.1082057243270172E-2</v>
      </c>
      <c r="F28" s="41">
        <f>IF(OR(2560872.65018="",1036.17238="",2224.37918=""),"-",(2224.37918-1036.17238)/2560872.65018*100)</f>
        <v>4.6398511847767304E-2</v>
      </c>
      <c r="G28" s="41">
        <f>IF(OR(2248863.79366="",2004.14701="",2224.37918=""),"-",(2004.14701-2224.37918)/2248863.79366*100)</f>
        <v>-9.7930417404948605E-3</v>
      </c>
    </row>
    <row r="29" spans="1:7" s="10" customFormat="1" x14ac:dyDescent="0.25">
      <c r="A29" s="40" t="s">
        <v>49</v>
      </c>
      <c r="B29" s="27">
        <v>1647.94714</v>
      </c>
      <c r="C29" s="41">
        <f>IF(OR(1190.51334="",1647.94714=""),"-",1647.94714/1190.51334*100)</f>
        <v>138.42324017973624</v>
      </c>
      <c r="D29" s="41">
        <f>IF(1190.51334="","-",1190.51334/2248863.79366*100)</f>
        <v>5.2938436883385155E-2</v>
      </c>
      <c r="E29" s="41">
        <f>IF(1647.94714="","-",1647.94714/2819483.68931*100)</f>
        <v>5.844854312327287E-2</v>
      </c>
      <c r="F29" s="41">
        <f>IF(OR(2560872.65018="",985.38078="",1190.51334=""),"-",(1190.51334-985.38078)/2560872.65018*100)</f>
        <v>8.0102600957365679E-3</v>
      </c>
      <c r="G29" s="41">
        <f>IF(OR(2248863.79366="",1647.94714="",1190.51334=""),"-",(1647.94714-1190.51334)/2248863.79366*100)</f>
        <v>2.0340662751101156E-2</v>
      </c>
    </row>
    <row r="30" spans="1:7" s="7" customFormat="1" x14ac:dyDescent="0.25">
      <c r="A30" s="40" t="s">
        <v>48</v>
      </c>
      <c r="B30" s="27">
        <v>1251.34475</v>
      </c>
      <c r="C30" s="41" t="s">
        <v>219</v>
      </c>
      <c r="D30" s="41">
        <f>IF(827.98817="","-",827.98817/2248863.79366*100)</f>
        <v>3.6818066631436969E-2</v>
      </c>
      <c r="E30" s="41">
        <f>IF(1251.34475="","-",1251.34475/2819483.68931*100)</f>
        <v>4.4382053166132564E-2</v>
      </c>
      <c r="F30" s="41">
        <f>IF(OR(2560872.65018="",775.30483="",827.98817=""),"-",(827.98817-775.30483)/2560872.65018*100)</f>
        <v>2.0572416983053376E-3</v>
      </c>
      <c r="G30" s="41">
        <f>IF(OR(2248863.79366="",1251.34475="",827.98817=""),"-",(1251.34475-827.98817)/2248863.79366*100)</f>
        <v>1.8825354438695999E-2</v>
      </c>
    </row>
    <row r="31" spans="1:7" s="7" customFormat="1" x14ac:dyDescent="0.25">
      <c r="A31" s="40" t="s">
        <v>50</v>
      </c>
      <c r="B31" s="27">
        <v>940.19404999999995</v>
      </c>
      <c r="C31" s="41" t="s">
        <v>218</v>
      </c>
      <c r="D31" s="41">
        <f>IF(400.11402="","-",400.11402/2248863.79366*100)</f>
        <v>1.7791829862173158E-2</v>
      </c>
      <c r="E31" s="41">
        <f>IF(940.19405="","-",940.19405/2819483.68931*100)</f>
        <v>3.3346319879938358E-2</v>
      </c>
      <c r="F31" s="41">
        <f>IF(OR(2560872.65018="",644.97691="",400.11402=""),"-",(400.11402-644.97691)/2560872.65018*100)</f>
        <v>-9.5616972590491355E-3</v>
      </c>
      <c r="G31" s="41">
        <f>IF(OR(2248863.79366="",940.19405="",400.11402=""),"-",(940.19405-400.11402)/2248863.79366*100)</f>
        <v>2.401568434347133E-2</v>
      </c>
    </row>
    <row r="32" spans="1:7" s="7" customFormat="1" x14ac:dyDescent="0.25">
      <c r="A32" s="40" t="s">
        <v>53</v>
      </c>
      <c r="B32" s="27">
        <v>810.83110999999997</v>
      </c>
      <c r="C32" s="41" t="s">
        <v>103</v>
      </c>
      <c r="D32" s="41">
        <f>IF(485.20666="","-",485.20666/2248863.79366*100)</f>
        <v>2.1575635721820741E-2</v>
      </c>
      <c r="E32" s="41">
        <f>IF(810.83111="","-",810.83111/2819483.68931*100)</f>
        <v>2.8758141537553326E-2</v>
      </c>
      <c r="F32" s="41">
        <f>IF(OR(2560872.65018="",261.66933="",485.20666=""),"-",(485.20666-261.66933)/2560872.65018*100)</f>
        <v>8.7289514370926594E-3</v>
      </c>
      <c r="G32" s="41">
        <f>IF(OR(2248863.79366="",810.83111="",485.20666=""),"-",(810.83111-485.20666)/2248863.79366*100)</f>
        <v>1.4479509649183774E-2</v>
      </c>
    </row>
    <row r="33" spans="1:7" s="7" customFormat="1" x14ac:dyDescent="0.25">
      <c r="A33" s="40" t="s">
        <v>52</v>
      </c>
      <c r="B33" s="27">
        <v>663.71239000000003</v>
      </c>
      <c r="C33" s="41" t="s">
        <v>356</v>
      </c>
      <c r="D33" s="41">
        <f>IF(209.6629="","-",209.6629/2248863.79366*100)</f>
        <v>9.3230590750352227E-3</v>
      </c>
      <c r="E33" s="41">
        <f>IF(663.71239="","-",663.71239/2819483.68931*100)</f>
        <v>2.35402103057538E-2</v>
      </c>
      <c r="F33" s="41">
        <f>IF(OR(2560872.65018="",64.00147="",209.6629=""),"-",(209.6629-64.00147)/2560872.65018*100)</f>
        <v>5.6879607031517822E-3</v>
      </c>
      <c r="G33" s="41">
        <f>IF(OR(2248863.79366="",663.71239="",209.6629=""),"-",(663.71239-209.6629)/2248863.79366*100)</f>
        <v>2.0190172978908592E-2</v>
      </c>
    </row>
    <row r="34" spans="1:7" s="7" customFormat="1" x14ac:dyDescent="0.25">
      <c r="A34" s="40" t="s">
        <v>55</v>
      </c>
      <c r="B34" s="27">
        <v>74.680689999999998</v>
      </c>
      <c r="C34" s="41" t="s">
        <v>382</v>
      </c>
      <c r="D34" s="41">
        <f>IF(6.98438="","-",6.98438/2248863.79366*100)</f>
        <v>3.1057372259228746E-4</v>
      </c>
      <c r="E34" s="41">
        <f>IF(74.68069="","-",74.68069/2819483.68931*100)</f>
        <v>2.6487363726610627E-3</v>
      </c>
      <c r="F34" s="41">
        <f>IF(OR(2560872.65018="",461.08919="",6.98438=""),"-",(6.98438-461.08919)/2560872.65018*100)</f>
        <v>-1.7732424529899277E-2</v>
      </c>
      <c r="G34" s="41">
        <f>IF(OR(2248863.79366="",74.68069="",6.98438=""),"-",(74.68069-6.98438)/2248863.79366*100)</f>
        <v>3.0102450042038798E-3</v>
      </c>
    </row>
    <row r="35" spans="1:7" s="7" customFormat="1" x14ac:dyDescent="0.25">
      <c r="A35" s="40" t="s">
        <v>54</v>
      </c>
      <c r="B35" s="27">
        <v>9.7850300000000008</v>
      </c>
      <c r="C35" s="41">
        <f>IF(OR(30.50265="",9.78503=""),"-",9.78503/30.50265*100)</f>
        <v>32.07927835778203</v>
      </c>
      <c r="D35" s="41">
        <f>IF(30.50265="","-",30.50265/2248863.79366*100)</f>
        <v>1.3563582679392639E-3</v>
      </c>
      <c r="E35" s="41">
        <f>IF(9.78503="","-",9.78503/2819483.68931*100)</f>
        <v>3.4705042051137562E-4</v>
      </c>
      <c r="F35" s="41">
        <f>IF(OR(2560872.65018="",64.42749="",30.50265=""),"-",(30.50265-64.42749)/2560872.65018*100)</f>
        <v>-1.3247374873411014E-3</v>
      </c>
      <c r="G35" s="41">
        <f>IF(OR(2248863.79366="",9.78503="",30.50265=""),"-",(9.78503-30.50265)/2248863.79366*100)</f>
        <v>-9.2124832363823638E-4</v>
      </c>
    </row>
    <row r="36" spans="1:7" s="7" customFormat="1" x14ac:dyDescent="0.25">
      <c r="A36" s="38" t="s">
        <v>144</v>
      </c>
      <c r="B36" s="26">
        <v>422984.18825000001</v>
      </c>
      <c r="C36" s="39">
        <f>IF(339970.97539="","-",422984.18825/339970.97539*100)</f>
        <v>124.41773529777677</v>
      </c>
      <c r="D36" s="39">
        <f>IF(339970.97539="","-",339970.97539/2248863.79366*100)</f>
        <v>15.117455149949349</v>
      </c>
      <c r="E36" s="39">
        <f>IF(422984.18825="","-",422984.18825/2819483.68931*100)</f>
        <v>15.002186033341273</v>
      </c>
      <c r="F36" s="39">
        <f>IF(2560872.65018="","-",(339970.97539-404402.85635)/2560872.65018*100)</f>
        <v>-2.5160126941677956</v>
      </c>
      <c r="G36" s="39">
        <f>IF(2248863.79366="","-",(422984.18825-339970.97539)/2248863.79366*100)</f>
        <v>3.6913401822747556</v>
      </c>
    </row>
    <row r="37" spans="1:7" s="7" customFormat="1" x14ac:dyDescent="0.25">
      <c r="A37" s="40" t="s">
        <v>351</v>
      </c>
      <c r="B37" s="27">
        <v>251001.55473</v>
      </c>
      <c r="C37" s="41">
        <f>IF(OR(198046.17923="",251001.55473=""),"-",251001.55473/198046.17923*100)</f>
        <v>126.73890286896194</v>
      </c>
      <c r="D37" s="41">
        <f>IF(198046.17923="","-",198046.17923/2248863.79366*100)</f>
        <v>8.8064995215953985</v>
      </c>
      <c r="E37" s="41">
        <f>IF(251001.55473="","-",251001.55473/2819483.68931*100)</f>
        <v>8.902394281678804</v>
      </c>
      <c r="F37" s="41">
        <f>IF(OR(2560872.65018="",234490.1799="",198046.17923=""),"-",(198046.17923-234490.1799)/2560872.65018*100)</f>
        <v>-1.4231086683454715</v>
      </c>
      <c r="G37" s="41">
        <f>IF(OR(2248863.79366="",251001.55473="",198046.17923=""),"-",(251001.55473-198046.17923)/2248863.79366*100)</f>
        <v>2.3547613532349918</v>
      </c>
    </row>
    <row r="38" spans="1:7" s="7" customFormat="1" ht="14.25" customHeight="1" x14ac:dyDescent="0.25">
      <c r="A38" s="40" t="s">
        <v>12</v>
      </c>
      <c r="B38" s="27">
        <v>84260.169439999998</v>
      </c>
      <c r="C38" s="41">
        <f>IF(OR(59343.58736="",84260.16944=""),"-",84260.16944/59343.58736*100)</f>
        <v>141.98698324192446</v>
      </c>
      <c r="D38" s="41">
        <f>IF(59343.58736="","-",59343.58736/2248863.79366*100)</f>
        <v>2.6388253271408222</v>
      </c>
      <c r="E38" s="41">
        <f>IF(84260.16944="","-",84260.16944/2819483.68931*100)</f>
        <v>2.9884964314377935</v>
      </c>
      <c r="F38" s="41">
        <f>IF(OR(2560872.65018="",74024.81676="",59343.58736=""),"-",(59343.58736-74024.81676)/2560872.65018*100)</f>
        <v>-0.57329010089463384</v>
      </c>
      <c r="G38" s="41">
        <f>IF(OR(2248863.79366="",84260.16944="",59343.58736=""),"-",(84260.16944-59343.58736)/2248863.79366*100)</f>
        <v>1.1079631478902752</v>
      </c>
    </row>
    <row r="39" spans="1:7" s="11" customFormat="1" ht="14.25" customHeight="1" x14ac:dyDescent="0.2">
      <c r="A39" s="40" t="s">
        <v>11</v>
      </c>
      <c r="B39" s="27">
        <v>60517.228349999998</v>
      </c>
      <c r="C39" s="41">
        <f>IF(OR(60401.05191="",60517.22835=""),"-",60517.22835/60401.05191*100)</f>
        <v>100.19234174956605</v>
      </c>
      <c r="D39" s="41">
        <f>IF(60401.05191="","-",60401.05191/2248863.79366*100)</f>
        <v>2.6858474968685404</v>
      </c>
      <c r="E39" s="41">
        <f>IF(60517.22835="","-",60517.22835/2819483.68931*100)</f>
        <v>2.1463939862269648</v>
      </c>
      <c r="F39" s="41">
        <f>IF(OR(2560872.65018="",73650.74697="",60401.05191=""),"-",(60401.05191-73650.74697)/2560872.65018*100)</f>
        <v>-0.51738984596007498</v>
      </c>
      <c r="G39" s="41">
        <f>IF(OR(2248863.79366="",60517.22835="",60401.05191=""),"-",(60517.22835-60401.05191)/2248863.79366*100)</f>
        <v>5.166006066153069E-3</v>
      </c>
    </row>
    <row r="40" spans="1:7" s="11" customFormat="1" ht="14.25" customHeight="1" x14ac:dyDescent="0.2">
      <c r="A40" s="40" t="s">
        <v>13</v>
      </c>
      <c r="B40" s="27">
        <v>13113.33087</v>
      </c>
      <c r="C40" s="41">
        <f>IF(OR(12802.5205="",13113.33087=""),"-",13113.33087/12802.5205*100)</f>
        <v>102.42772796184938</v>
      </c>
      <c r="D40" s="41">
        <f>IF(12802.5205="","-",12802.5205/2248863.79366*100)</f>
        <v>0.56928839070169057</v>
      </c>
      <c r="E40" s="41">
        <f>IF(13113.33087="","-",13113.33087/2819483.68931*100)</f>
        <v>0.46509688705484831</v>
      </c>
      <c r="F40" s="41">
        <f>IF(OR(2560872.65018="",9254.87877="",12802.5205=""),"-",(12802.5205-9254.87877)/2560872.65018*100)</f>
        <v>0.13853253225031095</v>
      </c>
      <c r="G40" s="41">
        <f>IF(OR(2248863.79366="",13113.33087="",12802.5205=""),"-",(13113.33087-12802.5205)/2248863.79366*100)</f>
        <v>1.3820773444627295E-2</v>
      </c>
    </row>
    <row r="41" spans="1:7" s="11" customFormat="1" ht="14.25" customHeight="1" x14ac:dyDescent="0.2">
      <c r="A41" s="40" t="s">
        <v>15</v>
      </c>
      <c r="B41" s="27">
        <v>6639.2529800000002</v>
      </c>
      <c r="C41" s="41" t="s">
        <v>104</v>
      </c>
      <c r="D41" s="41">
        <f>IF(4146.38298="","-",4146.38298/2248863.79366*100)</f>
        <v>0.18437679470359605</v>
      </c>
      <c r="E41" s="41">
        <f>IF(6639.25298="","-",6639.25298/2819483.68931*100)</f>
        <v>0.23547761617393137</v>
      </c>
      <c r="F41" s="41">
        <f>IF(OR(2560872.65018="",3142.33987="",4146.38298=""),"-",(4146.38298-3142.33987)/2560872.65018*100)</f>
        <v>3.9207069118779796E-2</v>
      </c>
      <c r="G41" s="41">
        <f>IF(OR(2248863.79366="",6639.25298="",4146.38298=""),"-",(6639.25298-4146.38298)/2248863.79366*100)</f>
        <v>0.11085019942194377</v>
      </c>
    </row>
    <row r="42" spans="1:7" s="9" customFormat="1" ht="14.25" customHeight="1" x14ac:dyDescent="0.2">
      <c r="A42" s="40" t="s">
        <v>14</v>
      </c>
      <c r="B42" s="27">
        <v>4009.1546800000001</v>
      </c>
      <c r="C42" s="41">
        <f>IF(OR(2682.26694="",4009.15468=""),"-",4009.15468/2682.26694*100)</f>
        <v>149.46889216030078</v>
      </c>
      <c r="D42" s="41">
        <f>IF(2682.26694="","-",2682.26694/2248863.79366*100)</f>
        <v>0.11927209409310831</v>
      </c>
      <c r="E42" s="41">
        <f>IF(4009.15468="","-",4009.15468/2819483.68931*100)</f>
        <v>0.14219463993356682</v>
      </c>
      <c r="F42" s="41">
        <f>IF(OR(2560872.65018="",4425.65214="",2682.26694=""),"-",(2682.26694-4425.65214)/2560872.65018*100)</f>
        <v>-6.8077778091677477E-2</v>
      </c>
      <c r="G42" s="41">
        <f>IF(OR(2248863.79366="",4009.15468="",2682.26694=""),"-",(4009.15468-2682.26694)/2248863.79366*100)</f>
        <v>5.9002583604252243E-2</v>
      </c>
    </row>
    <row r="43" spans="1:7" s="11" customFormat="1" ht="14.25" customHeight="1" x14ac:dyDescent="0.2">
      <c r="A43" s="40" t="s">
        <v>415</v>
      </c>
      <c r="B43" s="27">
        <v>1623.36274</v>
      </c>
      <c r="C43" s="41" t="s">
        <v>215</v>
      </c>
      <c r="D43" s="41">
        <f>IF(648.48671="","-",648.48671/2248863.79366*100)</f>
        <v>2.8836193273608417E-2</v>
      </c>
      <c r="E43" s="41">
        <f>IF(1623.36274="","-",1623.36274/2819483.68931*100)</f>
        <v>5.7576596245438059E-2</v>
      </c>
      <c r="F43" s="41">
        <f>IF(OR(2560872.65018="",1152.68556="",648.48671=""),"-",(648.48671-1152.68556)/2560872.65018*100)</f>
        <v>-1.9688556163250073E-2</v>
      </c>
      <c r="G43" s="41">
        <f>IF(OR(2248863.79366="",1623.36274="",648.48671=""),"-",(1623.36274-648.48671)/2248863.79366*100)</f>
        <v>4.3349714320110089E-2</v>
      </c>
    </row>
    <row r="44" spans="1:7" s="9" customFormat="1" ht="14.25" customHeight="1" x14ac:dyDescent="0.2">
      <c r="A44" s="40" t="s">
        <v>17</v>
      </c>
      <c r="B44" s="27">
        <v>976.28062999999997</v>
      </c>
      <c r="C44" s="41">
        <f>IF(OR(1143.28554="",976.28063=""),"-",976.28063/1143.28554*100)</f>
        <v>85.392545942634754</v>
      </c>
      <c r="D44" s="41">
        <f>IF(1143.28554="","-",1143.28554/2248863.79366*100)</f>
        <v>5.0838363053518507E-2</v>
      </c>
      <c r="E44" s="41">
        <f>IF(976.28063="","-",976.28063/2819483.68931*100)</f>
        <v>3.462622017291829E-2</v>
      </c>
      <c r="F44" s="41">
        <f>IF(OR(2560872.65018="",3475.33914="",1143.28554=""),"-",(1143.28554-3475.33914)/2560872.65018*100)</f>
        <v>-9.1064801673604645E-2</v>
      </c>
      <c r="G44" s="41">
        <f>IF(OR(2248863.79366="",976.28063="",1143.28554=""),"-",(976.28063-1143.28554)/2248863.79366*100)</f>
        <v>-7.4261905265592607E-3</v>
      </c>
    </row>
    <row r="45" spans="1:7" s="9" customFormat="1" ht="14.25" customHeight="1" x14ac:dyDescent="0.2">
      <c r="A45" s="40" t="s">
        <v>16</v>
      </c>
      <c r="B45" s="27">
        <v>623.74607000000003</v>
      </c>
      <c r="C45" s="41">
        <f>IF(OR(505.16886="",623.74607=""),"-",623.74607/505.16886*100)</f>
        <v>123.47278690139373</v>
      </c>
      <c r="D45" s="41">
        <f>IF(505.16886="","-",505.16886/2248863.79366*100)</f>
        <v>2.2463292860340087E-2</v>
      </c>
      <c r="E45" s="41">
        <f>IF(623.74607="","-",623.74607/2819483.68931*100)</f>
        <v>2.2122705386270446E-2</v>
      </c>
      <c r="F45" s="41">
        <f>IF(OR(2560872.65018="",610.80186="",505.16886=""),"-",(505.16886-610.80186)/2560872.65018*100)</f>
        <v>-4.1248829766124939E-3</v>
      </c>
      <c r="G45" s="41">
        <f>IF(OR(2248863.79366="",623.74607="",505.16886=""),"-",(623.74607-505.16886)/2248863.79366*100)</f>
        <v>5.2727608641436208E-3</v>
      </c>
    </row>
    <row r="46" spans="1:7" s="9" customFormat="1" ht="14.25" customHeight="1" x14ac:dyDescent="0.2">
      <c r="A46" s="80" t="s">
        <v>18</v>
      </c>
      <c r="B46" s="49">
        <v>220.10776000000001</v>
      </c>
      <c r="C46" s="50">
        <f>IF(OR(252.04536="",220.10776=""),"-",220.10776/252.04536*100)</f>
        <v>87.328630052939687</v>
      </c>
      <c r="D46" s="50">
        <f>IF(252.04536="","-",252.04536/2248863.79366*100)</f>
        <v>1.1207675658728938E-2</v>
      </c>
      <c r="E46" s="50">
        <f>IF(220.10776="","-",220.10776/2819483.68931*100)</f>
        <v>7.8066690307354121E-3</v>
      </c>
      <c r="F46" s="50">
        <f>IF(OR(2560872.65018="",175.41538="",252.04536=""),"-",(252.04536-175.41538)/2560872.65018*100)</f>
        <v>2.9923385684412613E-3</v>
      </c>
      <c r="G46" s="50">
        <f>IF(OR(2248863.79366="",220.10776="",252.04536=""),"-",(220.10776-252.04536)/2248863.79366*100)</f>
        <v>-1.4201660451841726E-3</v>
      </c>
    </row>
    <row r="47" spans="1:7" s="9" customFormat="1" ht="12.75" x14ac:dyDescent="0.2">
      <c r="A47" s="38" t="s">
        <v>145</v>
      </c>
      <c r="B47" s="26">
        <v>670033.50572000002</v>
      </c>
      <c r="C47" s="39" t="s">
        <v>104</v>
      </c>
      <c r="D47" s="39">
        <f>IF(406506.84177="","-",406506.84177/2248863.79366*100)</f>
        <v>18.07609882448304</v>
      </c>
      <c r="E47" s="39">
        <f>IF(670033.50572="","-",670033.50572/2819483.68931*100)</f>
        <v>23.76440439291828</v>
      </c>
      <c r="F47" s="39">
        <f>IF(2560872.65018="","-",(406506.84177-519580.04548)/2560872.65018*100)</f>
        <v>-4.4154168971288845</v>
      </c>
      <c r="G47" s="39">
        <f>IF(2248863.79366="","-",(670033.50572-406506.84177)/2248863.79366*100)</f>
        <v>11.718213646061391</v>
      </c>
    </row>
    <row r="48" spans="1:7" s="7" customFormat="1" x14ac:dyDescent="0.25">
      <c r="A48" s="88" t="s">
        <v>56</v>
      </c>
      <c r="B48" s="90">
        <v>274779.91068999999</v>
      </c>
      <c r="C48" s="41" t="s">
        <v>209</v>
      </c>
      <c r="D48" s="41">
        <f>IF(150316.63756="","-",150316.63756/2248863.79366*100)</f>
        <v>6.6841147953812445</v>
      </c>
      <c r="E48" s="41">
        <f>IF(274779.91069="","-",274779.91069/2819483.68931*100)</f>
        <v>9.7457528033171812</v>
      </c>
      <c r="F48" s="41">
        <f>IF(OR(2560872.65018="",164832.9414="",150316.63756=""),"-",(150316.63756-164832.9414)/2560872.65018*100)</f>
        <v>-0.56684989153910792</v>
      </c>
      <c r="G48" s="41">
        <f>IF(OR(2248863.79366="",274779.91069="",150316.63756=""),"-",(274779.91069-150316.63756)/2248863.79366*100)</f>
        <v>5.5344958410058904</v>
      </c>
    </row>
    <row r="49" spans="1:7" s="7" customFormat="1" x14ac:dyDescent="0.25">
      <c r="A49" s="88" t="s">
        <v>352</v>
      </c>
      <c r="B49" s="90">
        <v>102832.02411</v>
      </c>
      <c r="C49" s="41" t="s">
        <v>105</v>
      </c>
      <c r="D49" s="41">
        <f>IF(55259.94842="","-",55259.94842/2248863.79366*100)</f>
        <v>2.4572385653497082</v>
      </c>
      <c r="E49" s="41">
        <f>IF(102832.02411="","-",102832.02411/2819483.68931*100)</f>
        <v>3.6471934382839306</v>
      </c>
      <c r="F49" s="41">
        <f>IF(OR(2560872.65018="",76992.99524="",55259.94842=""),"-",(55259.94842-76992.99524)/2560872.65018*100)</f>
        <v>-0.8486578517862815</v>
      </c>
      <c r="G49" s="41">
        <f>IF(OR(2248863.79366="",102832.02411="",55259.94842=""),"-",(102832.02411-55259.94842)/2248863.79366*100)</f>
        <v>2.1153827023279606</v>
      </c>
    </row>
    <row r="50" spans="1:7" s="10" customFormat="1" ht="25.5" x14ac:dyDescent="0.25">
      <c r="A50" s="88" t="s">
        <v>353</v>
      </c>
      <c r="B50" s="90">
        <v>57409.70377</v>
      </c>
      <c r="C50" s="41">
        <f>IF(OR(39095.27104="",57409.70377=""),"-",57409.70377/39095.27104*100)</f>
        <v>146.84564716602614</v>
      </c>
      <c r="D50" s="41">
        <f>IF(39095.27104="","-",39095.27104/2248863.79366*100)</f>
        <v>1.7384454830131304</v>
      </c>
      <c r="E50" s="41">
        <f>IF(57409.70377="","-",57409.70377/2819483.68931*100)</f>
        <v>2.0361778997930515</v>
      </c>
      <c r="F50" s="41">
        <f>IF(OR(2560872.65018="",46066.78645="",39095.27104=""),"-",(39095.27104-46066.78645)/2560872.65018*100)</f>
        <v>-0.27223202252989748</v>
      </c>
      <c r="G50" s="41">
        <f>IF(OR(2248863.79366="",57409.70377="",39095.27104=""),"-",(57409.70377-39095.27104)/2248863.79366*100)</f>
        <v>0.81438603714605018</v>
      </c>
    </row>
    <row r="51" spans="1:7" s="7" customFormat="1" x14ac:dyDescent="0.25">
      <c r="A51" s="88" t="s">
        <v>19</v>
      </c>
      <c r="B51" s="90">
        <v>28859.838919999998</v>
      </c>
      <c r="C51" s="41">
        <f>IF(OR(23922.34371="",28859.83892=""),"-",28859.83892/23922.34371*100)</f>
        <v>120.63968008258334</v>
      </c>
      <c r="D51" s="41">
        <f>IF(23922.34371="","-",23922.34371/2248863.79366*100)</f>
        <v>1.0637524503458995</v>
      </c>
      <c r="E51" s="41">
        <f>IF(28859.83892="","-",28859.83892/2819483.68931*100)</f>
        <v>1.0235859504852374</v>
      </c>
      <c r="F51" s="41">
        <f>IF(OR(2560872.65018="",22297.37521="",23922.34371=""),"-",(23922.34371-22297.37521)/2560872.65018*100)</f>
        <v>6.3453701998253842E-2</v>
      </c>
      <c r="G51" s="41">
        <f>IF(OR(2248863.79366="",28859.83892="",23922.34371=""),"-",(28859.83892-23922.34371)/2248863.79366*100)</f>
        <v>0.21955510262203479</v>
      </c>
    </row>
    <row r="52" spans="1:7" s="12" customFormat="1" x14ac:dyDescent="0.25">
      <c r="A52" s="88" t="s">
        <v>60</v>
      </c>
      <c r="B52" s="90">
        <v>24261.037390000001</v>
      </c>
      <c r="C52" s="41" t="s">
        <v>208</v>
      </c>
      <c r="D52" s="41">
        <f>IF(11024.54337="","-",11024.54337/2248863.79366*100)</f>
        <v>0.49022726058734228</v>
      </c>
      <c r="E52" s="41">
        <f>IF(24261.03739="","-",24261.03739/2819483.68931*100)</f>
        <v>0.86047801879418928</v>
      </c>
      <c r="F52" s="41">
        <f>IF(OR(2560872.65018="",11497.22246="",11024.54337=""),"-",(11024.54337-11497.22246)/2560872.65018*100)</f>
        <v>-1.8457735099274755E-2</v>
      </c>
      <c r="G52" s="41">
        <f>IF(OR(2248863.79366="",24261.03739="",11024.54337=""),"-",(24261.03739-11024.54337)/2248863.79366*100)</f>
        <v>0.58858584754293897</v>
      </c>
    </row>
    <row r="53" spans="1:7" s="10" customFormat="1" x14ac:dyDescent="0.25">
      <c r="A53" s="88" t="s">
        <v>58</v>
      </c>
      <c r="B53" s="90">
        <v>17907.00808</v>
      </c>
      <c r="C53" s="41">
        <f>IF(OR(22067.6354="",17907.00808=""),"-",17907.00808/22067.6354*100)</f>
        <v>81.146021109266655</v>
      </c>
      <c r="D53" s="41">
        <f>IF(22067.6354="","-",22067.6354/2248863.79366*100)</f>
        <v>0.98127932257227446</v>
      </c>
      <c r="E53" s="41">
        <f>IF(17907.00808="","-",17907.00808/2819483.68931*100)</f>
        <v>0.63511656931706895</v>
      </c>
      <c r="F53" s="41">
        <f>IF(OR(2560872.65018="",19544.44049="",22067.6354=""),"-",(22067.6354-19544.44049)/2560872.65018*100)</f>
        <v>9.8528714804410389E-2</v>
      </c>
      <c r="G53" s="41">
        <f>IF(OR(2248863.79366="",17907.00808="",22067.6354=""),"-",(17907.00808-22067.6354)/2248863.79366*100)</f>
        <v>-0.18501019633690782</v>
      </c>
    </row>
    <row r="54" spans="1:7" s="7" customFormat="1" x14ac:dyDescent="0.25">
      <c r="A54" s="88" t="s">
        <v>66</v>
      </c>
      <c r="B54" s="90">
        <v>15802.209049999999</v>
      </c>
      <c r="C54" s="41" t="s">
        <v>209</v>
      </c>
      <c r="D54" s="41">
        <f>IF(8622.35359="","-",8622.35359/2248863.79366*100)</f>
        <v>0.3834093293826043</v>
      </c>
      <c r="E54" s="41">
        <f>IF(15802.20905="","-",15802.20905/2819483.68931*100)</f>
        <v>0.56046463790209777</v>
      </c>
      <c r="F54" s="41">
        <f>IF(OR(2560872.65018="",7796.09344="",8622.35359=""),"-",(8622.35359-7796.09344)/2560872.65018*100)</f>
        <v>3.2264788721216749E-2</v>
      </c>
      <c r="G54" s="41">
        <f>IF(OR(2248863.79366="",15802.20905="",8622.35359=""),"-",(15802.20905-8622.35359)/2248863.79366*100)</f>
        <v>0.31926591020058476</v>
      </c>
    </row>
    <row r="55" spans="1:7" s="7" customFormat="1" x14ac:dyDescent="0.25">
      <c r="A55" s="88" t="s">
        <v>75</v>
      </c>
      <c r="B55" s="90">
        <v>14136.6927</v>
      </c>
      <c r="C55" s="41" t="s">
        <v>383</v>
      </c>
      <c r="D55" s="41">
        <f>IF(564.93463="","-",564.93463/2248863.79366*100)</f>
        <v>2.5120891340447767E-2</v>
      </c>
      <c r="E55" s="41">
        <f>IF(14136.6927="","-",14136.6927/2819483.68931*100)</f>
        <v>0.50139295905838743</v>
      </c>
      <c r="F55" s="41">
        <f>IF(OR(2560872.65018="",1827.32418="",564.93463=""),"-",(564.93463-1827.32418)/2560872.65018*100)</f>
        <v>-4.9295288069528508E-2</v>
      </c>
      <c r="G55" s="41">
        <f>IF(OR(2248863.79366="",14136.6927="",564.93463=""),"-",(14136.6927-564.93463)/2248863.79366*100)</f>
        <v>0.60349400031524891</v>
      </c>
    </row>
    <row r="56" spans="1:7" s="12" customFormat="1" x14ac:dyDescent="0.25">
      <c r="A56" s="88" t="s">
        <v>62</v>
      </c>
      <c r="B56" s="90">
        <v>12096.055329999999</v>
      </c>
      <c r="C56" s="41" t="s">
        <v>294</v>
      </c>
      <c r="D56" s="41">
        <f>IF(4668.43733="","-",4668.43733/2248863.79366*100)</f>
        <v>0.20759093294850781</v>
      </c>
      <c r="E56" s="41">
        <f>IF(12096.05533="","-",12096.05533/2819483.68931*100)</f>
        <v>0.4290166804603936</v>
      </c>
      <c r="F56" s="41">
        <f>IF(OR(2560872.65018="",6061.2433="",4668.43733=""),"-",(4668.43733-6061.2433)/2560872.65018*100)</f>
        <v>-5.4387943496608554E-2</v>
      </c>
      <c r="G56" s="41">
        <f>IF(OR(2248863.79366="",12096.05533="",4668.43733=""),"-",(12096.05533-4668.43733)/2248863.79366*100)</f>
        <v>0.33028314213337201</v>
      </c>
    </row>
    <row r="57" spans="1:7" s="7" customFormat="1" x14ac:dyDescent="0.25">
      <c r="A57" s="88" t="s">
        <v>59</v>
      </c>
      <c r="B57" s="90">
        <v>11550.66941</v>
      </c>
      <c r="C57" s="41">
        <f>IF(OR(11579.41418="",11550.66941=""),"-",11550.66941/11579.41418*100)</f>
        <v>99.751759721578594</v>
      </c>
      <c r="D57" s="41">
        <f>IF(11579.41418="","-",11579.41418/2248863.79366*100)</f>
        <v>0.51490064505661493</v>
      </c>
      <c r="E57" s="41">
        <f>IF(11550.66941="","-",11550.66941/2819483.68931*100)</f>
        <v>0.40967321264506934</v>
      </c>
      <c r="F57" s="41">
        <f>IF(OR(2560872.65018="",15922.64692="",11579.41418=""),"-",(11579.41418-15922.64692)/2560872.65018*100)</f>
        <v>-0.16959971592865894</v>
      </c>
      <c r="G57" s="41">
        <f>IF(OR(2248863.79366="",11550.66941="",11579.41418=""),"-",(11550.66941-11579.41418)/2248863.79366*100)</f>
        <v>-1.2781907948821371E-3</v>
      </c>
    </row>
    <row r="58" spans="1:7" s="10" customFormat="1" x14ac:dyDescent="0.25">
      <c r="A58" s="88" t="s">
        <v>65</v>
      </c>
      <c r="B58" s="90">
        <v>6884.5073199999997</v>
      </c>
      <c r="C58" s="41">
        <f>IF(OR(5087.49438="",6884.50732=""),"-",6884.50732/5087.49438*100)</f>
        <v>135.32216069003303</v>
      </c>
      <c r="D58" s="41">
        <f>IF(5087.49438="","-",5087.49438/2248863.79366*100)</f>
        <v>0.22622510061937373</v>
      </c>
      <c r="E58" s="41">
        <f>IF(6884.50732="","-",6884.50732/2819483.68931*100)</f>
        <v>0.24417617119412441</v>
      </c>
      <c r="F58" s="41">
        <f>IF(OR(2560872.65018="",11760.4343="",5087.49438=""),"-",(5087.49438-11760.4343)/2560872.65018*100)</f>
        <v>-0.26057289180432186</v>
      </c>
      <c r="G58" s="41">
        <f>IF(OR(2248863.79366="",6884.50732="",5087.49438=""),"-",(6884.50732-5087.49438)/2248863.79366*100)</f>
        <v>7.9907593561964085E-2</v>
      </c>
    </row>
    <row r="59" spans="1:7" s="7" customFormat="1" x14ac:dyDescent="0.25">
      <c r="A59" s="88" t="s">
        <v>68</v>
      </c>
      <c r="B59" s="90">
        <v>6585.56466</v>
      </c>
      <c r="C59" s="41" t="s">
        <v>219</v>
      </c>
      <c r="D59" s="41">
        <f>IF(4390.16506="","-",4390.16506/2248863.79366*100)</f>
        <v>0.19521702792213383</v>
      </c>
      <c r="E59" s="41">
        <f>IF(6585.56466="","-",6585.56466/2819483.68931*100)</f>
        <v>0.23357342640317444</v>
      </c>
      <c r="F59" s="41">
        <f>IF(OR(2560872.65018="",6483.48389="",4390.16506=""),"-",(4390.16506-6483.48389)/2560872.65018*100)</f>
        <v>-8.1742402530358693E-2</v>
      </c>
      <c r="G59" s="41">
        <f>IF(OR(2248863.79366="",6585.56466="",4390.16506=""),"-",(6585.56466-4390.16506)/2248863.79366*100)</f>
        <v>9.7622613080848797E-2</v>
      </c>
    </row>
    <row r="60" spans="1:7" s="10" customFormat="1" x14ac:dyDescent="0.25">
      <c r="A60" s="88" t="s">
        <v>57</v>
      </c>
      <c r="B60" s="90">
        <v>5402.1017000000002</v>
      </c>
      <c r="C60" s="41">
        <f>IF(OR(5947.90059="",5402.1017=""),"-",5402.1017/5947.90059*100)</f>
        <v>90.823671617551355</v>
      </c>
      <c r="D60" s="41">
        <f>IF(5947.90059="","-",5947.90059/2248863.79366*100)</f>
        <v>0.26448469697312615</v>
      </c>
      <c r="E60" s="41">
        <f>IF(5402.1017="","-",5402.1017/2819483.68931*100)</f>
        <v>0.19159896971498472</v>
      </c>
      <c r="F60" s="41">
        <f>IF(OR(2560872.65018="",8219.10313="",5947.90059=""),"-",(5947.90059-8219.10313)/2560872.65018*100)</f>
        <v>-8.8688617133708694E-2</v>
      </c>
      <c r="G60" s="41">
        <f>IF(OR(2248863.79366="",5402.1017="",5947.90059=""),"-",(5402.1017-5947.90059)/2248863.79366*100)</f>
        <v>-2.4269984315578249E-2</v>
      </c>
    </row>
    <row r="61" spans="1:7" s="7" customFormat="1" x14ac:dyDescent="0.25">
      <c r="A61" s="88" t="s">
        <v>122</v>
      </c>
      <c r="B61" s="90">
        <v>5106.5330999999996</v>
      </c>
      <c r="C61" s="41">
        <f>IF(OR(3777.24465="",5106.5331=""),"-",5106.5331/3777.24465*100)</f>
        <v>135.19201357529224</v>
      </c>
      <c r="D61" s="41">
        <f>IF(3777.24465="","-",3777.24465/2248863.79366*100)</f>
        <v>0.16796235773143814</v>
      </c>
      <c r="E61" s="41">
        <f>IF(5106.5331="","-",5106.5331/2819483.68931*100)</f>
        <v>0.18111589435190881</v>
      </c>
      <c r="F61" s="41">
        <f>IF(OR(2560872.65018="",14947.67113="",3777.24465=""),"-",(3777.24465-14947.67113)/2560872.65018*100)</f>
        <v>-0.43619609429679562</v>
      </c>
      <c r="G61" s="41">
        <f>IF(OR(2248863.79366="",5106.5331="",3777.24465=""),"-",(5106.5331-3777.24465)/2248863.79366*100)</f>
        <v>5.9109335734228607E-2</v>
      </c>
    </row>
    <row r="62" spans="1:7" s="10" customFormat="1" x14ac:dyDescent="0.25">
      <c r="A62" s="88" t="s">
        <v>63</v>
      </c>
      <c r="B62" s="90">
        <v>4347.1517199999998</v>
      </c>
      <c r="C62" s="41" t="s">
        <v>409</v>
      </c>
      <c r="D62" s="41">
        <f>IF(347.45692="","-",347.45692/2248863.79366*100)</f>
        <v>1.545033189557994E-2</v>
      </c>
      <c r="E62" s="41">
        <f>IF(4347.15172="","-",4347.15172/2819483.68931*100)</f>
        <v>0.15418254542426027</v>
      </c>
      <c r="F62" s="41">
        <f>IF(OR(2560872.65018="",2417.41419="",347.45692=""),"-",(347.45692-2417.41419)/2560872.65018*100)</f>
        <v>-8.0830152559695057E-2</v>
      </c>
      <c r="G62" s="41">
        <f>IF(OR(2248863.79366="",4347.15172="",347.45692=""),"-",(4347.15172-347.45692)/2248863.79366*100)</f>
        <v>0.17785402616538826</v>
      </c>
    </row>
    <row r="63" spans="1:7" s="7" customFormat="1" x14ac:dyDescent="0.25">
      <c r="A63" s="40" t="s">
        <v>37</v>
      </c>
      <c r="B63" s="27">
        <v>4046.2170500000002</v>
      </c>
      <c r="C63" s="41">
        <f>IF(OR(3701.55668="",4046.21705=""),"-",4046.21705/3701.55668*100)</f>
        <v>109.31122767516288</v>
      </c>
      <c r="D63" s="41">
        <f>IF(3701.55668="","-",3701.55668/2248863.79366*100)</f>
        <v>0.16459674838624883</v>
      </c>
      <c r="E63" s="41">
        <f>IF(4046.21705="","-",4046.21705/2819483.68931*100)</f>
        <v>0.14350914904530671</v>
      </c>
      <c r="F63" s="41">
        <f>IF(OR(2560872.65018="",2857.79997="",3701.55668=""),"-",(3701.55668-2857.79997)/2560872.65018*100)</f>
        <v>3.2948015198674317E-2</v>
      </c>
      <c r="G63" s="41">
        <f>IF(OR(2248863.79366="",4046.21705="",3701.55668=""),"-",(4046.21705-3701.55668)/2248863.79366*100)</f>
        <v>1.5325977988158601E-2</v>
      </c>
    </row>
    <row r="64" spans="1:7" s="7" customFormat="1" x14ac:dyDescent="0.25">
      <c r="A64" s="88" t="s">
        <v>61</v>
      </c>
      <c r="B64" s="90">
        <v>3981.1361700000002</v>
      </c>
      <c r="C64" s="41" t="s">
        <v>219</v>
      </c>
      <c r="D64" s="41">
        <f>IF(2595.6631="","-",2595.6631/2248863.79366*100)</f>
        <v>0.11542108985513919</v>
      </c>
      <c r="E64" s="41">
        <f>IF(3981.13617="","-",3981.13617/2819483.68931*100)</f>
        <v>0.14120089380528697</v>
      </c>
      <c r="F64" s="41">
        <f>IF(OR(2560872.65018="",9856.81362="",2595.6631=""),"-",(2595.6631-9856.81362)/2560872.65018*100)</f>
        <v>-0.28354203866754663</v>
      </c>
      <c r="G64" s="41">
        <f>IF(OR(2248863.79366="",3981.13617="",2595.6631=""),"-",(3981.13617-2595.6631)/2248863.79366*100)</f>
        <v>6.1607691577672583E-2</v>
      </c>
    </row>
    <row r="65" spans="1:7" s="10" customFormat="1" x14ac:dyDescent="0.25">
      <c r="A65" s="88" t="s">
        <v>71</v>
      </c>
      <c r="B65" s="90">
        <v>3323.84276</v>
      </c>
      <c r="C65" s="41" t="s">
        <v>340</v>
      </c>
      <c r="D65" s="41">
        <f>IF(312.37617="","-",312.37617/2248863.79366*100)</f>
        <v>1.3890399715654249E-2</v>
      </c>
      <c r="E65" s="41">
        <f>IF(3323.84276="","-",3323.84276/2819483.68931*100)</f>
        <v>0.11788834858673823</v>
      </c>
      <c r="F65" s="41">
        <f>IF(OR(2560872.65018="",1639.55187="",312.37617=""),"-",(312.37617-1639.55187)/2560872.65018*100)</f>
        <v>-5.1825134682379259E-2</v>
      </c>
      <c r="G65" s="41">
        <f>IF(OR(2248863.79366="",3323.84276="",312.37617=""),"-",(3323.84276-312.37617)/2248863.79366*100)</f>
        <v>0.13391058180090457</v>
      </c>
    </row>
    <row r="66" spans="1:7" s="12" customFormat="1" x14ac:dyDescent="0.25">
      <c r="A66" s="88" t="s">
        <v>130</v>
      </c>
      <c r="B66" s="90">
        <v>3081.51829</v>
      </c>
      <c r="C66" s="41" t="s">
        <v>20</v>
      </c>
      <c r="D66" s="41">
        <f>IF(1505.42758="","-",1505.42758/2248863.79366*100)</f>
        <v>6.6941696702312675E-2</v>
      </c>
      <c r="E66" s="41">
        <f>IF(3081.51829="","-",3081.51829/2819483.68931*100)</f>
        <v>0.10929370869154156</v>
      </c>
      <c r="F66" s="41">
        <f>IF(OR(2560872.65018="",1393.68599="",1505.42758=""),"-",(1505.42758-1393.68599)/2560872.65018*100)</f>
        <v>4.3634184617554464E-3</v>
      </c>
      <c r="G66" s="41">
        <f>IF(OR(2248863.79366="",3081.51829="",1505.42758=""),"-",(3081.51829-1505.42758)/2248863.79366*100)</f>
        <v>7.0083866992892901E-2</v>
      </c>
    </row>
    <row r="67" spans="1:7" s="7" customFormat="1" x14ac:dyDescent="0.25">
      <c r="A67" s="88" t="s">
        <v>76</v>
      </c>
      <c r="B67" s="90">
        <v>2971.9746500000001</v>
      </c>
      <c r="C67" s="41">
        <f>IF(OR(2002.70171="",2971.97465=""),"-",2971.97465/2002.70171*100)</f>
        <v>148.39826795773797</v>
      </c>
      <c r="D67" s="41">
        <f>IF(2002.70171="","-",2002.70171/2248863.79366*100)</f>
        <v>8.9053935398222844E-2</v>
      </c>
      <c r="E67" s="41">
        <f>IF(2971.97465="","-",2971.97465/2819483.68931*100)</f>
        <v>0.10540847110654217</v>
      </c>
      <c r="F67" s="41">
        <f>IF(OR(2560872.65018="",1705.77097="",2002.70171=""),"-",(2002.70171-1705.77097)/2560872.65018*100)</f>
        <v>1.1594904572046141E-2</v>
      </c>
      <c r="G67" s="41">
        <f>IF(OR(2248863.79366="",2971.97465="",2002.70171=""),"-",(2971.97465-2002.70171)/2248863.79366*100)</f>
        <v>4.3100562280942743E-2</v>
      </c>
    </row>
    <row r="68" spans="1:7" s="7" customFormat="1" x14ac:dyDescent="0.25">
      <c r="A68" s="88" t="s">
        <v>77</v>
      </c>
      <c r="B68" s="90">
        <v>2150.4695200000001</v>
      </c>
      <c r="C68" s="41" t="s">
        <v>209</v>
      </c>
      <c r="D68" s="41">
        <f>IF(1187.56132="","-",1187.56132/2248863.79366*100)</f>
        <v>5.2807169707119413E-2</v>
      </c>
      <c r="E68" s="41">
        <f>IF(2150.46952="","-",2150.46952/2819483.68931*100)</f>
        <v>7.6271748907555323E-2</v>
      </c>
      <c r="F68" s="41">
        <f>IF(OR(2560872.65018="",1512.59657="",1187.56132=""),"-",(1187.56132-1512.59657)/2560872.65018*100)</f>
        <v>-1.2692362893451718E-2</v>
      </c>
      <c r="G68" s="41">
        <f>IF(OR(2248863.79366="",2150.46952="",1187.56132=""),"-",(2150.46952-1187.56132)/2248863.79366*100)</f>
        <v>4.2817542027873468E-2</v>
      </c>
    </row>
    <row r="69" spans="1:7" s="7" customFormat="1" x14ac:dyDescent="0.25">
      <c r="A69" s="88" t="s">
        <v>216</v>
      </c>
      <c r="B69" s="90">
        <v>2095.8048600000002</v>
      </c>
      <c r="C69" s="41" t="s">
        <v>357</v>
      </c>
      <c r="D69" s="41">
        <f>IF(15.83932="","-",15.83932/2248863.79366*100)</f>
        <v>7.0432544846220715E-4</v>
      </c>
      <c r="E69" s="41">
        <f>IF(2095.80486="","-",2095.80486/2819483.68931*100)</f>
        <v>7.4332930810920836E-2</v>
      </c>
      <c r="F69" s="41">
        <f>IF(OR(2560872.65018="",449.49037="",15.83932=""),"-",(15.83932-449.49037)/2560872.65018*100)</f>
        <v>-1.6933721790871534E-2</v>
      </c>
      <c r="G69" s="41">
        <f>IF(OR(2248863.79366="",2095.80486="",15.83932=""),"-",(2095.80486-15.83932)/2248863.79366*100)</f>
        <v>9.2489618351446728E-2</v>
      </c>
    </row>
    <row r="70" spans="1:7" s="7" customFormat="1" x14ac:dyDescent="0.25">
      <c r="A70" s="88" t="s">
        <v>91</v>
      </c>
      <c r="B70" s="90">
        <v>2040.91176</v>
      </c>
      <c r="C70" s="41" t="s">
        <v>384</v>
      </c>
      <c r="D70" s="41">
        <f>IF(338.43874="","-",338.43874/2248863.79366*100)</f>
        <v>1.5049321393057551E-2</v>
      </c>
      <c r="E70" s="41">
        <f>IF(2040.91176="","-",2040.91176/2819483.68931*100)</f>
        <v>7.2386010521644964E-2</v>
      </c>
      <c r="F70" s="41">
        <f>IF(OR(2560872.65018="",1198.82361="",338.43874=""),"-",(338.43874-1198.82361)/2560872.65018*100)</f>
        <v>-3.3597331360445612E-2</v>
      </c>
      <c r="G70" s="41">
        <f>IF(OR(2248863.79366="",2040.91176="",338.43874=""),"-",(2040.91176-338.43874)/2248863.79366*100)</f>
        <v>7.5703696453276292E-2</v>
      </c>
    </row>
    <row r="71" spans="1:7" s="7" customFormat="1" x14ac:dyDescent="0.25">
      <c r="A71" s="88" t="s">
        <v>36</v>
      </c>
      <c r="B71" s="90">
        <v>1720.7839100000001</v>
      </c>
      <c r="C71" s="41" t="s">
        <v>215</v>
      </c>
      <c r="D71" s="41">
        <f>IF(681.02799="","-",681.02799/2248863.79366*100)</f>
        <v>3.0283203096601718E-2</v>
      </c>
      <c r="E71" s="41">
        <f>IF(1720.78391="","-",1720.78391/2819483.68931*100)</f>
        <v>6.1031880288022533E-2</v>
      </c>
      <c r="F71" s="41">
        <f>IF(OR(2560872.65018="",319.50866="",681.02799=""),"-",(681.02799-319.50866)/2560872.65018*100)</f>
        <v>1.4117036627127452E-2</v>
      </c>
      <c r="G71" s="41">
        <f>IF(OR(2248863.79366="",1720.78391="",681.02799=""),"-",(1720.78391-681.02799)/2248863.79366*100)</f>
        <v>4.6234721859602236E-2</v>
      </c>
    </row>
    <row r="72" spans="1:7" s="7" customFormat="1" x14ac:dyDescent="0.25">
      <c r="A72" s="88" t="s">
        <v>354</v>
      </c>
      <c r="B72" s="90">
        <v>1411.38833</v>
      </c>
      <c r="C72" s="41">
        <f>IF(OR(1524.28477="",1411.38833=""),"-",1411.38833/1524.28477*100)</f>
        <v>92.593481072437669</v>
      </c>
      <c r="D72" s="41">
        <f>IF(1524.28477="","-",1524.28477/2248863.79366*100)</f>
        <v>6.778021747236386E-2</v>
      </c>
      <c r="E72" s="41">
        <f>IF(1411.38833="","-",1411.38833/2819483.68931*100)</f>
        <v>5.0058396696928686E-2</v>
      </c>
      <c r="F72" s="41">
        <f>IF(OR(2560872.65018="",1468.45099="",1524.28477=""),"-",(1524.28477-1468.45099)/2560872.65018*100)</f>
        <v>2.1802638251486443E-3</v>
      </c>
      <c r="G72" s="41">
        <f>IF(OR(2248863.79366="",1411.38833="",1524.28477=""),"-",(1411.38833-1524.28477)/2248863.79366*100)</f>
        <v>-5.0201546362335404E-3</v>
      </c>
    </row>
    <row r="73" spans="1:7" s="7" customFormat="1" x14ac:dyDescent="0.25">
      <c r="A73" s="88" t="s">
        <v>64</v>
      </c>
      <c r="B73" s="90">
        <v>1389.0401999999999</v>
      </c>
      <c r="C73" s="41" t="s">
        <v>356</v>
      </c>
      <c r="D73" s="41">
        <f>IF(432.21897="","-",432.21897/2248863.79366*100)</f>
        <v>1.921943744296619E-2</v>
      </c>
      <c r="E73" s="41">
        <f>IF(1389.0402="","-",1389.0402/2819483.68931*100)</f>
        <v>4.9265764695377037E-2</v>
      </c>
      <c r="F73" s="41">
        <f>IF(OR(2560872.65018="",1446.58019="",432.21897=""),"-",(432.21897-1446.58019)/2560872.65018*100)</f>
        <v>-3.9609982945801772E-2</v>
      </c>
      <c r="G73" s="41">
        <f>IF(OR(2248863.79366="",1389.0402="",432.21897=""),"-",(1389.0402-432.21897)/2248863.79366*100)</f>
        <v>4.2546873345441001E-2</v>
      </c>
    </row>
    <row r="74" spans="1:7" s="7" customFormat="1" x14ac:dyDescent="0.25">
      <c r="A74" s="88" t="s">
        <v>88</v>
      </c>
      <c r="B74" s="90">
        <v>1144.49431</v>
      </c>
      <c r="C74" s="41" t="s">
        <v>385</v>
      </c>
      <c r="D74" s="41">
        <f>IF(98.8642="","-",98.8642/2248863.79366*100)</f>
        <v>4.3961844322772279E-3</v>
      </c>
      <c r="E74" s="41">
        <f>IF(1144.49431="","-",1144.49431/2819483.68931*100)</f>
        <v>4.0592336616073393E-2</v>
      </c>
      <c r="F74" s="41">
        <f>IF(OR(2560872.65018="",4.15058="",98.8642=""),"-",(98.8642-4.15058)/2560872.65018*100)</f>
        <v>3.69849004374906E-3</v>
      </c>
      <c r="G74" s="41">
        <f>IF(OR(2248863.79366="",1144.49431="",98.8642=""),"-",(1144.49431-98.8642)/2248863.79366*100)</f>
        <v>4.6495928875187637E-2</v>
      </c>
    </row>
    <row r="75" spans="1:7" s="7" customFormat="1" x14ac:dyDescent="0.25">
      <c r="A75" s="88" t="s">
        <v>38</v>
      </c>
      <c r="B75" s="90">
        <v>1109.37808</v>
      </c>
      <c r="C75" s="41">
        <f>IF(OR(1435.14311="",1109.37808=""),"-",1109.37808/1435.14311*100)</f>
        <v>77.300867925290035</v>
      </c>
      <c r="D75" s="41">
        <f>IF(1435.14311="","-",1435.14311/2248863.79366*100)</f>
        <v>6.3816364247846286E-2</v>
      </c>
      <c r="E75" s="41">
        <f>IF(1109.37808="","-",1109.37808/2819483.68931*100)</f>
        <v>3.9346852198726259E-2</v>
      </c>
      <c r="F75" s="41">
        <f>IF(OR(2560872.65018="",846.63232="",1435.14311=""),"-",(1435.14311-846.63232)/2560872.65018*100)</f>
        <v>2.298086903925638E-2</v>
      </c>
      <c r="G75" s="41">
        <f>IF(OR(2248863.79366="",1109.37808="",1435.14311=""),"-",(1109.37808-1435.14311)/2248863.79366*100)</f>
        <v>-1.4485760805896615E-2</v>
      </c>
    </row>
    <row r="76" spans="1:7" x14ac:dyDescent="0.25">
      <c r="A76" s="88" t="s">
        <v>148</v>
      </c>
      <c r="B76" s="90">
        <v>1060.6503600000001</v>
      </c>
      <c r="C76" s="41" t="s">
        <v>215</v>
      </c>
      <c r="D76" s="41">
        <f>IF(418.78835="","-",418.78835/2248863.79366*100)</f>
        <v>1.8622219415006309E-2</v>
      </c>
      <c r="E76" s="41">
        <f>IF(1060.65036="","-",1060.65036/2819483.68931*100)</f>
        <v>3.7618602442050959E-2</v>
      </c>
      <c r="F76" s="41">
        <f>IF(OR(2560872.65018="",940.13015="",418.78835=""),"-",(418.78835-940.13015)/2560872.65018*100)</f>
        <v>-2.0357974457002211E-2</v>
      </c>
      <c r="G76" s="41">
        <f>IF(OR(2248863.79366="",1060.65036="",418.78835=""),"-",(1060.65036-418.78835)/2248863.79366*100)</f>
        <v>2.8541613405380011E-2</v>
      </c>
    </row>
    <row r="77" spans="1:7" x14ac:dyDescent="0.25">
      <c r="A77" s="88" t="s">
        <v>70</v>
      </c>
      <c r="B77" s="90">
        <v>1006.67648</v>
      </c>
      <c r="C77" s="41">
        <f>IF(OR(950.17541="",1006.67648=""),"-",1006.67648/950.17541*100)</f>
        <v>105.94638309993729</v>
      </c>
      <c r="D77" s="41">
        <f>IF(950.17541="","-",950.17541/2248863.79366*100)</f>
        <v>4.2251354336298001E-2</v>
      </c>
      <c r="E77" s="41">
        <f>IF(1006.67648="","-",1006.67648/2819483.68931*100)</f>
        <v>3.570428457581748E-2</v>
      </c>
      <c r="F77" s="41">
        <f>IF(OR(2560872.65018="",3063.88891="",950.17541=""),"-",(950.17541-3063.88891)/2560872.65018*100)</f>
        <v>-8.2538797852811235E-2</v>
      </c>
      <c r="G77" s="41">
        <f>IF(OR(2248863.79366="",1006.67648="",950.17541=""),"-",(1006.67648-950.17541)/2248863.79366*100)</f>
        <v>2.5124273937482478E-3</v>
      </c>
    </row>
    <row r="78" spans="1:7" x14ac:dyDescent="0.25">
      <c r="A78" s="88" t="s">
        <v>67</v>
      </c>
      <c r="B78" s="90">
        <v>974.01526999999999</v>
      </c>
      <c r="C78" s="41">
        <f>IF(OR(3143.24012="",974.01527=""),"-",974.01527/3143.24012*100)</f>
        <v>30.987618915986602</v>
      </c>
      <c r="D78" s="41">
        <f>IF(3143.24012="","-",3143.24012/2248863.79366*100)</f>
        <v>0.13977014209848668</v>
      </c>
      <c r="E78" s="41">
        <f>IF(974.01527="","-",974.01527/2819483.68931*100)</f>
        <v>3.4545873547449625E-2</v>
      </c>
      <c r="F78" s="41">
        <f>IF(OR(2560872.65018="",22.26872="",3143.24012=""),"-",(3143.24012-22.26872)/2560872.65018*100)</f>
        <v>0.12187140191374342</v>
      </c>
      <c r="G78" s="41">
        <f>IF(OR(2248863.79366="",974.01527="",3143.24012=""),"-",(974.01527-3143.24012)/2248863.79366*100)</f>
        <v>-9.6458703106674662E-2</v>
      </c>
    </row>
    <row r="79" spans="1:7" x14ac:dyDescent="0.25">
      <c r="A79" s="88" t="s">
        <v>96</v>
      </c>
      <c r="B79" s="90">
        <v>962.55267000000003</v>
      </c>
      <c r="C79" s="41" t="s">
        <v>95</v>
      </c>
      <c r="D79" s="41">
        <f>IF(460.22179="","-",460.22179/2248863.79366*100)</f>
        <v>2.0464636021863925E-2</v>
      </c>
      <c r="E79" s="41">
        <f>IF(962.55267="","-",962.55267/2819483.68931*100)</f>
        <v>3.413932393542455E-2</v>
      </c>
      <c r="F79" s="41">
        <f>IF(OR(2560872.65018="",757.15518="",460.22179=""),"-",(460.22179-757.15518)/2560872.65018*100)</f>
        <v>-1.1595008052396865E-2</v>
      </c>
      <c r="G79" s="41">
        <f>IF(OR(2248863.79366="",962.55267="",460.22179=""),"-",(962.55267-460.22179)/2248863.79366*100)</f>
        <v>2.2337096689278024E-2</v>
      </c>
    </row>
    <row r="80" spans="1:7" x14ac:dyDescent="0.25">
      <c r="A80" s="88" t="s">
        <v>129</v>
      </c>
      <c r="B80" s="90">
        <v>917.86662999999999</v>
      </c>
      <c r="C80" s="41" t="s">
        <v>219</v>
      </c>
      <c r="D80" s="41">
        <f>IF(607.33178="","-",607.33178/2248863.79366*100)</f>
        <v>2.7006161142893163E-2</v>
      </c>
      <c r="E80" s="41">
        <f>IF(917.86663="","-",917.86663/2819483.68931*100)</f>
        <v>3.255442241003443E-2</v>
      </c>
      <c r="F80" s="41">
        <f>IF(OR(2560872.65018="",117.36746="",607.33178=""),"-",(607.33178-117.36746)/2560872.65018*100)</f>
        <v>1.9132709311630983E-2</v>
      </c>
      <c r="G80" s="41">
        <f>IF(OR(2248863.79366="",917.86663="",607.33178=""),"-",(917.86663-607.33178)/2248863.79366*100)</f>
        <v>1.3808521924514074E-2</v>
      </c>
    </row>
    <row r="81" spans="1:7" x14ac:dyDescent="0.25">
      <c r="A81" s="88" t="s">
        <v>109</v>
      </c>
      <c r="B81" s="90">
        <v>889.48889999999994</v>
      </c>
      <c r="C81" s="41" t="s">
        <v>104</v>
      </c>
      <c r="D81" s="41">
        <f>IF(557.97836="","-",557.97836/2248863.79366*100)</f>
        <v>2.4811567582396648E-2</v>
      </c>
      <c r="E81" s="41">
        <f>IF(889.4889="","-",889.4889/2819483.68931*100)</f>
        <v>3.1547935651214234E-2</v>
      </c>
      <c r="F81" s="41">
        <f>IF(OR(2560872.65018="",1245.47947="",557.97836=""),"-",(557.97836-1245.47947)/2560872.65018*100)</f>
        <v>-2.6846360749398321E-2</v>
      </c>
      <c r="G81" s="41">
        <f>IF(OR(2248863.79366="",889.4889="",557.97836=""),"-",(889.4889-557.97836)/2248863.79366*100)</f>
        <v>1.4741245820871633E-2</v>
      </c>
    </row>
    <row r="82" spans="1:7" x14ac:dyDescent="0.25">
      <c r="A82" s="88" t="s">
        <v>93</v>
      </c>
      <c r="B82" s="90">
        <v>829.79817000000003</v>
      </c>
      <c r="C82" s="41">
        <f>IF(OR(761.57689="",829.79817=""),"-",829.79817/761.57689*100)</f>
        <v>108.95789786898602</v>
      </c>
      <c r="D82" s="41">
        <f>IF(761.57689="","-",761.57689/2248863.79366*100)</f>
        <v>3.3864962926925084E-2</v>
      </c>
      <c r="E82" s="41">
        <f>IF(829.79817="","-",829.79817/2819483.68931*100)</f>
        <v>2.9430855484149757E-2</v>
      </c>
      <c r="F82" s="41">
        <f>IF(OR(2560872.65018="",278.26482="",761.57689=""),"-",(761.57689-278.26482)/2560872.65018*100)</f>
        <v>1.8872944344422157E-2</v>
      </c>
      <c r="G82" s="41">
        <f>IF(OR(2248863.79366="",829.79817="",761.57689=""),"-",(829.79817-761.57689)/2248863.79366*100)</f>
        <v>3.0335887923639269E-3</v>
      </c>
    </row>
    <row r="83" spans="1:7" x14ac:dyDescent="0.25">
      <c r="A83" s="88" t="s">
        <v>78</v>
      </c>
      <c r="B83" s="90">
        <v>822.71893</v>
      </c>
      <c r="C83" s="41" t="s">
        <v>342</v>
      </c>
      <c r="D83" s="41">
        <f>IF(222.64="","-",222.64/2248863.79366*100)</f>
        <v>9.9001104747947384E-3</v>
      </c>
      <c r="E83" s="41">
        <f>IF(822.71893="","-",822.71893/2819483.68931*100)</f>
        <v>2.9179772634235046E-2</v>
      </c>
      <c r="F83" s="41">
        <f>IF(OR(2560872.65018="",166.99478="",222.64=""),"-",(222.64-166.99478)/2560872.65018*100)</f>
        <v>2.172900710079776E-3</v>
      </c>
      <c r="G83" s="41">
        <f>IF(OR(2248863.79366="",822.71893="",222.64=""),"-",(822.71893-222.64)/2248863.79366*100)</f>
        <v>2.668364939182815E-2</v>
      </c>
    </row>
    <row r="84" spans="1:7" x14ac:dyDescent="0.25">
      <c r="A84" s="40" t="s">
        <v>221</v>
      </c>
      <c r="B84" s="27">
        <v>809.73271999999997</v>
      </c>
      <c r="C84" s="41" t="s">
        <v>386</v>
      </c>
      <c r="D84" s="41">
        <f>IF(121.09235="","-",121.09235/2248863.79366*100)</f>
        <v>5.3846013414144385E-3</v>
      </c>
      <c r="E84" s="41">
        <f>IF(809.73272="","-",809.73272/2819483.68931*100)</f>
        <v>2.8719184404934876E-2</v>
      </c>
      <c r="F84" s="41">
        <f>IF(OR(2560872.65018="",3265.33867="",121.09235=""),"-",(121.09235-3265.33867)/2560872.65018*100)</f>
        <v>-0.1227802686626762</v>
      </c>
      <c r="G84" s="41">
        <f>IF(OR(2248863.79366="",809.73272="",121.09235=""),"-",(809.73272-121.09235)/2248863.79366*100)</f>
        <v>3.0621702031995705E-2</v>
      </c>
    </row>
    <row r="85" spans="1:7" x14ac:dyDescent="0.25">
      <c r="A85" s="88" t="s">
        <v>87</v>
      </c>
      <c r="B85" s="90">
        <v>809.52014999999994</v>
      </c>
      <c r="C85" s="41">
        <f>IF(OR(1207.96508="",809.52015=""),"-",809.52015/1207.96508*100)</f>
        <v>67.015194677647472</v>
      </c>
      <c r="D85" s="41">
        <f>IF(1207.96508="","-",1207.96508/2248863.79366*100)</f>
        <v>5.3714461649722711E-2</v>
      </c>
      <c r="E85" s="41">
        <f>IF(809.52015="","-",809.52015/2819483.68931*100)</f>
        <v>2.8711645081306015E-2</v>
      </c>
      <c r="F85" s="41">
        <f>IF(OR(2560872.65018="",504.2726="",1207.96508=""),"-",(1207.96508-504.2726)/2560872.65018*100)</f>
        <v>2.7478620615927093E-2</v>
      </c>
      <c r="G85" s="41">
        <f>IF(OR(2248863.79366="",809.52015="",1207.96508=""),"-",(809.52015-1207.96508)/2248863.79366*100)</f>
        <v>-1.7717610605110744E-2</v>
      </c>
    </row>
    <row r="86" spans="1:7" x14ac:dyDescent="0.25">
      <c r="A86" s="40" t="s">
        <v>39</v>
      </c>
      <c r="B86" s="27">
        <v>763.45407999999998</v>
      </c>
      <c r="C86" s="41">
        <f>IF(OR(1882.15806="",763.45408=""),"-",763.45408/1882.15806*100)</f>
        <v>40.562697481421935</v>
      </c>
      <c r="D86" s="41">
        <f>IF(1882.15806="","-",1882.15806/2248863.79366*100)</f>
        <v>8.3693733044490418E-2</v>
      </c>
      <c r="E86" s="41">
        <f>IF(763.45408="","-",763.45408/2819483.68931*100)</f>
        <v>2.7077797360368371E-2</v>
      </c>
      <c r="F86" s="41">
        <f>IF(OR(2560872.65018="",1469.72551="",1882.15806=""),"-",(1882.15806-1469.72551)/2560872.65018*100)</f>
        <v>1.6105156575084306E-2</v>
      </c>
      <c r="G86" s="41">
        <f>IF(OR(2248863.79366="",763.45408="",1882.15806=""),"-",(763.45408-1882.15806)/2248863.79366*100)</f>
        <v>-4.9745297298744898E-2</v>
      </c>
    </row>
    <row r="87" spans="1:7" x14ac:dyDescent="0.25">
      <c r="A87" s="88" t="s">
        <v>72</v>
      </c>
      <c r="B87" s="90">
        <v>720.67245000000003</v>
      </c>
      <c r="C87" s="41">
        <f>IF(OR(980.37172="",720.67245=""),"-",720.67245/980.37172*100)</f>
        <v>73.510122262604639</v>
      </c>
      <c r="D87" s="41">
        <f>IF(980.37172="","-",980.37172/2248863.79366*100)</f>
        <v>4.3594090614285548E-2</v>
      </c>
      <c r="E87" s="41">
        <f>IF(720.67245="","-",720.67245/2819483.68931*100)</f>
        <v>2.556044047115474E-2</v>
      </c>
      <c r="F87" s="41">
        <f>IF(OR(2560872.65018="",1273.68617="",980.37172=""),"-",(980.37172-1273.68617)/2560872.65018*100)</f>
        <v>-1.1453691380529341E-2</v>
      </c>
      <c r="G87" s="41">
        <f>IF(OR(2248863.79366="",720.67245="",980.37172=""),"-",(720.67245-980.37172)/2248863.79366*100)</f>
        <v>-1.1548021304453588E-2</v>
      </c>
    </row>
    <row r="88" spans="1:7" x14ac:dyDescent="0.25">
      <c r="A88" s="88" t="s">
        <v>107</v>
      </c>
      <c r="B88" s="90">
        <v>701.63872000000003</v>
      </c>
      <c r="C88" s="41" t="s">
        <v>336</v>
      </c>
      <c r="D88" s="41">
        <f>IF(140.09979="","-",140.09979/2248863.79366*100)</f>
        <v>6.2298032630953258E-3</v>
      </c>
      <c r="E88" s="41">
        <f>IF(701.63872="","-",701.63872/2819483.68931*100)</f>
        <v>2.4885361907225966E-2</v>
      </c>
      <c r="F88" s="41">
        <f>IF(OR(2560872.65018="",484.59242="",140.09979=""),"-",(140.09979-484.59242)/2560872.65018*100)</f>
        <v>-1.3452157801591036E-2</v>
      </c>
      <c r="G88" s="41">
        <f>IF(OR(2248863.79366="",701.63872="",140.09979=""),"-",(701.63872-140.09979)/2248863.79366*100)</f>
        <v>2.4969895090271421E-2</v>
      </c>
    </row>
    <row r="89" spans="1:7" x14ac:dyDescent="0.25">
      <c r="A89" s="88" t="s">
        <v>101</v>
      </c>
      <c r="B89" s="90">
        <v>682.18516999999997</v>
      </c>
      <c r="C89" s="41" t="s">
        <v>356</v>
      </c>
      <c r="D89" s="41">
        <f>IF(214.90947="","-",214.90947/2248863.79366*100)</f>
        <v>9.5563577752406838E-3</v>
      </c>
      <c r="E89" s="41">
        <f>IF(682.18517="","-",682.18517/2819483.68931*100)</f>
        <v>2.4195393383068239E-2</v>
      </c>
      <c r="F89" s="41">
        <f>IF(OR(2560872.65018="",541.91298="",214.90947=""),"-",(214.90947-541.91298)/2560872.65018*100)</f>
        <v>-1.2769221850099237E-2</v>
      </c>
      <c r="G89" s="41">
        <f>IF(OR(2248863.79366="",682.18517="",214.90947=""),"-",(682.18517-214.90947)/2248863.79366*100)</f>
        <v>2.0778301527969115E-2</v>
      </c>
    </row>
    <row r="90" spans="1:7" x14ac:dyDescent="0.25">
      <c r="A90" s="88" t="s">
        <v>141</v>
      </c>
      <c r="B90" s="90">
        <v>670.70210999999995</v>
      </c>
      <c r="C90" s="41" t="s">
        <v>104</v>
      </c>
      <c r="D90" s="41">
        <f>IF(419.82077="","-",419.82077/2248863.79366*100)</f>
        <v>1.8668127931249518E-2</v>
      </c>
      <c r="E90" s="41">
        <f>IF(670.70211="","-",670.70211/2819483.68931*100)</f>
        <v>2.378811810626711E-2</v>
      </c>
      <c r="F90" s="41">
        <f>IF(OR(2560872.65018="",427.85064="",419.82077=""),"-",(419.82077-427.85064)/2560872.65018*100)</f>
        <v>-3.1355991089348427E-4</v>
      </c>
      <c r="G90" s="41">
        <f>IF(OR(2248863.79366="",670.70211="",419.82077=""),"-",(670.70211-419.82077)/2248863.79366*100)</f>
        <v>1.1155915298529195E-2</v>
      </c>
    </row>
    <row r="91" spans="1:7" x14ac:dyDescent="0.25">
      <c r="A91" s="88" t="s">
        <v>325</v>
      </c>
      <c r="B91" s="90">
        <v>662.95096999999998</v>
      </c>
      <c r="C91" s="41" t="s">
        <v>340</v>
      </c>
      <c r="D91" s="41">
        <f>IF(62.40516="","-",62.40516/2248863.79366*100)</f>
        <v>2.7749639696246931E-3</v>
      </c>
      <c r="E91" s="41">
        <f>IF(662.95097="","-",662.95097/2819483.68931*100)</f>
        <v>2.3513204652098593E-2</v>
      </c>
      <c r="F91" s="41">
        <f>IF(OR(2560872.65018="",30.4369="",62.40516=""),"-",(62.40516-30.4369)/2560872.65018*100)</f>
        <v>1.2483346252205472E-3</v>
      </c>
      <c r="G91" s="41">
        <f>IF(OR(2248863.79366="",662.95097="",62.40516=""),"-",(662.95097-62.40516)/2248863.79366*100)</f>
        <v>2.6704410097804037E-2</v>
      </c>
    </row>
    <row r="92" spans="1:7" x14ac:dyDescent="0.25">
      <c r="A92" s="40" t="s">
        <v>102</v>
      </c>
      <c r="B92" s="27">
        <v>634.39014999999995</v>
      </c>
      <c r="C92" s="41">
        <f>IF(OR(566.3703="",634.39015=""),"-",634.39015/566.3703*100)</f>
        <v>112.00978405823892</v>
      </c>
      <c r="D92" s="41">
        <f>IF(566.3703="","-",566.3703/2248863.79366*100)</f>
        <v>2.5184731133860216E-2</v>
      </c>
      <c r="E92" s="41">
        <f>IF(634.39015="","-",634.39015/2819483.68931*100)</f>
        <v>2.2500224151154838E-2</v>
      </c>
      <c r="F92" s="41">
        <f>IF(OR(2560872.65018="",209.59513="",566.3703=""),"-",(566.3703-209.59513)/2560872.65018*100)</f>
        <v>1.3931781026866871E-2</v>
      </c>
      <c r="G92" s="41">
        <f>IF(OR(2248863.79366="",634.39015="",566.3703=""),"-",(634.39015-566.3703)/2248863.79366*100)</f>
        <v>3.0246318248246763E-3</v>
      </c>
    </row>
    <row r="93" spans="1:7" x14ac:dyDescent="0.25">
      <c r="A93" s="88" t="s">
        <v>131</v>
      </c>
      <c r="B93" s="90">
        <v>606.06420000000003</v>
      </c>
      <c r="C93" s="41" t="s">
        <v>356</v>
      </c>
      <c r="D93" s="41">
        <f>IF(191.7536="","-",191.7536/2248863.79366*100)</f>
        <v>8.5266880342238609E-3</v>
      </c>
      <c r="E93" s="41">
        <f>IF(606.0642="","-",606.0642/2819483.68931*100)</f>
        <v>2.1495573898791361E-2</v>
      </c>
      <c r="F93" s="41">
        <f>IF(OR(2560872.65018="",331.35627="",191.7536=""),"-",(191.7536-331.35627)/2560872.65018*100)</f>
        <v>-5.4513710390943311E-3</v>
      </c>
      <c r="G93" s="41">
        <f>IF(OR(2248863.79366="",606.0642="",191.7536=""),"-",(606.0642-191.7536)/2248863.79366*100)</f>
        <v>1.8423107756371244E-2</v>
      </c>
    </row>
    <row r="94" spans="1:7" x14ac:dyDescent="0.25">
      <c r="A94" s="88" t="s">
        <v>125</v>
      </c>
      <c r="B94" s="90">
        <v>571.48392999999999</v>
      </c>
      <c r="C94" s="41">
        <f>IF(OR(1130.49079="",571.48393=""),"-",571.48393/1130.49079*100)</f>
        <v>50.551843062781607</v>
      </c>
      <c r="D94" s="41">
        <f>IF(1130.49079="","-",1130.49079/2248863.79366*100)</f>
        <v>5.0269420192858336E-2</v>
      </c>
      <c r="E94" s="41">
        <f>IF(571.48393="","-",571.48393/2819483.68931*100)</f>
        <v>2.026909863556816E-2</v>
      </c>
      <c r="F94" s="41">
        <f>IF(OR(2560872.65018="",636.4602="",1130.49079=""),"-",(1130.49079-636.4602)/2560872.65018*100)</f>
        <v>1.9291493857192601E-2</v>
      </c>
      <c r="G94" s="41">
        <f>IF(OR(2248863.79366="",571.48393="",1130.49079=""),"-",(571.48393-1130.49079)/2248863.79366*100)</f>
        <v>-2.4857301788394345E-2</v>
      </c>
    </row>
    <row r="95" spans="1:7" x14ac:dyDescent="0.25">
      <c r="A95" s="88" t="s">
        <v>135</v>
      </c>
      <c r="B95" s="90">
        <v>562.13987999999995</v>
      </c>
      <c r="C95" s="41" t="s">
        <v>384</v>
      </c>
      <c r="D95" s="41">
        <f>IF(93.00495="","-",93.00495/2248863.79366*100)</f>
        <v>4.1356417521683474E-3</v>
      </c>
      <c r="E95" s="41">
        <f>IF(562.13988="","-",562.13988/2819483.68931*100)</f>
        <v>1.9937688667302417E-2</v>
      </c>
      <c r="F95" s="41">
        <f>IF(OR(2560872.65018="",95.95616="",93.00495=""),"-",(93.00495-95.95616)/2560872.65018*100)</f>
        <v>-1.1524235692831375E-4</v>
      </c>
      <c r="G95" s="41">
        <f>IF(OR(2248863.79366="",562.13988="",93.00495=""),"-",(562.13988-93.00495)/2248863.79366*100)</f>
        <v>2.0860975721276931E-2</v>
      </c>
    </row>
    <row r="96" spans="1:7" x14ac:dyDescent="0.25">
      <c r="A96" s="88" t="s">
        <v>83</v>
      </c>
      <c r="B96" s="90">
        <v>523.44821999999999</v>
      </c>
      <c r="C96" s="41" t="s">
        <v>215</v>
      </c>
      <c r="D96" s="41">
        <f>IF(212.65668="","-",212.65668/2248863.79366*100)</f>
        <v>9.4561831890184727E-3</v>
      </c>
      <c r="E96" s="41">
        <f>IF(523.44822="","-",523.44822/2819483.68931*100)</f>
        <v>1.8565392734302404E-2</v>
      </c>
      <c r="F96" s="41">
        <f>IF(OR(2560872.65018="",687.20973="",212.65668=""),"-",(212.65668-687.20973)/2560872.65018*100)</f>
        <v>-1.8530911717404005E-2</v>
      </c>
      <c r="G96" s="41">
        <f>IF(OR(2248863.79366="",523.44822="",212.65668=""),"-",(523.44822-212.65668)/2248863.79366*100)</f>
        <v>1.3819936132912271E-2</v>
      </c>
    </row>
    <row r="97" spans="1:7" x14ac:dyDescent="0.25">
      <c r="A97" s="88" t="s">
        <v>84</v>
      </c>
      <c r="B97" s="90">
        <v>460.03134999999997</v>
      </c>
      <c r="C97" s="41" t="s">
        <v>387</v>
      </c>
      <c r="D97" s="41">
        <f>IF(21.53737="","-",21.53737/2248863.79366*100)</f>
        <v>9.5770006439332544E-4</v>
      </c>
      <c r="E97" s="41">
        <f>IF(460.03135="","-",460.03135/2819483.68931*100)</f>
        <v>1.6316155746677913E-2</v>
      </c>
      <c r="F97" s="41">
        <f>IF(OR(2560872.65018="",22.15327="",21.53737=""),"-",(21.53737-22.15327)/2560872.65018*100)</f>
        <v>-2.4050395475804284E-5</v>
      </c>
      <c r="G97" s="41">
        <f>IF(OR(2248863.79366="",460.03135="",21.53737=""),"-",(460.03135-21.53737)/2248863.79366*100)</f>
        <v>1.9498467681155384E-2</v>
      </c>
    </row>
    <row r="98" spans="1:7" x14ac:dyDescent="0.25">
      <c r="A98" s="40" t="s">
        <v>81</v>
      </c>
      <c r="B98" s="27">
        <v>375.40028000000001</v>
      </c>
      <c r="C98" s="41" t="s">
        <v>359</v>
      </c>
      <c r="D98" s="41">
        <f>IF(11.756="","-",11.756/2248863.79366*100)</f>
        <v>5.2275286894397669E-4</v>
      </c>
      <c r="E98" s="41">
        <f>IF(375.40028="","-",375.40028/2819483.68931*100)</f>
        <v>1.331450440459438E-2</v>
      </c>
      <c r="F98" s="41" t="str">
        <f>IF(OR(2560872.65018="",""="",11.756=""),"-",(11.756-"")/2560872.65018*100)</f>
        <v>-</v>
      </c>
      <c r="G98" s="41">
        <f>IF(OR(2248863.79366="",375.40028="",11.756=""),"-",(375.40028-11.756)/2248863.79366*100)</f>
        <v>1.6170133603697408E-2</v>
      </c>
    </row>
    <row r="99" spans="1:7" ht="16.5" customHeight="1" x14ac:dyDescent="0.25">
      <c r="A99" s="88" t="s">
        <v>126</v>
      </c>
      <c r="B99" s="90">
        <v>363.13017000000002</v>
      </c>
      <c r="C99" s="41">
        <f>IF(OR(329.95236="",363.13017=""),"-",363.13017/329.95236*100)</f>
        <v>110.05533344268245</v>
      </c>
      <c r="D99" s="41">
        <f>IF(329.95236="","-",329.95236/2248863.79366*100)</f>
        <v>1.4671958387617879E-2</v>
      </c>
      <c r="E99" s="41">
        <f>IF(363.13017="","-",363.13017/2819483.68931*100)</f>
        <v>1.2879314442456212E-2</v>
      </c>
      <c r="F99" s="41">
        <f>IF(OR(2560872.65018="",441.7962="",329.95236=""),"-",(329.95236-441.7962)/2560872.65018*100)</f>
        <v>-4.3674112413258298E-3</v>
      </c>
      <c r="G99" s="41">
        <f>IF(OR(2248863.79366="",363.13017="",329.95236=""),"-",(363.13017-329.95236)/2248863.79366*100)</f>
        <v>1.4753143384465947E-3</v>
      </c>
    </row>
    <row r="100" spans="1:7" ht="15.75" customHeight="1" x14ac:dyDescent="0.25">
      <c r="A100" s="88" t="s">
        <v>146</v>
      </c>
      <c r="B100" s="90">
        <v>332.14800000000002</v>
      </c>
      <c r="C100" s="41">
        <f>IF(OR(223.9968="",332.148=""),"-",332.148/223.9968*100)</f>
        <v>148.28247546393521</v>
      </c>
      <c r="D100" s="41">
        <f>IF(223.9968="","-",223.9968/2248863.79366*100)</f>
        <v>9.9604431638542143E-3</v>
      </c>
      <c r="E100" s="41">
        <f>IF(332.148="","-",332.148/2819483.68931*100)</f>
        <v>1.1780454742807369E-2</v>
      </c>
      <c r="F100" s="41">
        <f>IF(OR(2560872.65018="",197.6455="",223.9968=""),"-",(223.9968-197.6455)/2560872.65018*100)</f>
        <v>1.0289968928422824E-3</v>
      </c>
      <c r="G100" s="41">
        <f>IF(OR(2248863.79366="",332.148="",223.9968=""),"-",(332.148-223.9968)/2248863.79366*100)</f>
        <v>4.8091485266871228E-3</v>
      </c>
    </row>
    <row r="101" spans="1:7" x14ac:dyDescent="0.25">
      <c r="A101" s="88" t="s">
        <v>90</v>
      </c>
      <c r="B101" s="90">
        <v>322.58798000000002</v>
      </c>
      <c r="C101" s="41" t="s">
        <v>303</v>
      </c>
      <c r="D101" s="41">
        <f>IF(118.95241="","-",118.95241/2248863.79366*100)</f>
        <v>5.2894448447856563E-3</v>
      </c>
      <c r="E101" s="41">
        <f>IF(322.58798="","-",322.58798/2819483.68931*100)</f>
        <v>1.1441384861458291E-2</v>
      </c>
      <c r="F101" s="41">
        <f>IF(OR(2560872.65018="",109.51939="",118.95241=""),"-",(118.95241-109.51939)/2560872.65018*100)</f>
        <v>3.6835178037209176E-4</v>
      </c>
      <c r="G101" s="41">
        <f>IF(OR(2248863.79366="",322.58798="",118.95241=""),"-",(322.58798-118.95241)/2248863.79366*100)</f>
        <v>9.0550423984809454E-3</v>
      </c>
    </row>
    <row r="102" spans="1:7" x14ac:dyDescent="0.25">
      <c r="A102" s="88" t="s">
        <v>86</v>
      </c>
      <c r="B102" s="90">
        <v>276.42322999999999</v>
      </c>
      <c r="C102" s="41">
        <f>IF(OR(324.46997="",276.42323=""),"-",276.42323/324.46997*100)</f>
        <v>85.192238283253147</v>
      </c>
      <c r="D102" s="41">
        <f>IF(324.46997="","-",324.46997/2248863.79366*100)</f>
        <v>1.4428173503203983E-2</v>
      </c>
      <c r="E102" s="41">
        <f>IF(276.42323="","-",276.42323/2819483.68931*100)</f>
        <v>9.8040372089418914E-3</v>
      </c>
      <c r="F102" s="41">
        <f>IF(OR(2560872.65018="",151.44216="",324.46997=""),"-",(324.46997-151.44216)/2560872.65018*100)</f>
        <v>6.7565956467159011E-3</v>
      </c>
      <c r="G102" s="41">
        <f>IF(OR(2248863.79366="",276.42323="",324.46997=""),"-",(276.42323-324.46997)/2248863.79366*100)</f>
        <v>-2.1364895524332525E-3</v>
      </c>
    </row>
    <row r="103" spans="1:7" x14ac:dyDescent="0.25">
      <c r="A103" s="88" t="s">
        <v>344</v>
      </c>
      <c r="B103" s="90">
        <v>211.45376999999999</v>
      </c>
      <c r="C103" s="41" t="s">
        <v>104</v>
      </c>
      <c r="D103" s="41">
        <f>IF(129.72873="","-",129.72873/2248863.79366*100)</f>
        <v>5.7686343817589768E-3</v>
      </c>
      <c r="E103" s="41">
        <f>IF(211.45377="","-",211.45377/2819483.68931*100)</f>
        <v>7.4997337562803272E-3</v>
      </c>
      <c r="F103" s="41">
        <f>IF(OR(2560872.65018="",43.23246="",129.72873=""),"-",(129.72873-43.23246)/2560872.65018*100)</f>
        <v>3.3776091909107748E-3</v>
      </c>
      <c r="G103" s="41">
        <f>IF(OR(2248863.79366="",211.45377="",129.72873=""),"-",(211.45377-129.72873)/2248863.79366*100)</f>
        <v>3.6340591293434195E-3</v>
      </c>
    </row>
    <row r="104" spans="1:7" x14ac:dyDescent="0.25">
      <c r="A104" s="88" t="s">
        <v>69</v>
      </c>
      <c r="B104" s="90">
        <v>199.94476</v>
      </c>
      <c r="C104" s="41" t="s">
        <v>316</v>
      </c>
      <c r="D104" s="41">
        <f>IF(67.6831="","-",67.6831/2248863.79366*100)</f>
        <v>3.0096575964632579E-3</v>
      </c>
      <c r="E104" s="41">
        <f>IF(199.94476="","-",199.94476/2819483.68931*100)</f>
        <v>7.0915380982016479E-3</v>
      </c>
      <c r="F104" s="41">
        <f>IF(OR(2560872.65018="",240.51466="",67.6831=""),"-",(67.6831-240.51466)/2560872.65018*100)</f>
        <v>-6.7489322433839857E-3</v>
      </c>
      <c r="G104" s="41">
        <f>IF(OR(2248863.79366="",199.94476="",67.6831=""),"-",(199.94476-67.6831)/2248863.79366*100)</f>
        <v>5.8812659251695132E-3</v>
      </c>
    </row>
    <row r="105" spans="1:7" x14ac:dyDescent="0.25">
      <c r="A105" s="88" t="s">
        <v>408</v>
      </c>
      <c r="B105" s="90">
        <v>189.88813999999999</v>
      </c>
      <c r="C105" s="41" t="str">
        <f>IF(OR(""="",189.88814=""),"-",189.88814/""*100)</f>
        <v>-</v>
      </c>
      <c r="D105" s="41" t="str">
        <f>IF(""="","-",""/2248863.79366*100)</f>
        <v>-</v>
      </c>
      <c r="E105" s="41">
        <f>IF(189.88814="","-",189.88814/2819483.68931*100)</f>
        <v>6.7348550630016418E-3</v>
      </c>
      <c r="F105" s="41" t="str">
        <f>IF(OR(2560872.65018="",""="",""=""),"-",(""-"")/2560872.65018*100)</f>
        <v>-</v>
      </c>
      <c r="G105" s="41" t="str">
        <f>IF(OR(2248863.79366="",189.88814="",""=""),"-",(189.88814-"")/2248863.79366*100)</f>
        <v>-</v>
      </c>
    </row>
    <row r="106" spans="1:7" x14ac:dyDescent="0.25">
      <c r="A106" s="88" t="s">
        <v>324</v>
      </c>
      <c r="B106" s="90">
        <v>173.40701000000001</v>
      </c>
      <c r="C106" s="41" t="str">
        <f>IF(OR(""="",173.40701=""),"-",173.40701/""*100)</f>
        <v>-</v>
      </c>
      <c r="D106" s="41" t="str">
        <f>IF(""="","-",""/2248863.79366*100)</f>
        <v>-</v>
      </c>
      <c r="E106" s="41">
        <f>IF(173.40701="","-",173.40701/2819483.68931*100)</f>
        <v>6.1503108053956217E-3</v>
      </c>
      <c r="F106" s="41" t="str">
        <f>IF(OR(2560872.65018="",""="",""=""),"-",(""-"")/2560872.65018*100)</f>
        <v>-</v>
      </c>
      <c r="G106" s="41" t="str">
        <f>IF(OR(2248863.79366="",173.40701="",""=""),"-",(173.40701-"")/2248863.79366*100)</f>
        <v>-</v>
      </c>
    </row>
    <row r="107" spans="1:7" x14ac:dyDescent="0.25">
      <c r="A107" s="88" t="s">
        <v>326</v>
      </c>
      <c r="B107" s="90">
        <v>168.79078999999999</v>
      </c>
      <c r="C107" s="41" t="s">
        <v>388</v>
      </c>
      <c r="D107" s="41">
        <f>IF(16.97773="","-",16.97773/2248863.79366*100)</f>
        <v>7.5494701136919189E-4</v>
      </c>
      <c r="E107" s="41">
        <f>IF(168.79079="","-",168.79079/2819483.68931*100)</f>
        <v>5.9865850843530662E-3</v>
      </c>
      <c r="F107" s="41">
        <f>IF(OR(2560872.65018="",17.48765="",16.97773=""),"-",(16.97773-17.48765)/2560872.65018*100)</f>
        <v>-1.9911962430625199E-5</v>
      </c>
      <c r="G107" s="41">
        <f>IF(OR(2248863.79366="",168.79079="",16.97773=""),"-",(168.79079-16.97773)/2248863.79366*100)</f>
        <v>6.7506560614294013E-3</v>
      </c>
    </row>
    <row r="108" spans="1:7" x14ac:dyDescent="0.25">
      <c r="A108" s="88" t="s">
        <v>217</v>
      </c>
      <c r="B108" s="90">
        <v>164.61404999999999</v>
      </c>
      <c r="C108" s="41" t="s">
        <v>389</v>
      </c>
      <c r="D108" s="41">
        <f>IF(0.56="","-",0.56/2248863.79366*100)</f>
        <v>2.4901463644830463E-5</v>
      </c>
      <c r="E108" s="41">
        <f>IF(164.61405="","-",164.61405/2819483.68931*100)</f>
        <v>5.8384466143262311E-3</v>
      </c>
      <c r="F108" s="41">
        <f>IF(OR(2560872.65018="",1063.66979="",0.56=""),"-",(0.56-1063.66979)/2560872.65018*100)</f>
        <v>-4.1513575066892745E-2</v>
      </c>
      <c r="G108" s="41">
        <f>IF(OR(2248863.79366="",164.61405="",0.56=""),"-",(164.61405-0.56)/2248863.79366*100)</f>
        <v>7.2949749318967829E-3</v>
      </c>
    </row>
    <row r="109" spans="1:7" x14ac:dyDescent="0.25">
      <c r="A109" s="88" t="s">
        <v>74</v>
      </c>
      <c r="B109" s="90">
        <v>151.18419</v>
      </c>
      <c r="C109" s="41">
        <f>IF(OR(215.83129="",151.18419=""),"-",151.18419/215.83129*100)</f>
        <v>70.047392108901349</v>
      </c>
      <c r="D109" s="41">
        <f>IF(215.83129="","-",215.83129/2248863.79366*100)</f>
        <v>9.5973482524140345E-3</v>
      </c>
      <c r="E109" s="41">
        <f>IF(151.18419="","-",151.18419/2819483.68931*100)</f>
        <v>5.3621232345911762E-3</v>
      </c>
      <c r="F109" s="41">
        <f>IF(OR(2560872.65018="",711.50068="",215.83129=""),"-",(215.83129-711.50068)/2560872.65018*100)</f>
        <v>-1.9355487668047851E-2</v>
      </c>
      <c r="G109" s="41">
        <f>IF(OR(2248863.79366="",151.18419="",215.83129=""),"-",(151.18419-215.83129)/2248863.79366*100)</f>
        <v>-2.874656089988784E-3</v>
      </c>
    </row>
    <row r="110" spans="1:7" x14ac:dyDescent="0.25">
      <c r="A110" s="88" t="s">
        <v>220</v>
      </c>
      <c r="B110" s="90">
        <v>139.09809000000001</v>
      </c>
      <c r="C110" s="41">
        <f>IF(OR(361.77183="",139.09809=""),"-",139.09809/361.77183*100)</f>
        <v>38.449121370229406</v>
      </c>
      <c r="D110" s="41">
        <f>IF(361.77183="","-",361.77183/2248863.79366*100)</f>
        <v>1.6086871557979974E-2</v>
      </c>
      <c r="E110" s="41">
        <f>IF(139.09809="","-",139.09809/2819483.68931*100)</f>
        <v>4.9334596446642641E-3</v>
      </c>
      <c r="F110" s="41">
        <f>IF(OR(2560872.65018="",165.45131="",361.77183=""),"-",(361.77183-165.45131)/2560872.65018*100)</f>
        <v>7.666157080720157E-3</v>
      </c>
      <c r="G110" s="41">
        <f>IF(OR(2248863.79366="",139.09809="",361.77183=""),"-",(139.09809-361.77183)/2248863.79366*100)</f>
        <v>-9.9016107879793397E-3</v>
      </c>
    </row>
    <row r="111" spans="1:7" x14ac:dyDescent="0.25">
      <c r="A111" s="88" t="s">
        <v>98</v>
      </c>
      <c r="B111" s="90">
        <v>130.35845</v>
      </c>
      <c r="C111" s="41">
        <f>IF(OR(129.41661="",130.35845=""),"-",130.35845/129.41661*100)</f>
        <v>100.72775820661661</v>
      </c>
      <c r="D111" s="41">
        <f>IF(129.41661="","-",129.41661/2248863.79366*100)</f>
        <v>5.7547553731289317E-3</v>
      </c>
      <c r="E111" s="41">
        <f>IF(130.35845="","-",130.35845/2819483.68931*100)</f>
        <v>4.623486579980963E-3</v>
      </c>
      <c r="F111" s="41">
        <f>IF(OR(2560872.65018="",79.41187="",129.41661=""),"-",(129.41661-79.41187)/2560872.65018*100)</f>
        <v>1.9526445407773495E-3</v>
      </c>
      <c r="G111" s="41">
        <f>IF(OR(2248863.79366="",130.35845="",129.41661=""),"-",(130.35845-129.41661)/2248863.79366*100)</f>
        <v>4.1880704498656168E-5</v>
      </c>
    </row>
    <row r="112" spans="1:7" x14ac:dyDescent="0.25">
      <c r="A112" s="88" t="s">
        <v>85</v>
      </c>
      <c r="B112" s="90">
        <v>116.77744</v>
      </c>
      <c r="C112" s="41">
        <f>IF(OR(1176.44867="",116.77744=""),"-",116.77744/1176.44867*100)</f>
        <v>9.9262673313235155</v>
      </c>
      <c r="D112" s="41">
        <f>IF(1176.44867="","-",1176.44867/2248863.79366*100)</f>
        <v>5.2313024617882412E-2</v>
      </c>
      <c r="E112" s="41">
        <f>IF(116.77744="","-",116.77744/2819483.68931*100)</f>
        <v>4.141802289644685E-3</v>
      </c>
      <c r="F112" s="41">
        <f>IF(OR(2560872.65018="",2039.53372="",1176.44867=""),"-",(1176.44867-2039.53372)/2560872.65018*100)</f>
        <v>-3.3702771199471203E-2</v>
      </c>
      <c r="G112" s="41">
        <f>IF(OR(2248863.79366="",116.77744="",1176.44867=""),"-",(116.77744-1176.44867)/2248863.79366*100)</f>
        <v>-4.7120293945210313E-2</v>
      </c>
    </row>
    <row r="113" spans="1:7" x14ac:dyDescent="0.25">
      <c r="A113" s="88" t="s">
        <v>80</v>
      </c>
      <c r="B113" s="90">
        <v>105.34275</v>
      </c>
      <c r="C113" s="41" t="s">
        <v>390</v>
      </c>
      <c r="D113" s="41">
        <f>IF(23.12681="","-",23.12681/2248863.79366*100)</f>
        <v>1.0283775329212527E-3</v>
      </c>
      <c r="E113" s="41">
        <f>IF(105.34275="","-",105.34275/2819483.68931*100)</f>
        <v>3.7362425751709194E-3</v>
      </c>
      <c r="F113" s="41" t="str">
        <f>IF(OR(2560872.65018="",""="",23.12681=""),"-",(23.12681-"")/2560872.65018*100)</f>
        <v>-</v>
      </c>
      <c r="G113" s="41">
        <f>IF(OR(2248863.79366="",105.34275="",23.12681=""),"-",(105.34275-23.12681)/2248863.79366*100)</f>
        <v>3.6558879302420757E-3</v>
      </c>
    </row>
    <row r="114" spans="1:7" x14ac:dyDescent="0.25">
      <c r="A114" s="88" t="s">
        <v>355</v>
      </c>
      <c r="B114" s="90">
        <v>96.756829999999994</v>
      </c>
      <c r="C114" s="41">
        <f>IF(OR(72.2805="",96.75683=""),"-",96.75683/72.2805*100)</f>
        <v>133.86297825831309</v>
      </c>
      <c r="D114" s="41">
        <f>IF(72.2805="","-",72.2805/2248863.79366*100)</f>
        <v>3.2140897196074433E-3</v>
      </c>
      <c r="E114" s="41">
        <f>IF(96.75683="","-",96.75683/2819483.68931*100)</f>
        <v>3.4317215725294327E-3</v>
      </c>
      <c r="F114" s="41">
        <f>IF(OR(2560872.65018="",661.53545="",72.2805=""),"-",(72.2805-661.53545)/2560872.65018*100)</f>
        <v>-2.3009927883707228E-2</v>
      </c>
      <c r="G114" s="41">
        <f>IF(OR(2248863.79366="",96.75683="",72.2805=""),"-",(96.75683-72.2805)/2248863.79366*100)</f>
        <v>1.0883865029533446E-3</v>
      </c>
    </row>
    <row r="115" spans="1:7" x14ac:dyDescent="0.25">
      <c r="A115" s="40" t="s">
        <v>323</v>
      </c>
      <c r="B115" s="27">
        <v>75.189430000000002</v>
      </c>
      <c r="C115" s="41" t="s">
        <v>303</v>
      </c>
      <c r="D115" s="41">
        <f>IF(27.49258="","-",27.49258/2248863.79366*100)</f>
        <v>1.2225097881653447E-3</v>
      </c>
      <c r="E115" s="41">
        <f>IF(75.18943="","-",75.18943/2819483.68931*100)</f>
        <v>2.6667801017994466E-3</v>
      </c>
      <c r="F115" s="41">
        <f>IF(OR(2560872.65018="",9.16672="",27.49258=""),"-",(27.49258-9.16672)/2560872.65018*100)</f>
        <v>7.156099698558576E-4</v>
      </c>
      <c r="G115" s="41">
        <f>IF(OR(2248863.79366="",75.18943="",27.49258=""),"-",(75.18943-27.49258)/2248863.79366*100)</f>
        <v>2.1209310290141638E-3</v>
      </c>
    </row>
    <row r="116" spans="1:7" x14ac:dyDescent="0.25">
      <c r="A116" s="88" t="s">
        <v>339</v>
      </c>
      <c r="B116" s="90">
        <v>66.801640000000006</v>
      </c>
      <c r="C116" s="41" t="str">
        <f>IF(OR(""="",66.80164=""),"-",66.80164/""*100)</f>
        <v>-</v>
      </c>
      <c r="D116" s="41" t="str">
        <f>IF(""="","-",""/2248863.79366*100)</f>
        <v>-</v>
      </c>
      <c r="E116" s="41">
        <f>IF(66.80164="","-",66.80164/2819483.68931*100)</f>
        <v>2.3692862722801593E-3</v>
      </c>
      <c r="F116" s="41" t="str">
        <f>IF(OR(2560872.65018="",""="",""=""),"-",(""-"")/2560872.65018*100)</f>
        <v>-</v>
      </c>
      <c r="G116" s="41" t="str">
        <f>IF(OR(2248863.79366="",66.80164="",""=""),"-",(66.80164-"")/2248863.79366*100)</f>
        <v>-</v>
      </c>
    </row>
    <row r="117" spans="1:7" x14ac:dyDescent="0.25">
      <c r="A117" s="88" t="s">
        <v>381</v>
      </c>
      <c r="B117" s="90">
        <v>64.961259999999996</v>
      </c>
      <c r="C117" s="41">
        <f>IF(OR(85.73571="",64.96126=""),"-",64.96126/85.73571*100)</f>
        <v>75.769198155587674</v>
      </c>
      <c r="D117" s="41">
        <f>IF(85.73571="","-",85.73571/2248863.79366*100)</f>
        <v>3.8124011886227277E-3</v>
      </c>
      <c r="E117" s="41">
        <f>IF(64.96126="","-",64.96126/2819483.68931*100)</f>
        <v>2.3040126192713562E-3</v>
      </c>
      <c r="F117" s="41">
        <f>IF(OR(2560872.65018="",316.61122="",85.73571=""),"-",(85.73571-316.61122)/2560872.65018*100)</f>
        <v>-9.0155014144796351E-3</v>
      </c>
      <c r="G117" s="41">
        <f>IF(OR(2248863.79366="",64.96126="",85.73571=""),"-",(64.96126-85.73571)/2248863.79366*100)</f>
        <v>-9.2377537752919329E-4</v>
      </c>
    </row>
    <row r="118" spans="1:7" x14ac:dyDescent="0.25">
      <c r="A118" s="88" t="s">
        <v>301</v>
      </c>
      <c r="B118" s="90">
        <v>60.503999999999998</v>
      </c>
      <c r="C118" s="41">
        <f>IF(OR(109.128="",60.504=""),"-",60.504/109.128*100)</f>
        <v>55.443149329228056</v>
      </c>
      <c r="D118" s="41">
        <f>IF(109.128="","-",109.128/2248863.79366*100)</f>
        <v>4.8525837939876046E-3</v>
      </c>
      <c r="E118" s="41">
        <f>IF(60.504="","-",60.504/2819483.68931*100)</f>
        <v>2.1459248099004566E-3</v>
      </c>
      <c r="F118" s="41">
        <f>IF(OR(2560872.65018="",85.37911="",109.128=""),"-",(109.128-85.37911)/2560872.65018*100)</f>
        <v>9.2737489302057753E-4</v>
      </c>
      <c r="G118" s="41">
        <f>IF(OR(2248863.79366="",60.504="",109.128=""),"-",(60.504-109.128)/2248863.79366*100)</f>
        <v>-2.1621585147611365E-3</v>
      </c>
    </row>
    <row r="119" spans="1:7" x14ac:dyDescent="0.25">
      <c r="A119" s="88" t="s">
        <v>79</v>
      </c>
      <c r="B119" s="90">
        <v>56.25423</v>
      </c>
      <c r="C119" s="41" t="s">
        <v>316</v>
      </c>
      <c r="D119" s="41">
        <f>IF(19.0101="","-",19.0101/2248863.79366*100)</f>
        <v>8.4532020363319916E-4</v>
      </c>
      <c r="E119" s="41">
        <f>IF(56.25423="","-",56.25423/2819483.68931*100)</f>
        <v>1.9951961493264343E-3</v>
      </c>
      <c r="F119" s="41" t="str">
        <f>IF(OR(2560872.65018="",""="",19.0101=""),"-",(19.0101-"")/2560872.65018*100)</f>
        <v>-</v>
      </c>
      <c r="G119" s="41">
        <f>IF(OR(2248863.79366="",56.25423="",19.0101=""),"-",(56.25423-19.0101)/2248863.79366*100)</f>
        <v>1.6561309806756061E-3</v>
      </c>
    </row>
    <row r="120" spans="1:7" x14ac:dyDescent="0.25">
      <c r="A120" s="88" t="s">
        <v>94</v>
      </c>
      <c r="B120" s="90">
        <v>50.399439999999998</v>
      </c>
      <c r="C120" s="41">
        <f>IF(OR(116.12427="",50.39944=""),"-",50.39944/116.12427*100)</f>
        <v>43.401297592656555</v>
      </c>
      <c r="D120" s="41">
        <f>IF(116.12427="","-",116.12427/2248863.79366*100)</f>
        <v>5.1636862280133511E-3</v>
      </c>
      <c r="E120" s="41">
        <f>IF(50.39944="","-",50.39944/2819483.68931*100)</f>
        <v>1.787541463392329E-3</v>
      </c>
      <c r="F120" s="41">
        <f>IF(OR(2560872.65018="",81.87974="",116.12427=""),"-",(116.12427-81.87974)/2560872.65018*100)</f>
        <v>1.3372211225573048E-3</v>
      </c>
      <c r="G120" s="41">
        <f>IF(OR(2248863.79366="",50.39944="",116.12427=""),"-",(50.39944-116.12427)/2248863.79366*100)</f>
        <v>-2.9225794014422542E-3</v>
      </c>
    </row>
    <row r="121" spans="1:7" x14ac:dyDescent="0.25">
      <c r="A121" s="89" t="s">
        <v>322</v>
      </c>
      <c r="B121" s="91">
        <v>46.730200000000004</v>
      </c>
      <c r="C121" s="43" t="s">
        <v>105</v>
      </c>
      <c r="D121" s="43">
        <f>IF(24.012="","-",24.012/2248863.79366*100)</f>
        <v>1.0677391875708376E-3</v>
      </c>
      <c r="E121" s="43">
        <f>IF(46.7302="","-",46.7302/2819483.68931*100)</f>
        <v>1.6574027428204801E-3</v>
      </c>
      <c r="F121" s="43">
        <f>IF(OR(2560872.65018="",42.59489="",24.012=""),"-",(24.012-42.59489)/2560872.65018*100)</f>
        <v>-7.2564678289230181E-4</v>
      </c>
      <c r="G121" s="43">
        <f>IF(OR(2248863.79366="",46.7302="",24.012=""),"-",(46.7302-24.012)/2248863.79366*100)</f>
        <v>1.0102079131714063E-3</v>
      </c>
    </row>
    <row r="122" spans="1:7" x14ac:dyDescent="0.25">
      <c r="A122" s="70" t="s">
        <v>300</v>
      </c>
      <c r="B122" s="73"/>
      <c r="C122" s="73"/>
      <c r="D122" s="73"/>
      <c r="E122" s="73"/>
    </row>
    <row r="123" spans="1:7" x14ac:dyDescent="0.25">
      <c r="A123" s="102" t="s">
        <v>347</v>
      </c>
      <c r="B123" s="102"/>
      <c r="C123" s="102"/>
      <c r="D123" s="102"/>
      <c r="E123" s="102"/>
    </row>
  </sheetData>
  <mergeCells count="10">
    <mergeCell ref="A123:E123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6"/>
  <sheetViews>
    <sheetView zoomScaleNormal="100" workbookViewId="0">
      <selection activeCell="A46" sqref="A46"/>
    </sheetView>
  </sheetViews>
  <sheetFormatPr defaultRowHeight="15.75" x14ac:dyDescent="0.25"/>
  <cols>
    <col min="1" max="1" width="29.625" customWidth="1"/>
    <col min="2" max="2" width="12.625" customWidth="1"/>
    <col min="3" max="3" width="10.25" customWidth="1"/>
    <col min="4" max="5" width="8.875" customWidth="1"/>
    <col min="6" max="6" width="9.625" customWidth="1"/>
    <col min="7" max="7" width="10.125" customWidth="1"/>
  </cols>
  <sheetData>
    <row r="1" spans="1:7" x14ac:dyDescent="0.25">
      <c r="A1" s="116" t="s">
        <v>346</v>
      </c>
      <c r="B1" s="116"/>
      <c r="C1" s="116"/>
      <c r="D1" s="116"/>
      <c r="E1" s="116"/>
      <c r="F1" s="116"/>
      <c r="G1" s="116"/>
    </row>
    <row r="2" spans="1:7" x14ac:dyDescent="0.25">
      <c r="A2" s="2"/>
    </row>
    <row r="3" spans="1:7" ht="55.5" customHeight="1" x14ac:dyDescent="0.25">
      <c r="A3" s="104"/>
      <c r="B3" s="107" t="s">
        <v>369</v>
      </c>
      <c r="C3" s="108"/>
      <c r="D3" s="107" t="s">
        <v>108</v>
      </c>
      <c r="E3" s="108"/>
      <c r="F3" s="109" t="s">
        <v>120</v>
      </c>
      <c r="G3" s="110"/>
    </row>
    <row r="4" spans="1:7" ht="21" customHeight="1" x14ac:dyDescent="0.25">
      <c r="A4" s="105"/>
      <c r="B4" s="111" t="s">
        <v>310</v>
      </c>
      <c r="C4" s="113" t="s">
        <v>373</v>
      </c>
      <c r="D4" s="115" t="s">
        <v>371</v>
      </c>
      <c r="E4" s="115"/>
      <c r="F4" s="115" t="s">
        <v>374</v>
      </c>
      <c r="G4" s="107"/>
    </row>
    <row r="5" spans="1:7" ht="30" customHeight="1" x14ac:dyDescent="0.25">
      <c r="A5" s="106"/>
      <c r="B5" s="112"/>
      <c r="C5" s="114"/>
      <c r="D5" s="22">
        <v>2020</v>
      </c>
      <c r="E5" s="22">
        <v>2021</v>
      </c>
      <c r="F5" s="22">
        <v>2020</v>
      </c>
      <c r="G5" s="21">
        <v>2021</v>
      </c>
    </row>
    <row r="6" spans="1:7" s="3" customFormat="1" ht="15" x14ac:dyDescent="0.25">
      <c r="A6" s="44" t="s">
        <v>123</v>
      </c>
      <c r="B6" s="36">
        <v>6419550.41866</v>
      </c>
      <c r="C6" s="37">
        <f>IF(4848686.17434="","-",6419550.41866/4848686.17434*100)</f>
        <v>132.39772977334059</v>
      </c>
      <c r="D6" s="37">
        <v>100</v>
      </c>
      <c r="E6" s="37">
        <v>100</v>
      </c>
      <c r="F6" s="37">
        <f>IF(5302814.4312="","-",(4848686.17434-5302814.4312)/5302814.4312*100)</f>
        <v>-8.5639100283815335</v>
      </c>
      <c r="G6" s="37">
        <f>IF(4848686.17434="","-",(6419550.41866-4848686.17434)/4848686.17434*100)</f>
        <v>32.3977297733406</v>
      </c>
    </row>
    <row r="7" spans="1:7" s="3" customFormat="1" ht="15" x14ac:dyDescent="0.25">
      <c r="A7" s="45" t="s">
        <v>127</v>
      </c>
      <c r="B7" s="63"/>
      <c r="C7" s="64"/>
      <c r="D7" s="64"/>
      <c r="E7" s="64"/>
      <c r="F7" s="64"/>
      <c r="G7" s="64"/>
    </row>
    <row r="8" spans="1:7" ht="16.5" customHeight="1" x14ac:dyDescent="0.25">
      <c r="A8" s="38" t="s">
        <v>142</v>
      </c>
      <c r="B8" s="26">
        <v>2854894.6896899999</v>
      </c>
      <c r="C8" s="39">
        <f>IF(2223151.28718="","-",2854894.68969/2223151.28718*100)</f>
        <v>128.41657273407367</v>
      </c>
      <c r="D8" s="39">
        <f>IF(2223151.28718="","-",2223151.28718/4848686.17434*100)</f>
        <v>45.850591422997461</v>
      </c>
      <c r="E8" s="39">
        <f>IF(2854894.68969="","-",2854894.68969/6419550.41866*100)</f>
        <v>44.471878924598016</v>
      </c>
      <c r="F8" s="39">
        <f>IF(5302814.4312="","-",(2223151.28718-2588935.31918)/5302814.4312*100)</f>
        <v>-6.8979225418081436</v>
      </c>
      <c r="G8" s="39">
        <f>IF(4848686.17434="","-",(2854894.68969-2223151.28718)/4848686.17434*100)</f>
        <v>13.029166660719021</v>
      </c>
    </row>
    <row r="9" spans="1:7" x14ac:dyDescent="0.25">
      <c r="A9" s="40" t="s">
        <v>2</v>
      </c>
      <c r="B9" s="27">
        <v>756081.60794999998</v>
      </c>
      <c r="C9" s="41">
        <f>IF(OR(568670.79495="",756081.60795=""),"-",756081.60795/568670.79495*100)</f>
        <v>132.95594123423868</v>
      </c>
      <c r="D9" s="41">
        <f>IF(568670.79495="","-",568670.79495/4848686.17434*100)</f>
        <v>11.72834814427657</v>
      </c>
      <c r="E9" s="41">
        <f>IF(756081.60795="","-",756081.60795/6419550.41866*100)</f>
        <v>11.777796864906039</v>
      </c>
      <c r="F9" s="41">
        <f>IF(OR(5302814.4312="",769966.3597="",568670.79495=""),"-",(568670.79495-769966.3597)/5302814.4312*100)</f>
        <v>-3.7960137463163659</v>
      </c>
      <c r="G9" s="41">
        <f>IF(OR(4848686.17434="",756081.60795="",568670.79495=""),"-",(756081.60795-568670.79495)/4848686.17434*100)</f>
        <v>3.8651875221747094</v>
      </c>
    </row>
    <row r="10" spans="1:7" s="7" customFormat="1" x14ac:dyDescent="0.25">
      <c r="A10" s="40" t="s">
        <v>4</v>
      </c>
      <c r="B10" s="27">
        <v>493462.71412999998</v>
      </c>
      <c r="C10" s="41">
        <f>IF(OR(409551.66503="",493462.71413=""),"-",493462.71413/409551.66503*100)</f>
        <v>120.48851372484432</v>
      </c>
      <c r="D10" s="41">
        <f>IF(409551.66503="","-",409551.66503/4848686.17434*100)</f>
        <v>8.4466523570325283</v>
      </c>
      <c r="E10" s="41">
        <f>IF(493462.71413="","-",493462.71413/6419550.41866*100)</f>
        <v>7.6868734093220832</v>
      </c>
      <c r="F10" s="41">
        <f>IF(OR(5302814.4312="",439569.07776="",409551.66503=""),"-",(409551.66503-439569.07776)/5302814.4312*100)</f>
        <v>-0.56606568303404214</v>
      </c>
      <c r="G10" s="41">
        <f>IF(OR(4848686.17434="",493462.71413="",409551.66503=""),"-",(493462.71413-409551.66503)/4848686.17434*100)</f>
        <v>1.7305935274604962</v>
      </c>
    </row>
    <row r="11" spans="1:7" s="7" customFormat="1" x14ac:dyDescent="0.25">
      <c r="A11" s="40" t="s">
        <v>3</v>
      </c>
      <c r="B11" s="27">
        <v>406636.59334999998</v>
      </c>
      <c r="C11" s="41">
        <f>IF(OR(312133.697="",406636.59335=""),"-",406636.59335/312133.697*100)</f>
        <v>130.27641592634583</v>
      </c>
      <c r="D11" s="41">
        <f>IF(312133.697="","-",312133.697/4848686.17434*100)</f>
        <v>6.4374901937737263</v>
      </c>
      <c r="E11" s="41">
        <f>IF(406636.59335="","-",406636.59335/6419550.41866*100)</f>
        <v>6.3343469064128053</v>
      </c>
      <c r="F11" s="41">
        <f>IF(OR(5302814.4312="",373994.656="",312133.697=""),"-",(312133.697-373994.656)/5302814.4312*100)</f>
        <v>-1.1665684289465359</v>
      </c>
      <c r="G11" s="41">
        <f>IF(OR(4848686.17434="",406636.59335="",312133.697=""),"-",(406636.59335-312133.697)/4848686.17434*100)</f>
        <v>1.9490413062846588</v>
      </c>
    </row>
    <row r="12" spans="1:7" s="7" customFormat="1" x14ac:dyDescent="0.25">
      <c r="A12" s="40" t="s">
        <v>5</v>
      </c>
      <c r="B12" s="27">
        <v>236894.96979999999</v>
      </c>
      <c r="C12" s="41">
        <f>IF(OR(195946.36311="",236894.9698=""),"-",236894.9698/195946.36311*100)</f>
        <v>120.89786513006742</v>
      </c>
      <c r="D12" s="41">
        <f>IF(195946.36311="","-",195946.36311/4848686.17434*100)</f>
        <v>4.0412259334699483</v>
      </c>
      <c r="E12" s="41">
        <f>IF(236894.9698="","-",236894.9698/6419550.41866*100)</f>
        <v>3.6902112196425243</v>
      </c>
      <c r="F12" s="41">
        <f>IF(OR(5302814.4312="",182042.72033="",195946.36311=""),"-",(195946.36311-182042.72033)/5302814.4312*100)</f>
        <v>0.26219365132212763</v>
      </c>
      <c r="G12" s="41">
        <f>IF(OR(4848686.17434="",236894.9698="",195946.36311=""),"-",(236894.9698-195946.36311)/4848686.17434*100)</f>
        <v>0.84452994517785795</v>
      </c>
    </row>
    <row r="13" spans="1:7" s="7" customFormat="1" x14ac:dyDescent="0.25">
      <c r="A13" s="40" t="s">
        <v>349</v>
      </c>
      <c r="B13" s="27">
        <v>153876.76133000001</v>
      </c>
      <c r="C13" s="41">
        <f>IF(OR(108097.69151="",153876.76133=""),"-",153876.76133/108097.69151*100)</f>
        <v>142.34972012863477</v>
      </c>
      <c r="D13" s="41">
        <f>IF(108097.69151="","-",108097.69151/4848686.17434*100)</f>
        <v>2.2294223140707636</v>
      </c>
      <c r="E13" s="41">
        <f>IF(153876.76133="","-",153876.76133/6419550.41866*100)</f>
        <v>2.397002146485514</v>
      </c>
      <c r="F13" s="41">
        <f>IF(OR(5302814.4312="",135104.78956="",108097.69151=""),"-",(108097.69151-135104.78956)/5302814.4312*100)</f>
        <v>-0.50929743818865691</v>
      </c>
      <c r="G13" s="41">
        <f>IF(OR(4848686.17434="",153876.76133="",108097.69151=""),"-",(153876.76133-108097.69151)/4848686.17434*100)</f>
        <v>0.94415411049430142</v>
      </c>
    </row>
    <row r="14" spans="1:7" s="7" customFormat="1" x14ac:dyDescent="0.25">
      <c r="A14" s="40" t="s">
        <v>42</v>
      </c>
      <c r="B14" s="27">
        <v>111888.02712</v>
      </c>
      <c r="C14" s="41">
        <f>IF(OR(92228.8933="",111888.02712=""),"-",111888.02712/92228.8933*100)</f>
        <v>121.31559115217097</v>
      </c>
      <c r="D14" s="41">
        <f>IF(92228.8933="","-",92228.8933/4848686.17434*100)</f>
        <v>1.9021419408022242</v>
      </c>
      <c r="E14" s="41">
        <f>IF(111888.02712="","-",111888.02712/6419550.41866*100)</f>
        <v>1.7429262148135789</v>
      </c>
      <c r="F14" s="41">
        <f>IF(OR(5302814.4312="",102086.11968="",92228.8933=""),"-",(92228.8933-102086.11968)/5302814.4312*100)</f>
        <v>-0.18588669296069193</v>
      </c>
      <c r="G14" s="41">
        <f>IF(OR(4848686.17434="",111888.02712="",92228.8933=""),"-",(111888.02712-92228.8933)/4848686.17434*100)</f>
        <v>0.40545279923537203</v>
      </c>
    </row>
    <row r="15" spans="1:7" s="7" customFormat="1" x14ac:dyDescent="0.25">
      <c r="A15" s="40" t="s">
        <v>7</v>
      </c>
      <c r="B15" s="27">
        <v>104924.49307</v>
      </c>
      <c r="C15" s="41">
        <f>IF(OR(86029.88099="",104924.49307=""),"-",104924.49307/86029.88099*100)</f>
        <v>121.96284809715856</v>
      </c>
      <c r="D15" s="41">
        <f>IF(86029.88099="","-",86029.88099/4848686.17434*100)</f>
        <v>1.7742926206543017</v>
      </c>
      <c r="E15" s="41">
        <f>IF(104924.49307="","-",104924.49307/6419550.41866*100)</f>
        <v>1.634452356118447</v>
      </c>
      <c r="F15" s="41">
        <f>IF(OR(5302814.4312="",104361.85913="",86029.88099=""),"-",(86029.88099-104361.85913)/5302814.4312*100)</f>
        <v>-0.34570280325369707</v>
      </c>
      <c r="G15" s="41">
        <f>IF(OR(4848686.17434="",104924.49307="",86029.88099=""),"-",(104924.49307-86029.88099)/4848686.17434*100)</f>
        <v>0.38968519307339816</v>
      </c>
    </row>
    <row r="16" spans="1:7" s="7" customFormat="1" x14ac:dyDescent="0.25">
      <c r="A16" s="40" t="s">
        <v>8</v>
      </c>
      <c r="B16" s="27">
        <v>91109.418550000002</v>
      </c>
      <c r="C16" s="41" t="s">
        <v>104</v>
      </c>
      <c r="D16" s="41">
        <f>IF(57413.38979="","-",57413.38979/4848686.17434*100)</f>
        <v>1.1841019964096784</v>
      </c>
      <c r="E16" s="41">
        <f>IF(91109.41855="","-",91109.41855/6419550.41866*100)</f>
        <v>1.4192492091839968</v>
      </c>
      <c r="F16" s="41">
        <f>IF(OR(5302814.4312="",85371.17275="",57413.38979=""),"-",(57413.38979-85371.17275)/5302814.4312*100)</f>
        <v>-0.52722536914559337</v>
      </c>
      <c r="G16" s="41">
        <f>IF(OR(4848686.17434="",91109.41855="",57413.38979=""),"-",(91109.41855-57413.38979)/4848686.17434*100)</f>
        <v>0.69495173637602314</v>
      </c>
    </row>
    <row r="17" spans="1:7" s="7" customFormat="1" x14ac:dyDescent="0.25">
      <c r="A17" s="40" t="s">
        <v>40</v>
      </c>
      <c r="B17" s="27">
        <v>83938.733789999998</v>
      </c>
      <c r="C17" s="41">
        <f>IF(OR(70811.17289="",83938.73379=""),"-",83938.73379/70811.17289*100)</f>
        <v>118.53882708650048</v>
      </c>
      <c r="D17" s="41">
        <f>IF(70811.17289="","-",70811.17289/4848686.17434*100)</f>
        <v>1.4604197991766039</v>
      </c>
      <c r="E17" s="41">
        <f>IF(83938.73379="","-",83938.73379/6419550.41866*100)</f>
        <v>1.3075484779434312</v>
      </c>
      <c r="F17" s="41">
        <f>IF(OR(5302814.4312="",72886.32739="",70811.17289=""),"-",(70811.17289-72886.32739)/5302814.4312*100)</f>
        <v>-3.9133077857495514E-2</v>
      </c>
      <c r="G17" s="41">
        <f>IF(OR(4848686.17434="",83938.73379="",70811.17289=""),"-",(83938.73379-70811.17289)/4848686.17434*100)</f>
        <v>0.27074470130636802</v>
      </c>
    </row>
    <row r="18" spans="1:7" s="7" customFormat="1" x14ac:dyDescent="0.25">
      <c r="A18" s="40" t="s">
        <v>6</v>
      </c>
      <c r="B18" s="27">
        <v>72441.560219999999</v>
      </c>
      <c r="C18" s="41">
        <f>IF(OR(58133.48854="",72441.56022=""),"-",72441.56022/58133.48854*100)</f>
        <v>124.61244291258218</v>
      </c>
      <c r="D18" s="41">
        <f>IF(58133.48854="","-",58133.48854/4848686.17434*100)</f>
        <v>1.1989534164461177</v>
      </c>
      <c r="E18" s="41">
        <f>IF(72441.56022="","-",72441.56022/6419550.41866*100)</f>
        <v>1.1284522356804116</v>
      </c>
      <c r="F18" s="41">
        <f>IF(OR(5302814.4312="",52681.94697="",58133.48854=""),"-",(58133.48854-52681.94697)/5302814.4312*100)</f>
        <v>0.10280468307404725</v>
      </c>
      <c r="G18" s="41">
        <f>IF(OR(4848686.17434="",72441.56022="",58133.48854=""),"-",(72441.56022-58133.48854)/4848686.17434*100)</f>
        <v>0.29509172517125437</v>
      </c>
    </row>
    <row r="19" spans="1:7" s="7" customFormat="1" x14ac:dyDescent="0.25">
      <c r="A19" s="40" t="s">
        <v>10</v>
      </c>
      <c r="B19" s="90">
        <v>66849.060660000003</v>
      </c>
      <c r="C19" s="41">
        <f>IF(OR(52673.04271="",66849.06066=""),"-",66849.06066/52673.04271*100)</f>
        <v>126.91323155195033</v>
      </c>
      <c r="D19" s="41">
        <f>IF(52673.04271="","-",52673.04271/4848686.17434*100)</f>
        <v>1.0863363974503839</v>
      </c>
      <c r="E19" s="41">
        <f>IF(66849.06066="","-",66849.06066/6419550.41866*100)</f>
        <v>1.0413355500049783</v>
      </c>
      <c r="F19" s="41">
        <f>IF(OR(5302814.4312="",51458.48973="",52673.04271=""),"-",(52673.04271-51458.48973)/5302814.4312*100)</f>
        <v>2.2903931407706322E-2</v>
      </c>
      <c r="G19" s="41">
        <f>IF(OR(4848686.17434="",66849.06066="",52673.04271=""),"-",(66849.06066-52673.04271)/4848686.17434*100)</f>
        <v>0.29236823007893742</v>
      </c>
    </row>
    <row r="20" spans="1:7" s="7" customFormat="1" ht="15.75" customHeight="1" x14ac:dyDescent="0.25">
      <c r="A20" s="40" t="s">
        <v>41</v>
      </c>
      <c r="B20" s="27">
        <v>46970.309650000003</v>
      </c>
      <c r="C20" s="41">
        <f>IF(OR(36785.42588="",46970.30965=""),"-",46970.30965/36785.42588*100)</f>
        <v>127.68727974830232</v>
      </c>
      <c r="D20" s="41">
        <f>IF(36785.42588="","-",36785.42588/4848686.17434*100)</f>
        <v>0.75866790626034297</v>
      </c>
      <c r="E20" s="41">
        <f>IF(46970.30965="","-",46970.30965/6419550.41866*100)</f>
        <v>0.73167599889034696</v>
      </c>
      <c r="F20" s="41">
        <f>IF(OR(5302814.4312="",37917.8618="",36785.42588=""),"-",(36785.42588-37917.8618)/5302814.4312*100)</f>
        <v>-2.1355375238799969E-2</v>
      </c>
      <c r="G20" s="41">
        <f>IF(OR(4848686.17434="",46970.30965="",36785.42588=""),"-",(46970.30965-36785.42588)/4848686.17434*100)</f>
        <v>0.21005450556688915</v>
      </c>
    </row>
    <row r="21" spans="1:7" s="7" customFormat="1" x14ac:dyDescent="0.25">
      <c r="A21" s="40" t="s">
        <v>9</v>
      </c>
      <c r="B21" s="90">
        <v>39303.092049999999</v>
      </c>
      <c r="C21" s="41" t="s">
        <v>209</v>
      </c>
      <c r="D21" s="41">
        <f>IF(21690.11141="","-",21690.11141/4848686.17434*100)</f>
        <v>0.4473399727288484</v>
      </c>
      <c r="E21" s="41">
        <f>IF(39303.09205="","-",39303.09205/6419550.41866*100)</f>
        <v>0.61224056961615114</v>
      </c>
      <c r="F21" s="41">
        <f>IF(OR(5302814.4312="",19778.95321="",21690.11141=""),"-",(21690.11141-19778.95321)/5302814.4312*100)</f>
        <v>3.6040450307960638E-2</v>
      </c>
      <c r="G21" s="41">
        <f>IF(OR(4848686.17434="",39303.09205="",21690.11141=""),"-",(39303.09205-21690.11141)/4848686.17434*100)</f>
        <v>0.36325264219430459</v>
      </c>
    </row>
    <row r="22" spans="1:7" s="7" customFormat="1" x14ac:dyDescent="0.25">
      <c r="A22" s="40" t="s">
        <v>44</v>
      </c>
      <c r="B22" s="27">
        <v>35849.749640000002</v>
      </c>
      <c r="C22" s="41">
        <f>IF(OR(27576.27149="",35849.74964=""),"-",35849.74964/27576.27149*100)</f>
        <v>130.00216382769591</v>
      </c>
      <c r="D22" s="41">
        <f>IF(27576.27149="","-",27576.27149/4848686.17434*100)</f>
        <v>0.56873698355521352</v>
      </c>
      <c r="E22" s="41">
        <f>IF(35849.74964="","-",35849.74964/6419550.41866*100)</f>
        <v>0.55844642228829455</v>
      </c>
      <c r="F22" s="41">
        <f>IF(OR(5302814.4312="",30852.07158="",27576.27149=""),"-",(27576.27149-30852.07158)/5302814.4312*100)</f>
        <v>-6.177474494914021E-2</v>
      </c>
      <c r="G22" s="41">
        <f>IF(OR(4848686.17434="",35849.74964="",27576.27149=""),"-",(35849.74964-27576.27149)/4848686.17434*100)</f>
        <v>0.17063340155493117</v>
      </c>
    </row>
    <row r="23" spans="1:7" s="7" customFormat="1" x14ac:dyDescent="0.25">
      <c r="A23" s="40" t="s">
        <v>52</v>
      </c>
      <c r="B23" s="90">
        <v>27497.820100000001</v>
      </c>
      <c r="C23" s="41">
        <f>IF(OR(23945.07653="",27497.8201=""),"-",27497.8201/23945.07653*100)</f>
        <v>114.83705247527143</v>
      </c>
      <c r="D23" s="41">
        <f>IF(23945.07653="","-",23945.07653/4848686.17434*100)</f>
        <v>0.49384669720884511</v>
      </c>
      <c r="E23" s="41">
        <f>IF(27497.8201="","-",27497.8201/6419550.41866*100)</f>
        <v>0.42834495107431247</v>
      </c>
      <c r="F23" s="41">
        <f>IF(OR(5302814.4312="",21172.88665="",23945.07653=""),"-",(23945.07653-21172.88665)/5302814.4312*100)</f>
        <v>5.2277708676535098E-2</v>
      </c>
      <c r="G23" s="41">
        <f>IF(OR(4848686.17434="",27497.8201="",23945.07653=""),"-",(27497.8201-23945.07653)/4848686.17434*100)</f>
        <v>7.3272293612271153E-2</v>
      </c>
    </row>
    <row r="24" spans="1:7" s="7" customFormat="1" x14ac:dyDescent="0.25">
      <c r="A24" s="40" t="s">
        <v>51</v>
      </c>
      <c r="B24" s="27">
        <v>24190.08324</v>
      </c>
      <c r="C24" s="41">
        <f>IF(OR(18326.89735="",24190.08324=""),"-",24190.08324/18326.89735*100)</f>
        <v>131.99224493937595</v>
      </c>
      <c r="D24" s="41">
        <f>IF(18326.89735="","-",18326.89735/4848686.17434*100)</f>
        <v>0.37797656294995507</v>
      </c>
      <c r="E24" s="41">
        <f>IF(24190.08324="","-",24190.08324/6419550.41866*100)</f>
        <v>0.37681896180277019</v>
      </c>
      <c r="F24" s="41">
        <f>IF(OR(5302814.4312="",18338.99891="",18326.89735=""),"-",(18326.89735-18338.99891)/5302814.4312*100)</f>
        <v>-2.2821013552346071E-4</v>
      </c>
      <c r="G24" s="41">
        <f>IF(OR(4848686.17434="",24190.08324="",18326.89735=""),"-",(24190.08324-18326.89735)/4848686.17434*100)</f>
        <v>0.12092318783238416</v>
      </c>
    </row>
    <row r="25" spans="1:7" s="7" customFormat="1" x14ac:dyDescent="0.25">
      <c r="A25" s="40" t="s">
        <v>50</v>
      </c>
      <c r="B25" s="27">
        <v>23771.17036</v>
      </c>
      <c r="C25" s="41">
        <f>IF(OR(18963.49249="",23771.17036=""),"-",23771.17036/18963.49249*100)</f>
        <v>125.35228082345711</v>
      </c>
      <c r="D25" s="41">
        <f>IF(18963.49249="","-",18963.49249/4848686.17434*100)</f>
        <v>0.39110579254144645</v>
      </c>
      <c r="E25" s="41">
        <f>IF(23771.17036="","-",23771.17036/6419550.41866*100)</f>
        <v>0.37029338208643481</v>
      </c>
      <c r="F25" s="41">
        <f>IF(OR(5302814.4312="",23370.6343="",18963.49249=""),"-",(18963.49249-23370.6343)/5302814.4312*100)</f>
        <v>-8.3109485862259122E-2</v>
      </c>
      <c r="G25" s="41">
        <f>IF(OR(4848686.17434="",23771.17036="",18963.49249=""),"-",(23771.17036-18963.49249)/4848686.17434*100)</f>
        <v>9.9154238841915099E-2</v>
      </c>
    </row>
    <row r="26" spans="1:7" s="7" customFormat="1" x14ac:dyDescent="0.25">
      <c r="A26" s="40" t="s">
        <v>48</v>
      </c>
      <c r="B26" s="27">
        <v>14979.655350000001</v>
      </c>
      <c r="C26" s="41">
        <f>IF(OR(12360.86819="",14979.65535=""),"-",14979.65535/12360.86819*100)</f>
        <v>121.18611022904211</v>
      </c>
      <c r="D26" s="41">
        <f>IF(12360.86819="","-",12360.86819/4848686.17434*100)</f>
        <v>0.25493232074733213</v>
      </c>
      <c r="E26" s="41">
        <f>IF(14979.65535="","-",14979.65535/6419550.41866*100)</f>
        <v>0.23334430564573419</v>
      </c>
      <c r="F26" s="41">
        <f>IF(OR(5302814.4312="",11502.66574="",12360.86819=""),"-",(12360.86819-11502.66574)/5302814.4312*100)</f>
        <v>1.6183905002419476E-2</v>
      </c>
      <c r="G26" s="41">
        <f>IF(OR(4848686.17434="",14979.65535="",12360.86819=""),"-",(14979.65535-12360.86819)/4848686.17434*100)</f>
        <v>5.4010242482984964E-2</v>
      </c>
    </row>
    <row r="27" spans="1:7" s="7" customFormat="1" x14ac:dyDescent="0.25">
      <c r="A27" s="40" t="s">
        <v>43</v>
      </c>
      <c r="B27" s="27">
        <v>13970.67117</v>
      </c>
      <c r="C27" s="41">
        <f>IF(OR(11984.23244="",13970.67117=""),"-",13970.67117/11984.23244*100)</f>
        <v>116.57543559794306</v>
      </c>
      <c r="D27" s="41">
        <f>IF(11984.23244="","-",11984.23244/4848686.17434*100)</f>
        <v>0.2471645309490727</v>
      </c>
      <c r="E27" s="41">
        <f>IF(13970.67117="","-",13970.67117/6419550.41866*100)</f>
        <v>0.21762694050023834</v>
      </c>
      <c r="F27" s="41">
        <f>IF(OR(5302814.4312="",14275.29242="",11984.23244=""),"-",(11984.23244-14275.29242)/5302814.4312*100)</f>
        <v>-4.3204604078169576E-2</v>
      </c>
      <c r="G27" s="41">
        <f>IF(OR(4848686.17434="",13970.67117="",11984.23244=""),"-",(13970.67117-11984.23244)/4848686.17434*100)</f>
        <v>4.0968597648421583E-2</v>
      </c>
    </row>
    <row r="28" spans="1:7" s="7" customFormat="1" x14ac:dyDescent="0.25">
      <c r="A28" s="40" t="s">
        <v>45</v>
      </c>
      <c r="B28" s="27">
        <v>13797.67468</v>
      </c>
      <c r="C28" s="41">
        <f>IF(OR(10952.05552="",13797.67468=""),"-",13797.67468/10952.05552*100)</f>
        <v>125.98251218507338</v>
      </c>
      <c r="D28" s="41">
        <f>IF(10952.05552="","-",10952.05552/4848686.17434*100)</f>
        <v>0.22587676591568198</v>
      </c>
      <c r="E28" s="41">
        <f>IF(13797.67468="","-",13797.67468/6419550.41866*100)</f>
        <v>0.21493210240850621</v>
      </c>
      <c r="F28" s="41">
        <f>IF(OR(5302814.4312="",10209.80786="",10952.05552=""),"-",(10952.05552-10209.80786)/5302814.4312*100)</f>
        <v>1.3997239949277882E-2</v>
      </c>
      <c r="G28" s="41">
        <f>IF(OR(4848686.17434="",13797.67468="",10952.05552=""),"-",(13797.67468-10952.05552)/4848686.17434*100)</f>
        <v>5.8688458227291726E-2</v>
      </c>
    </row>
    <row r="29" spans="1:7" s="7" customFormat="1" x14ac:dyDescent="0.25">
      <c r="A29" s="40" t="s">
        <v>49</v>
      </c>
      <c r="B29" s="27">
        <v>13610.048070000001</v>
      </c>
      <c r="C29" s="41">
        <f>IF(OR(10956.95425="",13610.04807=""),"-",13610.04807/10956.95425*100)</f>
        <v>124.21378933840121</v>
      </c>
      <c r="D29" s="41">
        <f>IF(10956.95425="","-",10956.95425/4848686.17434*100)</f>
        <v>0.22597779802672946</v>
      </c>
      <c r="E29" s="41">
        <f>IF(13610.04807="","-",13610.04807/6419550.41866*100)</f>
        <v>0.21200936486827884</v>
      </c>
      <c r="F29" s="41">
        <f>IF(OR(5302814.4312="",12515.56093="",10956.95425=""),"-",(10956.95425-12515.56093)/5302814.4312*100)</f>
        <v>-2.9392065293284156E-2</v>
      </c>
      <c r="G29" s="41">
        <f>IF(OR(4848686.17434="",13610.04807="",10956.95425=""),"-",(13610.04807-10956.95425)/4848686.17434*100)</f>
        <v>5.471778796575006E-2</v>
      </c>
    </row>
    <row r="30" spans="1:7" s="7" customFormat="1" x14ac:dyDescent="0.25">
      <c r="A30" s="40" t="s">
        <v>350</v>
      </c>
      <c r="B30" s="27">
        <v>7215.7377100000003</v>
      </c>
      <c r="C30" s="41">
        <f>IF(OR(5750.64267="",7215.73771=""),"-",7215.73771/5750.64267*100)</f>
        <v>125.47706620067214</v>
      </c>
      <c r="D30" s="41">
        <f>IF(5750.64267="","-",5750.64267/4848686.17434*100)</f>
        <v>0.11860208030029441</v>
      </c>
      <c r="E30" s="41">
        <f>IF(7215.73771="","-",7215.73771/6419550.41866*100)</f>
        <v>0.11240253973277764</v>
      </c>
      <c r="F30" s="41">
        <f>IF(OR(5302814.4312="",5318.46019="",5750.64267=""),"-",(5750.64267-5318.46019)/5302814.4312*100)</f>
        <v>8.1500585322613235E-3</v>
      </c>
      <c r="G30" s="41">
        <f>IF(OR(4848686.17434="",7215.73771="",5750.64267=""),"-",(7215.73771-5750.64267)/4848686.17434*100)</f>
        <v>3.0216330513480341E-2</v>
      </c>
    </row>
    <row r="31" spans="1:7" s="7" customFormat="1" x14ac:dyDescent="0.25">
      <c r="A31" s="40" t="s">
        <v>53</v>
      </c>
      <c r="B31" s="27">
        <v>7047.9877500000002</v>
      </c>
      <c r="C31" s="41">
        <f>IF(OR(6333.39589="",7047.98775=""),"-",7047.98775/6333.39589*100)</f>
        <v>111.28291792288387</v>
      </c>
      <c r="D31" s="41">
        <f>IF(6333.39589="","-",6333.39589/4848686.17434*100)</f>
        <v>0.13062086640123904</v>
      </c>
      <c r="E31" s="41">
        <f>IF(7047.98775="","-",7047.98775/6419550.41866*100)</f>
        <v>0.10978942901536053</v>
      </c>
      <c r="F31" s="41">
        <f>IF(OR(5302814.4312="",7119.76373="",6333.39589=""),"-",(6333.39589-7119.76373)/5302814.4312*100)</f>
        <v>-1.4829254355447033E-2</v>
      </c>
      <c r="G31" s="41">
        <f>IF(OR(4848686.17434="",7047.98775="",6333.39589=""),"-",(7047.98775-6333.39589)/4848686.17434*100)</f>
        <v>1.4737845146211596E-2</v>
      </c>
    </row>
    <row r="32" spans="1:7" s="7" customFormat="1" x14ac:dyDescent="0.25">
      <c r="A32" s="40" t="s">
        <v>46</v>
      </c>
      <c r="B32" s="27">
        <v>5223.2027900000003</v>
      </c>
      <c r="C32" s="41">
        <f>IF(OR(3757.54725="",5223.20279=""),"-",5223.20279/3757.54725*100)</f>
        <v>139.00564497226216</v>
      </c>
      <c r="D32" s="41">
        <f>IF(3757.54725="","-",3757.54725/4848686.17434*100)</f>
        <v>7.7496194121317308E-2</v>
      </c>
      <c r="E32" s="41">
        <f>IF(5223.20279="","-",5223.20279/6419550.41866*100)</f>
        <v>8.1363996687641535E-2</v>
      </c>
      <c r="F32" s="41">
        <f>IF(OR(5302814.4312="",4425.42666="",3757.54725=""),"-",(3757.54725-4425.42666)/5302814.4312*100)</f>
        <v>-1.2594810145918347E-2</v>
      </c>
      <c r="G32" s="41">
        <f>IF(OR(4848686.17434="",5223.20279="",3757.54725=""),"-",(5223.20279-3757.54725)/4848686.17434*100)</f>
        <v>3.0227890345976127E-2</v>
      </c>
    </row>
    <row r="33" spans="1:7" s="7" customFormat="1" x14ac:dyDescent="0.25">
      <c r="A33" s="40" t="s">
        <v>54</v>
      </c>
      <c r="B33" s="27">
        <v>2244.9656100000002</v>
      </c>
      <c r="C33" s="41" t="s">
        <v>209</v>
      </c>
      <c r="D33" s="41">
        <f>IF(1228.4325="","-",1228.4325/4848686.17434*100)</f>
        <v>2.5335368300407963E-2</v>
      </c>
      <c r="E33" s="41">
        <f>IF(2244.96561="","-",2244.96561/6419550.41866*100)</f>
        <v>3.4970760623274436E-2</v>
      </c>
      <c r="F33" s="41">
        <f>IF(OR(5302814.4312="",1864.58701="",1228.4325=""),"-",(1228.4325-1864.58701)/5302814.4312*100)</f>
        <v>-1.199654482074798E-2</v>
      </c>
      <c r="G33" s="41">
        <f>IF(OR(4848686.17434="",2244.96561="",1228.4325=""),"-",(2244.96561-1228.4325)/4848686.17434*100)</f>
        <v>2.0965124849276724E-2</v>
      </c>
    </row>
    <row r="34" spans="1:7" s="7" customFormat="1" x14ac:dyDescent="0.25">
      <c r="A34" s="40" t="s">
        <v>47</v>
      </c>
      <c r="B34" s="90">
        <v>994.72212999999999</v>
      </c>
      <c r="C34" s="41" t="s">
        <v>103</v>
      </c>
      <c r="D34" s="41">
        <f>IF(580.57122="","-",580.57122/4848686.17434*100)</f>
        <v>1.1973784219578348E-2</v>
      </c>
      <c r="E34" s="41">
        <f>IF(994.72213="","-",994.72213/6419550.41866*100)</f>
        <v>1.5495199276083194E-2</v>
      </c>
      <c r="F34" s="41">
        <f>IF(OR(5302814.4312="",651.775="",580.57122=""),"-",(580.57122-651.775)/5302814.4312*100)</f>
        <v>-1.3427545112848099E-3</v>
      </c>
      <c r="G34" s="41">
        <f>IF(OR(4848686.17434="",994.72213="",580.57122=""),"-",(994.72213-580.57122)/4848686.17434*100)</f>
        <v>8.5415078458109094E-3</v>
      </c>
    </row>
    <row r="35" spans="1:7" s="7" customFormat="1" x14ac:dyDescent="0.25">
      <c r="A35" s="40" t="s">
        <v>55</v>
      </c>
      <c r="B35" s="27">
        <v>81.018529999999998</v>
      </c>
      <c r="C35" s="41">
        <f>IF(OR(110.1994="",81.01853=""),"-",81.01853/110.1994*100)</f>
        <v>73.519937495122477</v>
      </c>
      <c r="D35" s="41">
        <f>IF(110.1994="","-",110.1994/4848686.17434*100)</f>
        <v>2.2727682518038045E-3</v>
      </c>
      <c r="E35" s="41">
        <f>IF(81.01853="","-",81.01853/6419550.41866*100)</f>
        <v>1.2620592520700476E-3</v>
      </c>
      <c r="F35" s="41">
        <f>IF(OR(5302814.4312="",97.05419="",110.1994=""),"-",(110.1994-97.05419)/5302814.4312*100)</f>
        <v>2.478911938282799E-4</v>
      </c>
      <c r="G35" s="41">
        <f>IF(OR(4848686.17434="",81.01853="",110.1994=""),"-",(81.01853-110.1994)/4848686.17434*100)</f>
        <v>-6.0183045366865953E-4</v>
      </c>
    </row>
    <row r="36" spans="1:7" s="7" customFormat="1" ht="25.5" x14ac:dyDescent="0.25">
      <c r="A36" s="40" t="s">
        <v>360</v>
      </c>
      <c r="B36" s="27">
        <v>42.840890000000002</v>
      </c>
      <c r="C36" s="41">
        <f>IF(OR(159.03288="",42.84089=""),"-",42.84089/159.03288*100)</f>
        <v>26.938385320067148</v>
      </c>
      <c r="D36" s="41">
        <f>IF(159.03288="","-",159.03288/4848686.17434*100)</f>
        <v>3.2799169565072427E-3</v>
      </c>
      <c r="E36" s="41">
        <f>IF(42.84089="","-",42.84089/6419550.41866*100)</f>
        <v>6.6735031592667971E-4</v>
      </c>
      <c r="F36" s="41" t="str">
        <f>IF(OR(5302814.4312="",""="",159.03288=""),"-",(159.03288-"")/5302814.4312*100)</f>
        <v>-</v>
      </c>
      <c r="G36" s="41">
        <f>IF(OR(4848686.17434="",42.84089="",159.03288=""),"-",(42.84089-159.03288)/4848686.17434*100)</f>
        <v>-2.3963602885851026E-3</v>
      </c>
    </row>
    <row r="37" spans="1:7" s="7" customFormat="1" x14ac:dyDescent="0.25">
      <c r="A37" s="38" t="s">
        <v>210</v>
      </c>
      <c r="B37" s="26">
        <v>1670193.76428</v>
      </c>
      <c r="C37" s="39">
        <f>IF(1182832.08163="","-",1670193.76428/1182832.08163*100)</f>
        <v>141.20294758816416</v>
      </c>
      <c r="D37" s="39">
        <f>IF(1182832.08163="","-",1182832.08163/4848686.17434*100)</f>
        <v>24.394898723075354</v>
      </c>
      <c r="E37" s="39">
        <f>IF(1670193.76428="","-",1670193.76428/6419550.41866*100)</f>
        <v>26.017301140359795</v>
      </c>
      <c r="F37" s="39">
        <f>IF(5302814.4312="","-",(1182832.08163-1277766.92066)/5302814.4312*100)</f>
        <v>-1.7902726988037723</v>
      </c>
      <c r="G37" s="39">
        <f>IF(4848686.17434="","-",(1670193.76428-1182832.08163)/4848686.17434*100)</f>
        <v>10.051417335054467</v>
      </c>
    </row>
    <row r="38" spans="1:7" s="7" customFormat="1" x14ac:dyDescent="0.25">
      <c r="A38" s="40" t="s">
        <v>351</v>
      </c>
      <c r="B38" s="27">
        <v>899567.71406999999</v>
      </c>
      <c r="C38" s="41" t="s">
        <v>103</v>
      </c>
      <c r="D38" s="41">
        <f>IF(530705.38639="","-",530705.38639/4848686.17434*100)</f>
        <v>10.945344105761583</v>
      </c>
      <c r="E38" s="41">
        <f>IF(899567.71407="","-",899567.71407/6419550.41866*100)</f>
        <v>14.012939464657611</v>
      </c>
      <c r="F38" s="41">
        <f>IF(OR(5302814.4312="",614437.36705="",530705.38639=""),"-",(530705.38639-614437.36705)/5302814.4312*100)</f>
        <v>-1.5790101981949209</v>
      </c>
      <c r="G38" s="41">
        <f>IF(OR(4848686.17434="",899567.71407="",530705.38639=""),"-",(899567.71407-530705.38639)/4848686.17434*100)</f>
        <v>7.6074696199576017</v>
      </c>
    </row>
    <row r="39" spans="1:7" s="7" customFormat="1" x14ac:dyDescent="0.25">
      <c r="A39" s="40" t="s">
        <v>12</v>
      </c>
      <c r="B39" s="27">
        <v>605395.89320000005</v>
      </c>
      <c r="C39" s="41">
        <f>IF(OR(477936.78623="",605395.8932=""),"-",605395.8932/477936.78623*100)</f>
        <v>126.66861196757979</v>
      </c>
      <c r="D39" s="41">
        <f>IF(477936.78623="","-",477936.78623/4848686.17434*100)</f>
        <v>9.8570369177389878</v>
      </c>
      <c r="E39" s="41">
        <f>IF(605395.8932="","-",605395.8932/6419550.41866*100)</f>
        <v>9.4305029747919455</v>
      </c>
      <c r="F39" s="41">
        <f>IF(OR(5302814.4312="",522801.51787="",477936.78623=""),"-",(477936.78623-522801.51787)/5302814.4312*100)</f>
        <v>-0.84605509436707338</v>
      </c>
      <c r="G39" s="41">
        <f>IF(OR(4848686.17434="",605395.8932="",477936.78623=""),"-",(605395.8932-477936.78623)/4848686.17434*100)</f>
        <v>2.6287349270928977</v>
      </c>
    </row>
    <row r="40" spans="1:7" s="7" customFormat="1" x14ac:dyDescent="0.25">
      <c r="A40" s="40" t="s">
        <v>11</v>
      </c>
      <c r="B40" s="27">
        <v>130430.38396000001</v>
      </c>
      <c r="C40" s="41">
        <f>IF(OR(103266.28287="",130430.38396=""),"-",130430.38396/103266.28287*100)</f>
        <v>126.30490837381683</v>
      </c>
      <c r="D40" s="41">
        <f>IF(103266.28287="","-",103266.28287/4848686.17434*100)</f>
        <v>2.1297786484202912</v>
      </c>
      <c r="E40" s="41">
        <f>IF(130430.38396="","-",130430.38396/6419550.41866*100)</f>
        <v>2.0317681995435701</v>
      </c>
      <c r="F40" s="41">
        <f>IF(OR(5302814.4312="",119562.59767="",103266.28287=""),"-",(103266.28287-119562.59767)/5302814.4312*100)</f>
        <v>-0.3073144461574574</v>
      </c>
      <c r="G40" s="41">
        <f>IF(OR(4848686.17434="",130430.38396="",103266.28287=""),"-",(130430.38396-103266.28287)/4848686.17434*100)</f>
        <v>0.5602363220320723</v>
      </c>
    </row>
    <row r="41" spans="1:7" s="7" customFormat="1" x14ac:dyDescent="0.25">
      <c r="A41" s="40" t="s">
        <v>13</v>
      </c>
      <c r="B41" s="27">
        <v>13896.14263</v>
      </c>
      <c r="C41" s="41">
        <f>IF(OR(57120.08352="",13896.14263=""),"-",13896.14263/57120.08352*100)</f>
        <v>24.327945222864408</v>
      </c>
      <c r="D41" s="41">
        <f>IF(57120.08352="","-",57120.08352/4848686.17434*100)</f>
        <v>1.1780528057742392</v>
      </c>
      <c r="E41" s="41">
        <f>IF(13896.14263="","-",13896.14263/6419550.41866*100)</f>
        <v>0.21646597851474847</v>
      </c>
      <c r="F41" s="41">
        <f>IF(OR(5302814.4312="",9677.21079="",57120.08352=""),"-",(57120.08352-9677.21079)/5302814.4312*100)</f>
        <v>0.894673448327022</v>
      </c>
      <c r="G41" s="41">
        <f>IF(OR(4848686.17434="",13896.14263="",57120.08352=""),"-",(13896.14263-57120.08352)/4848686.17434*100)</f>
        <v>-0.89145676448906508</v>
      </c>
    </row>
    <row r="42" spans="1:7" s="7" customFormat="1" x14ac:dyDescent="0.25">
      <c r="A42" s="40" t="s">
        <v>15</v>
      </c>
      <c r="B42" s="27">
        <v>11150.03909</v>
      </c>
      <c r="C42" s="41" t="s">
        <v>104</v>
      </c>
      <c r="D42" s="41">
        <f>IF(6920.62533="","-",6920.62533/4848686.17434*100)</f>
        <v>0.14273197070631263</v>
      </c>
      <c r="E42" s="41">
        <f>IF(11150.03909="","-",11150.03909/6419550.41866*100)</f>
        <v>0.17368878446050792</v>
      </c>
      <c r="F42" s="41">
        <f>IF(OR(5302814.4312="",7225.68578="",6920.62533=""),"-",(6920.62533-7225.68578)/5302814.4312*100)</f>
        <v>-5.7528026665448727E-3</v>
      </c>
      <c r="G42" s="41">
        <f>IF(OR(4848686.17434="",11150.03909="",6920.62533=""),"-",(11150.03909-6920.62533)/4848686.17434*100)</f>
        <v>8.7228036790310617E-2</v>
      </c>
    </row>
    <row r="43" spans="1:7" s="7" customFormat="1" x14ac:dyDescent="0.25">
      <c r="A43" s="40" t="s">
        <v>16</v>
      </c>
      <c r="B43" s="27">
        <v>7147.7779499999997</v>
      </c>
      <c r="C43" s="41" t="s">
        <v>307</v>
      </c>
      <c r="D43" s="41">
        <f>IF(1655.19366="","-",1655.19366/4848686.17434*100)</f>
        <v>3.4136951753230421E-2</v>
      </c>
      <c r="E43" s="41">
        <f>IF(7147.77795="","-",7147.77795/6419550.41866*100)</f>
        <v>0.11134390235838366</v>
      </c>
      <c r="F43" s="41">
        <f>IF(OR(5302814.4312="",2197.27253="",1655.19366=""),"-",(1655.19366-2197.27253)/5302814.4312*100)</f>
        <v>-1.022247482036309E-2</v>
      </c>
      <c r="G43" s="41">
        <f>IF(OR(4848686.17434="",7147.77795="",1655.19366=""),"-",(7147.77795-1655.19366)/4848686.17434*100)</f>
        <v>0.11327984721031459</v>
      </c>
    </row>
    <row r="44" spans="1:7" s="7" customFormat="1" x14ac:dyDescent="0.25">
      <c r="A44" s="40" t="s">
        <v>14</v>
      </c>
      <c r="B44" s="27">
        <v>1371.6244300000001</v>
      </c>
      <c r="C44" s="41">
        <f>IF(OR(4156.70581="",1371.62443=""),"-",1371.62443/4156.70581*100)</f>
        <v>32.997871215716366</v>
      </c>
      <c r="D44" s="41">
        <f>IF(4156.70581="","-",4156.70581/4848686.17434*100)</f>
        <v>8.5728497587613167E-2</v>
      </c>
      <c r="E44" s="41">
        <f>IF(1371.62443="","-",1371.62443/6419550.41866*100)</f>
        <v>2.136636275981316E-2</v>
      </c>
      <c r="F44" s="41">
        <f>IF(OR(5302814.4312="",730.51247="",4156.70581=""),"-",(4156.70581-730.51247)/5302814.4312*100)</f>
        <v>6.4610847399098406E-2</v>
      </c>
      <c r="G44" s="41">
        <f>IF(OR(4848686.17434="",1371.62443="",4156.70581=""),"-",(1371.62443-4156.70581)/4848686.17434*100)</f>
        <v>-5.7439918358484068E-2</v>
      </c>
    </row>
    <row r="45" spans="1:7" s="7" customFormat="1" x14ac:dyDescent="0.25">
      <c r="A45" s="40" t="s">
        <v>17</v>
      </c>
      <c r="B45" s="27">
        <v>831.30978000000005</v>
      </c>
      <c r="C45" s="41">
        <f>IF(OR(781.54484="",831.30978=""),"-",831.30978/781.54484*100)</f>
        <v>106.36750925257212</v>
      </c>
      <c r="D45" s="41">
        <f>IF(781.54484="","-",781.54484/4848686.17434*100)</f>
        <v>1.6118693021133366E-2</v>
      </c>
      <c r="E45" s="41">
        <f>IF(831.30978="","-",831.30978/6419550.41866*100)</f>
        <v>1.2949657309078747E-2</v>
      </c>
      <c r="F45" s="41">
        <f>IF(OR(5302814.4312="",973.76989="",781.54484=""),"-",(781.54484-973.76989)/5302814.4312*100)</f>
        <v>-3.6249627908721753E-3</v>
      </c>
      <c r="G45" s="41">
        <f>IF(OR(4848686.17434="",831.30978="",781.54484=""),"-",(831.30978-781.54484)/4848686.17434*100)</f>
        <v>1.0263592695143647E-3</v>
      </c>
    </row>
    <row r="46" spans="1:7" s="7" customFormat="1" x14ac:dyDescent="0.25">
      <c r="A46" s="40" t="s">
        <v>415</v>
      </c>
      <c r="B46" s="27">
        <v>387.83843000000002</v>
      </c>
      <c r="C46" s="41">
        <f>IF(OR(288.70215="",387.83843=""),"-",387.83843/288.70215*100)</f>
        <v>134.3386012192843</v>
      </c>
      <c r="D46" s="41">
        <f>IF(288.70215="","-",288.70215/4848686.17434*100)</f>
        <v>5.9542346033417586E-3</v>
      </c>
      <c r="E46" s="41">
        <f>IF(387.83843="","-",387.83843/6419550.41866*100)</f>
        <v>6.0415201175560889E-3</v>
      </c>
      <c r="F46" s="41">
        <f>IF(OR(5302814.4312="",160.85103="",288.70215=""),"-",(288.70215-160.85103)/5302814.4312*100)</f>
        <v>2.4110049796909061E-3</v>
      </c>
      <c r="G46" s="41">
        <f>IF(OR(4848686.17434="",387.83843="",288.70215=""),"-",(387.83843-288.70215)/4848686.17434*100)</f>
        <v>2.044600876102161E-3</v>
      </c>
    </row>
    <row r="47" spans="1:7" s="7" customFormat="1" x14ac:dyDescent="0.25">
      <c r="A47" s="40" t="s">
        <v>18</v>
      </c>
      <c r="B47" s="27">
        <v>15.04074</v>
      </c>
      <c r="C47" s="41" t="s">
        <v>391</v>
      </c>
      <c r="D47" s="41">
        <f>IF(0.77083="","-",0.77083/4848686.17434*100)</f>
        <v>1.5897708622169692E-5</v>
      </c>
      <c r="E47" s="41">
        <f>IF(15.04074="","-",15.04074/6419550.41866*100)</f>
        <v>2.3429584657954231E-4</v>
      </c>
      <c r="F47" s="41">
        <f>IF(OR(5302814.4312="",0.13558="",0.77083=""),"-",(0.77083-0.13558)/5302814.4312*100)</f>
        <v>1.1979487652111674E-5</v>
      </c>
      <c r="G47" s="41">
        <f>IF(OR(4848686.17434="",15.04074="",0.77083=""),"-",(15.04074-0.77083)/4848686.17434*100)</f>
        <v>2.9430467320237341E-4</v>
      </c>
    </row>
    <row r="48" spans="1:7" s="7" customFormat="1" x14ac:dyDescent="0.25">
      <c r="A48" s="38" t="s">
        <v>143</v>
      </c>
      <c r="B48" s="26">
        <v>1894461.9646900001</v>
      </c>
      <c r="C48" s="39">
        <f>IF(1442702.80553="","-",1894461.96469/1442702.80553*100)</f>
        <v>131.31339021649987</v>
      </c>
      <c r="D48" s="39">
        <f>IF(1442702.80553="","-",1442702.80553/4848686.17434*100)</f>
        <v>29.754509853927175</v>
      </c>
      <c r="E48" s="39">
        <f>IF(1894461.96469="","-",1894461.96469/6419550.41866*100)</f>
        <v>29.5108199350422</v>
      </c>
      <c r="F48" s="39">
        <f>IF(5302814.4312="","-",(1442702.80553-1436112.19136)/5302814.4312*100)</f>
        <v>0.12428521223037658</v>
      </c>
      <c r="G48" s="39">
        <f>IF(4848686.17434="","-",(1894461.96469-1442702.80553)/4848686.17434*100)</f>
        <v>9.31714577756712</v>
      </c>
    </row>
    <row r="49" spans="1:7" s="7" customFormat="1" x14ac:dyDescent="0.25">
      <c r="A49" s="40" t="s">
        <v>59</v>
      </c>
      <c r="B49" s="27">
        <v>743524.56100999995</v>
      </c>
      <c r="C49" s="41">
        <f>IF(OR(574310.37446="",743524.56101=""),"-",743524.56101/574310.37446*100)</f>
        <v>129.46389166469524</v>
      </c>
      <c r="D49" s="41">
        <f>IF(574310.37446="","-",574310.37446/4848686.17434*100)</f>
        <v>11.84465964201477</v>
      </c>
      <c r="E49" s="41">
        <f>IF(743524.56101="","-",743524.56101/6419550.41866*100)</f>
        <v>11.582190535473687</v>
      </c>
      <c r="F49" s="41">
        <f>IF(OR(5302814.4312="",542665.24114="",574310.37446=""),"-",(574310.37446-542665.24114)/5302814.4312*100)</f>
        <v>0.596761092257169</v>
      </c>
      <c r="G49" s="41">
        <f>IF(OR(4848686.17434="",743524.56101="",574310.37446=""),"-",(743524.56101-574310.37446)/4848686.17434*100)</f>
        <v>3.4898976849751113</v>
      </c>
    </row>
    <row r="50" spans="1:7" s="7" customFormat="1" x14ac:dyDescent="0.25">
      <c r="A50" s="40" t="s">
        <v>56</v>
      </c>
      <c r="B50" s="27">
        <v>482435.07841999998</v>
      </c>
      <c r="C50" s="41">
        <f>IF(OR(340237.77768="",482435.07842=""),"-",482435.07842/340237.77768*100)</f>
        <v>141.79350738463242</v>
      </c>
      <c r="D50" s="41">
        <f>IF(340237.77768="","-",340237.77768/4848686.17434*100)</f>
        <v>7.0171127898644201</v>
      </c>
      <c r="E50" s="41">
        <f>IF(482435.07842="","-",482435.07842/6419550.41866*100)</f>
        <v>7.5150913530904582</v>
      </c>
      <c r="F50" s="41">
        <f>IF(OR(5302814.4312="",357742.40242="",340237.77768=""),"-",(340237.77768-357742.40242)/5302814.4312*100)</f>
        <v>-0.33010064687552698</v>
      </c>
      <c r="G50" s="41">
        <f>IF(OR(4848686.17434="",482435.07842="",340237.77768=""),"-",(482435.07842-340237.77768)/4848686.17434*100)</f>
        <v>2.9326975520199712</v>
      </c>
    </row>
    <row r="51" spans="1:7" s="7" customFormat="1" x14ac:dyDescent="0.25">
      <c r="A51" s="40" t="s">
        <v>19</v>
      </c>
      <c r="B51" s="27">
        <v>95992.365220000007</v>
      </c>
      <c r="C51" s="41" t="s">
        <v>104</v>
      </c>
      <c r="D51" s="41">
        <f>IF(59995.00383="","-",59995.00383/4848686.17434*100)</f>
        <v>1.2373455751271938</v>
      </c>
      <c r="E51" s="41">
        <f>IF(95992.36522="","-",95992.36522/6419550.41866*100)</f>
        <v>1.4953128951363108</v>
      </c>
      <c r="F51" s="41">
        <f>IF(OR(5302814.4312="",68583.36672="",59995.00383=""),"-",(59995.00383-68583.36672)/5302814.4312*100)</f>
        <v>-0.16195857881559889</v>
      </c>
      <c r="G51" s="41">
        <f>IF(OR(4848686.17434="",95992.36522="",59995.00383=""),"-",(95992.36522-59995.00383)/4848686.17434*100)</f>
        <v>0.74241475104129506</v>
      </c>
    </row>
    <row r="52" spans="1:7" s="7" customFormat="1" x14ac:dyDescent="0.25">
      <c r="A52" s="40" t="s">
        <v>76</v>
      </c>
      <c r="B52" s="27">
        <v>60231.858769999999</v>
      </c>
      <c r="C52" s="41">
        <f>IF(OR(49189.32036="",60231.85877=""),"-",60231.85877/49189.32036*100)</f>
        <v>122.44905668381551</v>
      </c>
      <c r="D52" s="41">
        <f>IF(49189.32036="","-",49189.32036/4848686.17434*100)</f>
        <v>1.0144876073918234</v>
      </c>
      <c r="E52" s="41">
        <f>IF(60231.85877="","-",60231.85877/6419550.41866*100)</f>
        <v>0.9382566510408783</v>
      </c>
      <c r="F52" s="41">
        <f>IF(OR(5302814.4312="",45991.48649="",49189.32036=""),"-",(49189.32036-45991.48649)/5302814.4312*100)</f>
        <v>6.0304464949499301E-2</v>
      </c>
      <c r="G52" s="41">
        <f>IF(OR(4848686.17434="",60231.85877="",49189.32036=""),"-",(60231.85877-49189.32036)/4848686.17434*100)</f>
        <v>0.22774289803367412</v>
      </c>
    </row>
    <row r="53" spans="1:7" s="7" customFormat="1" ht="25.5" x14ac:dyDescent="0.25">
      <c r="A53" s="40" t="s">
        <v>353</v>
      </c>
      <c r="B53" s="27">
        <v>58086.30229</v>
      </c>
      <c r="C53" s="41">
        <f>IF(OR(44292.85465="",58086.30229=""),"-",58086.30229/44292.85465*100)</f>
        <v>131.14147360560784</v>
      </c>
      <c r="D53" s="41">
        <f>IF(44292.85465="","-",44292.85465/4848686.17434*100)</f>
        <v>0.91350219538654953</v>
      </c>
      <c r="E53" s="41">
        <f>IF(58086.30229="","-",58086.30229/6419550.41866*100)</f>
        <v>0.90483442767515143</v>
      </c>
      <c r="F53" s="41">
        <f>IF(OR(5302814.4312="",52443.58632="",44292.85465=""),"-",(44292.85465-52443.58632)/5302814.4312*100)</f>
        <v>-0.1537057684320198</v>
      </c>
      <c r="G53" s="41">
        <f>IF(OR(4848686.17434="",58086.30229="",44292.85465=""),"-",(58086.30229-44292.85465)/4848686.17434*100)</f>
        <v>0.28447804506295055</v>
      </c>
    </row>
    <row r="54" spans="1:7" s="7" customFormat="1" x14ac:dyDescent="0.25">
      <c r="A54" s="40" t="s">
        <v>36</v>
      </c>
      <c r="B54" s="27">
        <v>52091.449119999997</v>
      </c>
      <c r="C54" s="41">
        <f>IF(OR(39040.53231="",52091.44912=""),"-",52091.44912/39040.53231*100)</f>
        <v>133.42914667855868</v>
      </c>
      <c r="D54" s="41">
        <f>IF(39040.53231="","-",39040.53231/4848686.17434*100)</f>
        <v>0.80517754513807394</v>
      </c>
      <c r="E54" s="41">
        <f>IF(52091.44912="","-",52091.44912/6419550.41866*100)</f>
        <v>0.81145011290172908</v>
      </c>
      <c r="F54" s="41">
        <f>IF(OR(5302814.4312="",36799.79564="",39040.53231=""),"-",(39040.53231-36799.79564)/5302814.4312*100)</f>
        <v>4.225561160157245E-2</v>
      </c>
      <c r="G54" s="41">
        <f>IF(OR(4848686.17434="",52091.44912="",39040.53231=""),"-",(52091.44912-39040.53231)/4848686.17434*100)</f>
        <v>0.26916398258702479</v>
      </c>
    </row>
    <row r="55" spans="1:7" s="7" customFormat="1" x14ac:dyDescent="0.25">
      <c r="A55" s="40" t="s">
        <v>72</v>
      </c>
      <c r="B55" s="27">
        <v>48011.03757</v>
      </c>
      <c r="C55" s="41">
        <f>IF(OR(40122.48494="",48011.03757=""),"-",48011.03757/40122.48494*100)</f>
        <v>119.66117662402193</v>
      </c>
      <c r="D55" s="41">
        <f>IF(40122.48494="","-",40122.48494/4848686.17434*100)</f>
        <v>0.82749189156300573</v>
      </c>
      <c r="E55" s="41">
        <f>IF(48011.03757="","-",48011.03757/6419550.41866*100)</f>
        <v>0.74788784944260478</v>
      </c>
      <c r="F55" s="41">
        <f>IF(OR(5302814.4312="",44735.2055="",40122.48494=""),"-",(40122.48494-44735.2055)/5302814.4312*100)</f>
        <v>-8.6986271532721884E-2</v>
      </c>
      <c r="G55" s="41">
        <f>IF(OR(4848686.17434="",48011.03757="",40122.48494=""),"-",(48011.03757-40122.48494)/4848686.17434*100)</f>
        <v>0.16269464234966252</v>
      </c>
    </row>
    <row r="56" spans="1:7" s="7" customFormat="1" x14ac:dyDescent="0.25">
      <c r="A56" s="40" t="s">
        <v>69</v>
      </c>
      <c r="B56" s="27">
        <v>39899.096649999999</v>
      </c>
      <c r="C56" s="41">
        <f>IF(OR(36551.24822="",39899.09665=""),"-",39899.09665/36551.24822*100)</f>
        <v>109.15932722693758</v>
      </c>
      <c r="D56" s="41">
        <f>IF(36551.24822="","-",36551.24822/4848686.17434*100)</f>
        <v>0.75383819256925477</v>
      </c>
      <c r="E56" s="41">
        <f>IF(39899.09665="","-",39899.09665/6419550.41866*100)</f>
        <v>0.62152478052082083</v>
      </c>
      <c r="F56" s="41">
        <f>IF(OR(5302814.4312="",32825.14109="",36551.24822=""),"-",(36551.24822-32825.14109)/5302814.4312*100)</f>
        <v>7.0266594811932814E-2</v>
      </c>
      <c r="G56" s="41">
        <f>IF(OR(4848686.17434="",39899.09665="",36551.24822=""),"-",(39899.09665-36551.24822)/4848686.17434*100)</f>
        <v>6.9046506819049905E-2</v>
      </c>
    </row>
    <row r="57" spans="1:7" s="7" customFormat="1" x14ac:dyDescent="0.25">
      <c r="A57" s="40" t="s">
        <v>352</v>
      </c>
      <c r="B57" s="27">
        <v>34974.52506</v>
      </c>
      <c r="C57" s="41">
        <f>IF(OR(30534.39303="",34974.52506=""),"-",34974.52506/30534.39303*100)</f>
        <v>114.54141245132195</v>
      </c>
      <c r="D57" s="41">
        <f>IF(30534.39303="","-",30534.39303/4848686.17434*100)</f>
        <v>0.62974570702456978</v>
      </c>
      <c r="E57" s="41">
        <f>IF(34974.52506="","-",34974.52506/6419550.41866*100)</f>
        <v>0.54481268592171117</v>
      </c>
      <c r="F57" s="41">
        <f>IF(OR(5302814.4312="",31659.26398="",30534.39303=""),"-",(30534.39303-31659.26398)/5302814.4312*100)</f>
        <v>-2.1212715711521661E-2</v>
      </c>
      <c r="G57" s="41">
        <f>IF(OR(4848686.17434="",34974.52506="",30534.39303=""),"-",(34974.52506-30534.39303)/4848686.17434*100)</f>
        <v>9.1573920652936222E-2</v>
      </c>
    </row>
    <row r="58" spans="1:7" s="7" customFormat="1" x14ac:dyDescent="0.25">
      <c r="A58" s="40" t="s">
        <v>66</v>
      </c>
      <c r="B58" s="27">
        <v>26922.01771</v>
      </c>
      <c r="C58" s="41">
        <f>IF(OR(31866.16451="",26922.01771=""),"-",26922.01771/31866.16451*100)</f>
        <v>84.484650487357953</v>
      </c>
      <c r="D58" s="41">
        <f>IF(31866.16451="","-",31866.16451/4848686.17434*100)</f>
        <v>0.65721235328944749</v>
      </c>
      <c r="E58" s="41">
        <f>IF(26922.01771="","-",26922.01771/6419550.41866*100)</f>
        <v>0.41937543837563052</v>
      </c>
      <c r="F58" s="41">
        <f>IF(OR(5302814.4312="",21896.81935="",31866.16451=""),"-",(31866.16451-21896.81935)/5302814.4312*100)</f>
        <v>0.18800101888053403</v>
      </c>
      <c r="G58" s="41">
        <f>IF(OR(4848686.17434="",26922.01771="",31866.16451=""),"-",(26922.01771-31866.16451)/4848686.17434*100)</f>
        <v>-0.10196879365311765</v>
      </c>
    </row>
    <row r="59" spans="1:7" s="7" customFormat="1" x14ac:dyDescent="0.25">
      <c r="A59" s="40" t="s">
        <v>70</v>
      </c>
      <c r="B59" s="27">
        <v>20960.060379999999</v>
      </c>
      <c r="C59" s="41">
        <f>IF(OR(15558.35482="",20960.06038=""),"-",20960.06038/15558.35482*100)</f>
        <v>134.71900224987925</v>
      </c>
      <c r="D59" s="41">
        <f>IF(15558.35482="","-",15558.35482/4848686.17434*100)</f>
        <v>0.32087774420908549</v>
      </c>
      <c r="E59" s="41">
        <f>IF(20960.06038="","-",20960.06038/6419550.41866*100)</f>
        <v>0.32650355574861495</v>
      </c>
      <c r="F59" s="41">
        <f>IF(OR(5302814.4312="",19749.07179="",15558.35482=""),"-",(15558.35482-19749.07179)/5302814.4312*100)</f>
        <v>-7.902816559718201E-2</v>
      </c>
      <c r="G59" s="41">
        <f>IF(OR(4848686.17434="",20960.06038="",15558.35482=""),"-",(20960.06038-15558.35482)/4848686.17434*100)</f>
        <v>0.11140555123131421</v>
      </c>
    </row>
    <row r="60" spans="1:7" s="7" customFormat="1" x14ac:dyDescent="0.25">
      <c r="A60" s="40" t="s">
        <v>79</v>
      </c>
      <c r="B60" s="27">
        <v>20089.570670000001</v>
      </c>
      <c r="C60" s="41">
        <f>IF(OR(17528.09635="",20089.57067=""),"-",20089.57067/17528.09635*100)</f>
        <v>114.6135340019397</v>
      </c>
      <c r="D60" s="41">
        <f>IF(17528.09635="","-",17528.09635/4848686.17434*100)</f>
        <v>0.3615019764067513</v>
      </c>
      <c r="E60" s="41">
        <f>IF(20089.57067="","-",20089.57067/6419550.41866*100)</f>
        <v>0.3129435764162663</v>
      </c>
      <c r="F60" s="41">
        <f>IF(OR(5302814.4312="",15129.50332="",17528.09635=""),"-",(17528.09635-15129.50332)/5302814.4312*100)</f>
        <v>4.5232452712044277E-2</v>
      </c>
      <c r="G60" s="41">
        <f>IF(OR(4848686.17434="",20089.57067="",17528.09635=""),"-",(20089.57067-17528.09635)/4848686.17434*100)</f>
        <v>5.2828214239884624E-2</v>
      </c>
    </row>
    <row r="61" spans="1:7" s="7" customFormat="1" x14ac:dyDescent="0.25">
      <c r="A61" s="40" t="s">
        <v>81</v>
      </c>
      <c r="B61" s="27">
        <v>16151.18669</v>
      </c>
      <c r="C61" s="41" t="s">
        <v>366</v>
      </c>
      <c r="D61" s="41">
        <f>IF(3940.13232="","-",3940.13232/4848686.17434*100)</f>
        <v>8.126185482681457E-2</v>
      </c>
      <c r="E61" s="41">
        <f>IF(16151.18669="","-",16151.18669/6419550.41866*100)</f>
        <v>0.25159373533468343</v>
      </c>
      <c r="F61" s="41">
        <f>IF(OR(5302814.4312="",3482.87943="",3940.13232=""),"-",(3940.13232-3482.87943)/5302814.4312*100)</f>
        <v>8.6228340805153559E-3</v>
      </c>
      <c r="G61" s="41">
        <f>IF(OR(4848686.17434="",16151.18669="",3940.13232=""),"-",(16151.18669-3940.13232)/4848686.17434*100)</f>
        <v>0.25184253900825332</v>
      </c>
    </row>
    <row r="62" spans="1:7" s="7" customFormat="1" x14ac:dyDescent="0.25">
      <c r="A62" s="40" t="s">
        <v>61</v>
      </c>
      <c r="B62" s="27">
        <v>13002.20665</v>
      </c>
      <c r="C62" s="41">
        <f>IF(OR(11560.01364="",13002.20665=""),"-",13002.20665/11560.01364*100)</f>
        <v>112.47570335911819</v>
      </c>
      <c r="D62" s="41">
        <f>IF(11560.01364="","-",11560.01364/4848686.17434*100)</f>
        <v>0.23841538149400937</v>
      </c>
      <c r="E62" s="41">
        <f>IF(13002.20665="","-",13002.20665/6419550.41866*100)</f>
        <v>0.20254076690800488</v>
      </c>
      <c r="F62" s="41">
        <f>IF(OR(5302814.4312="",11291.55979="",11560.01364=""),"-",(11560.01364-11291.55979)/5302814.4312*100)</f>
        <v>5.0624786796329606E-3</v>
      </c>
      <c r="G62" s="41">
        <f>IF(OR(4848686.17434="",13002.20665="",11560.01364=""),"-",(13002.20665-11560.01364)/4848686.17434*100)</f>
        <v>2.9743995757702573E-2</v>
      </c>
    </row>
    <row r="63" spans="1:7" s="7" customFormat="1" x14ac:dyDescent="0.25">
      <c r="A63" s="40" t="s">
        <v>82</v>
      </c>
      <c r="B63" s="27">
        <v>12478.14394</v>
      </c>
      <c r="C63" s="41">
        <f>IF(OR(9025.3281="",12478.14394=""),"-",12478.14394/9025.3281*100)</f>
        <v>138.25695644239238</v>
      </c>
      <c r="D63" s="41">
        <f>IF(9025.3281="","-",9025.3281/4848686.17434*100)</f>
        <v>0.18613966290009523</v>
      </c>
      <c r="E63" s="41">
        <f>IF(12478.14394="","-",12478.14394/6419550.41866*100)</f>
        <v>0.19437722466871216</v>
      </c>
      <c r="F63" s="41">
        <f>IF(OR(5302814.4312="",9133.00392="",9025.3281=""),"-",(9025.3281-9133.00392)/5302814.4312*100)</f>
        <v>-2.0305409777583347E-3</v>
      </c>
      <c r="G63" s="41">
        <f>IF(OR(4848686.17434="",12478.14394="",9025.3281=""),"-",(12478.14394-9025.3281)/4848686.17434*100)</f>
        <v>7.1211369757705423E-2</v>
      </c>
    </row>
    <row r="64" spans="1:7" s="7" customFormat="1" x14ac:dyDescent="0.25">
      <c r="A64" s="40" t="s">
        <v>78</v>
      </c>
      <c r="B64" s="27">
        <v>11934.239729999999</v>
      </c>
      <c r="C64" s="41" t="s">
        <v>104</v>
      </c>
      <c r="D64" s="41">
        <f>IF(7574.76054="","-",7574.76054/4848686.17434*100)</f>
        <v>0.15622294922048799</v>
      </c>
      <c r="E64" s="41">
        <f>IF(11934.23973="","-",11934.23973/6419550.41866*100)</f>
        <v>0.18590460315274104</v>
      </c>
      <c r="F64" s="41">
        <f>IF(OR(5302814.4312="",8071.88939="",7574.76054=""),"-",(7574.76054-8071.88939)/5302814.4312*100)</f>
        <v>-9.3748113657355029E-3</v>
      </c>
      <c r="G64" s="41">
        <f>IF(OR(4848686.17434="",11934.23973="",7574.76054=""),"-",(11934.23973-7574.76054)/4848686.17434*100)</f>
        <v>8.9910524897879346E-2</v>
      </c>
    </row>
    <row r="65" spans="1:7" s="7" customFormat="1" x14ac:dyDescent="0.25">
      <c r="A65" s="40" t="s">
        <v>71</v>
      </c>
      <c r="B65" s="27">
        <v>11663.189350000001</v>
      </c>
      <c r="C65" s="41">
        <f>IF(OR(9646.28145="",11663.18935=""),"-",11663.18935/9646.28145*100)</f>
        <v>120.90865698304916</v>
      </c>
      <c r="D65" s="41">
        <f>IF(9646.28145="","-",9646.28145/4848686.17434*100)</f>
        <v>0.19894629396824273</v>
      </c>
      <c r="E65" s="41">
        <f>IF(11663.18935="","-",11663.18935/6419550.41866*100)</f>
        <v>0.18168233893915806</v>
      </c>
      <c r="F65" s="41">
        <f>IF(OR(5302814.4312="",9212.92977="",9646.28145=""),"-",(9646.28145-9212.92977)/5302814.4312*100)</f>
        <v>8.1721072012307713E-3</v>
      </c>
      <c r="G65" s="41">
        <f>IF(OR(4848686.17434="",11663.18935="",9646.28145=""),"-",(11663.18935-9646.28145)/4848686.17434*100)</f>
        <v>4.1596998186308486E-2</v>
      </c>
    </row>
    <row r="66" spans="1:7" s="7" customFormat="1" x14ac:dyDescent="0.25">
      <c r="A66" s="40" t="s">
        <v>62</v>
      </c>
      <c r="B66" s="27">
        <v>11414.465899999999</v>
      </c>
      <c r="C66" s="41">
        <f>IF(OR(9031.13409="",11414.4659=""),"-",11414.4659/9031.13409*100)</f>
        <v>126.3901718903611</v>
      </c>
      <c r="D66" s="41">
        <f>IF(9031.13409="","-",9031.13409/4848686.17434*100)</f>
        <v>0.1862594064716781</v>
      </c>
      <c r="E66" s="41">
        <f>IF(11414.4659="","-",11414.4659/6419550.41866*100)</f>
        <v>0.17780787057643554</v>
      </c>
      <c r="F66" s="41">
        <f>IF(OR(5302814.4312="",9769.89774="",9031.13409=""),"-",(9031.13409-9769.89774)/5302814.4312*100)</f>
        <v>-1.3931538800478489E-2</v>
      </c>
      <c r="G66" s="41">
        <f>IF(OR(4848686.17434="",11414.4659="",9031.13409=""),"-",(11414.4659-9031.13409)/4848686.17434*100)</f>
        <v>4.9154177529842233E-2</v>
      </c>
    </row>
    <row r="67" spans="1:7" s="7" customFormat="1" x14ac:dyDescent="0.25">
      <c r="A67" s="40" t="s">
        <v>74</v>
      </c>
      <c r="B67" s="27">
        <v>10682.9301</v>
      </c>
      <c r="C67" s="41">
        <f>IF(OR(8903.0529="",10682.9301=""),"-",10682.9301/8903.0529*100)</f>
        <v>119.99176260089388</v>
      </c>
      <c r="D67" s="41">
        <f>IF(8903.0529="","-",8903.0529/4848686.17434*100)</f>
        <v>0.18361784161483452</v>
      </c>
      <c r="E67" s="41">
        <f>IF(10682.9301="","-",10682.9301/6419550.41866*100)</f>
        <v>0.16641243394471114</v>
      </c>
      <c r="F67" s="41">
        <f>IF(OR(5302814.4312="",6051.77623="",8903.0529=""),"-",(8903.0529-6051.77623)/5302814.4312*100)</f>
        <v>5.3769120284957263E-2</v>
      </c>
      <c r="G67" s="41">
        <f>IF(OR(4848686.17434="",10682.9301="",8903.0529=""),"-",(10682.9301-8903.0529)/4848686.17434*100)</f>
        <v>3.6708442988523063E-2</v>
      </c>
    </row>
    <row r="68" spans="1:7" s="7" customFormat="1" x14ac:dyDescent="0.25">
      <c r="A68" s="40" t="s">
        <v>83</v>
      </c>
      <c r="B68" s="27">
        <v>9167.7747400000007</v>
      </c>
      <c r="C68" s="41">
        <f>IF(OR(8552.55588="",9167.77474=""),"-",9167.77474/8552.55588*100)</f>
        <v>107.19339187761028</v>
      </c>
      <c r="D68" s="41">
        <f>IF(8552.55588="","-",8552.55588/4848686.17434*100)</f>
        <v>0.17638914073798903</v>
      </c>
      <c r="E68" s="41">
        <f>IF(9167.77474="","-",9167.77474/6419550.41866*100)</f>
        <v>0.14281023034497264</v>
      </c>
      <c r="F68" s="41">
        <f>IF(OR(5302814.4312="",9350.08498="",8552.55588=""),"-",(8552.55588-9350.08498)/5302814.4312*100)</f>
        <v>-1.5039732397717016E-2</v>
      </c>
      <c r="G68" s="41">
        <f>IF(OR(4848686.17434="",9167.77474="",8552.55588=""),"-",(9167.77474-8552.55588)/4848686.17434*100)</f>
        <v>1.2688362122833079E-2</v>
      </c>
    </row>
    <row r="69" spans="1:7" s="7" customFormat="1" x14ac:dyDescent="0.25">
      <c r="A69" s="40" t="s">
        <v>63</v>
      </c>
      <c r="B69" s="27">
        <v>8596.9456499999997</v>
      </c>
      <c r="C69" s="41">
        <f>IF(OR(6470.65761="",8596.94565=""),"-",8596.94565/6470.65761*100)</f>
        <v>132.86046284869028</v>
      </c>
      <c r="D69" s="41">
        <f>IF(6470.65761="","-",6470.65761/4848686.17434*100)</f>
        <v>0.13345177182725754</v>
      </c>
      <c r="E69" s="41">
        <f>IF(8596.94565="","-",8596.94565/6419550.41866*100)</f>
        <v>0.13391818880354714</v>
      </c>
      <c r="F69" s="41">
        <f>IF(OR(5302814.4312="",7690.46223="",6470.65761=""),"-",(6470.65761-7690.46223)/5302814.4312*100)</f>
        <v>-2.3002966364862293E-2</v>
      </c>
      <c r="G69" s="41">
        <f>IF(OR(4848686.17434="",8596.94565="",6470.65761=""),"-",(8596.94565-6470.65761)/4848686.17434*100)</f>
        <v>4.3852869902214861E-2</v>
      </c>
    </row>
    <row r="70" spans="1:7" s="7" customFormat="1" x14ac:dyDescent="0.25">
      <c r="A70" s="40" t="s">
        <v>65</v>
      </c>
      <c r="B70" s="27">
        <v>7753.6940699999996</v>
      </c>
      <c r="C70" s="41">
        <f>IF(OR(6166.19565="",7753.69407=""),"-",7753.69407/6166.19565*100)</f>
        <v>125.74518406661326</v>
      </c>
      <c r="D70" s="41">
        <f>IF(6166.19565="","-",6166.19565/4848686.17434*100)</f>
        <v>0.12717250463914254</v>
      </c>
      <c r="E70" s="41">
        <f>IF(7753.69407="","-",7753.69407/6419550.41866*100)</f>
        <v>0.12078250912185351</v>
      </c>
      <c r="F70" s="41">
        <f>IF(OR(5302814.4312="",5738.43734="",6166.19565=""),"-",(6166.19565-5738.43734)/5302814.4312*100)</f>
        <v>8.0666279303158589E-3</v>
      </c>
      <c r="G70" s="41">
        <f>IF(OR(4848686.17434="",7753.69407="",6166.19565=""),"-",(7753.69407-6166.19565)/4848686.17434*100)</f>
        <v>3.2740795401469534E-2</v>
      </c>
    </row>
    <row r="71" spans="1:7" s="7" customFormat="1" x14ac:dyDescent="0.25">
      <c r="A71" s="40" t="s">
        <v>84</v>
      </c>
      <c r="B71" s="27">
        <v>7279.6450999999997</v>
      </c>
      <c r="C71" s="41">
        <f>IF(OR(5687.98439="",7279.6451=""),"-",7279.6451/5687.98439*100)</f>
        <v>127.98286002328499</v>
      </c>
      <c r="D71" s="41">
        <f>IF(5687.98439="","-",5687.98439/4848686.17434*100)</f>
        <v>0.11730980693495273</v>
      </c>
      <c r="E71" s="41">
        <f>IF(7279.6451="","-",7279.6451/6419550.41866*100)</f>
        <v>0.11339805165856978</v>
      </c>
      <c r="F71" s="41">
        <f>IF(OR(5302814.4312="",6510.07494="",5687.98439=""),"-",(5687.98439-6510.07494)/5302814.4312*100)</f>
        <v>-1.5502910023837394E-2</v>
      </c>
      <c r="G71" s="41">
        <f>IF(OR(4848686.17434="",7279.6451="",5687.98439=""),"-",(7279.6451-5687.98439)/4848686.17434*100)</f>
        <v>3.2826639068193678E-2</v>
      </c>
    </row>
    <row r="72" spans="1:7" s="7" customFormat="1" x14ac:dyDescent="0.25">
      <c r="A72" s="40" t="s">
        <v>68</v>
      </c>
      <c r="B72" s="27">
        <v>7205.3459999999995</v>
      </c>
      <c r="C72" s="41">
        <f>IF(OR(5612.69309="",7205.346=""),"-",7205.346/5612.69309*100)</f>
        <v>128.37591303250824</v>
      </c>
      <c r="D72" s="41">
        <f>IF(5612.69309="","-",5612.69309/4848686.17434*100)</f>
        <v>0.1157569883508494</v>
      </c>
      <c r="E72" s="41">
        <f>IF(7205.346="","-",7205.346/6419550.41866*100)</f>
        <v>0.1122406637551423</v>
      </c>
      <c r="F72" s="41">
        <f>IF(OR(5302814.4312="",5698.86078="",5612.69309=""),"-",(5612.69309-5698.86078)/5302814.4312*100)</f>
        <v>-1.6249425869594479E-3</v>
      </c>
      <c r="G72" s="41">
        <f>IF(OR(4848686.17434="",7205.346="",5612.69309=""),"-",(7205.346-5612.69309)/4848686.17434*100)</f>
        <v>3.2847102343487727E-2</v>
      </c>
    </row>
    <row r="73" spans="1:7" s="7" customFormat="1" x14ac:dyDescent="0.25">
      <c r="A73" s="40" t="s">
        <v>85</v>
      </c>
      <c r="B73" s="27">
        <v>5855.8554100000001</v>
      </c>
      <c r="C73" s="41">
        <f>IF(OR(4685.32492="",5855.85541=""),"-",5855.85541/4685.32492*100)</f>
        <v>124.98290961643701</v>
      </c>
      <c r="D73" s="41">
        <f>IF(4685.32492="","-",4685.32492/4848686.17434*100)</f>
        <v>9.6630814029488366E-2</v>
      </c>
      <c r="E73" s="41">
        <f>IF(5855.85541="","-",5855.85541/6419550.41866*100)</f>
        <v>9.121908900315695E-2</v>
      </c>
      <c r="F73" s="41">
        <f>IF(OR(5302814.4312="",7667.7624="",4685.32492=""),"-",(4685.32492-7667.7624)/5302814.4312*100)</f>
        <v>-5.6242539102487291E-2</v>
      </c>
      <c r="G73" s="41">
        <f>IF(OR(4848686.17434="",5855.85541="",4685.32492=""),"-",(5855.85541-4685.32492)/4848686.17434*100)</f>
        <v>2.4141188930614423E-2</v>
      </c>
    </row>
    <row r="74" spans="1:7" s="7" customFormat="1" x14ac:dyDescent="0.25">
      <c r="A74" s="40" t="s">
        <v>130</v>
      </c>
      <c r="B74" s="27">
        <v>5361.9654499999997</v>
      </c>
      <c r="C74" s="41">
        <f>IF(OR(5419.81706="",5361.96545=""),"-",5361.96545/5419.81706*100)</f>
        <v>98.932591093766547</v>
      </c>
      <c r="D74" s="41">
        <f>IF(5419.81706="","-",5419.81706/4848686.17434*100)</f>
        <v>0.11177908540838369</v>
      </c>
      <c r="E74" s="41">
        <f>IF(5361.96545="","-",5361.96545/6419550.41866*100)</f>
        <v>8.3525560207676375E-2</v>
      </c>
      <c r="F74" s="41">
        <f>IF(OR(5302814.4312="",4122.18615="",5419.81706=""),"-",(5419.81706-4122.18615)/5302814.4312*100)</f>
        <v>2.4470607577085295E-2</v>
      </c>
      <c r="G74" s="41">
        <f>IF(OR(4848686.17434="",5361.96545="",5419.81706=""),"-",(5361.96545-5419.81706)/4848686.17434*100)</f>
        <v>-1.1931399129553964E-3</v>
      </c>
    </row>
    <row r="75" spans="1:7" s="7" customFormat="1" x14ac:dyDescent="0.25">
      <c r="A75" s="40" t="s">
        <v>75</v>
      </c>
      <c r="B75" s="27">
        <v>4478.0355399999999</v>
      </c>
      <c r="C75" s="41">
        <f>IF(OR(4623.68252="",4478.03554=""),"-",4478.03554/4623.68252*100)</f>
        <v>96.849978791363895</v>
      </c>
      <c r="D75" s="41">
        <f>IF(4623.68252="","-",4623.68252/4848686.17434*100)</f>
        <v>9.5359492319161535E-2</v>
      </c>
      <c r="E75" s="41">
        <f>IF(4478.03554="","-",4478.03554/6419550.41866*100)</f>
        <v>6.97562173043067E-2</v>
      </c>
      <c r="F75" s="41">
        <f>IF(OR(5302814.4312="",4547.85527="",4623.68252=""),"-",(4623.68252-4547.85527)/5302814.4312*100)</f>
        <v>1.4299434947951015E-3</v>
      </c>
      <c r="G75" s="41">
        <f>IF(OR(4848686.17434="",4478.03554="",4623.68252=""),"-",(4478.03554-4623.68252)/4848686.17434*100)</f>
        <v>-3.0038442325013084E-3</v>
      </c>
    </row>
    <row r="76" spans="1:7" s="7" customFormat="1" x14ac:dyDescent="0.25">
      <c r="A76" s="40" t="s">
        <v>73</v>
      </c>
      <c r="B76" s="27">
        <v>4435.5181499999999</v>
      </c>
      <c r="C76" s="41" t="s">
        <v>294</v>
      </c>
      <c r="D76" s="41">
        <f>IF(1735.70363="","-",1735.70363/4848686.17434*100)</f>
        <v>3.5797400936889108E-2</v>
      </c>
      <c r="E76" s="41">
        <f>IF(4435.51815="","-",4435.51815/6419550.41866*100)</f>
        <v>6.9093906282082881E-2</v>
      </c>
      <c r="F76" s="41">
        <f>IF(OR(5302814.4312="",1386.09226="",1735.70363=""),"-",(1735.70363-1386.09226)/5302814.4312*100)</f>
        <v>6.5929399290875195E-3</v>
      </c>
      <c r="G76" s="41">
        <f>IF(OR(4848686.17434="",4435.51815="",1735.70363=""),"-",(4435.51815-1735.70363)/4848686.17434*100)</f>
        <v>5.5681362392308191E-2</v>
      </c>
    </row>
    <row r="77" spans="1:7" s="7" customFormat="1" x14ac:dyDescent="0.25">
      <c r="A77" s="40" t="s">
        <v>39</v>
      </c>
      <c r="B77" s="27">
        <v>4387.4254499999997</v>
      </c>
      <c r="C77" s="41">
        <f>IF(OR(3479.5109="",4387.42545=""),"-",4387.42545/3479.5109*100)</f>
        <v>126.09316585270646</v>
      </c>
      <c r="D77" s="41">
        <f>IF(3479.5109="","-",3479.5109/4848686.17434*100)</f>
        <v>7.176193250893638E-2</v>
      </c>
      <c r="E77" s="41">
        <f>IF(4387.42545="","-",4387.42545/6419550.41866*100)</f>
        <v>6.834474634309079E-2</v>
      </c>
      <c r="F77" s="41">
        <f>IF(OR(5302814.4312="",3307.75807="",3479.5109=""),"-",(3479.5109-3307.75807)/5302814.4312*100)</f>
        <v>3.238899498150712E-3</v>
      </c>
      <c r="G77" s="41">
        <f>IF(OR(4848686.17434="",4387.42545="",3479.5109=""),"-",(4387.42545-3479.5109)/4848686.17434*100)</f>
        <v>1.8724960068664045E-2</v>
      </c>
    </row>
    <row r="78" spans="1:7" s="7" customFormat="1" x14ac:dyDescent="0.25">
      <c r="A78" s="40" t="s">
        <v>80</v>
      </c>
      <c r="B78" s="27">
        <v>3836.1881100000001</v>
      </c>
      <c r="C78" s="41">
        <f>IF(OR(3942.67176="",3836.18811=""),"-",3836.18811/3942.67176*100)</f>
        <v>97.299200732855326</v>
      </c>
      <c r="D78" s="41">
        <f>IF(3942.67176="","-",3942.67176/4848686.17434*100)</f>
        <v>8.1314228602074337E-2</v>
      </c>
      <c r="E78" s="41">
        <f>IF(3836.18811="","-",3836.18811/6419550.41866*100)</f>
        <v>5.9757893618985793E-2</v>
      </c>
      <c r="F78" s="41">
        <f>IF(OR(5302814.4312="",4894.526="",3942.67176=""),"-",(3942.67176-4894.526)/5302814.4312*100)</f>
        <v>-1.7949982077434302E-2</v>
      </c>
      <c r="G78" s="41">
        <f>IF(OR(4848686.17434="",3836.18811="",3942.67176=""),"-",(3836.18811-3942.67176)/4848686.17434*100)</f>
        <v>-2.1961340901691705E-3</v>
      </c>
    </row>
    <row r="79" spans="1:7" s="7" customFormat="1" x14ac:dyDescent="0.25">
      <c r="A79" s="40" t="s">
        <v>88</v>
      </c>
      <c r="B79" s="27">
        <v>3721.2188799999999</v>
      </c>
      <c r="C79" s="41" t="s">
        <v>95</v>
      </c>
      <c r="D79" s="41">
        <f>IF(1807.69308="","-",1807.69308/4848686.17434*100)</f>
        <v>3.7282121692399736E-2</v>
      </c>
      <c r="E79" s="41">
        <f>IF(3721.21888="","-",3721.21888/6419550.41866*100)</f>
        <v>5.7966970228683981E-2</v>
      </c>
      <c r="F79" s="41">
        <f>IF(OR(5302814.4312="",2227.85236="",1807.69308=""),"-",(1807.69308-2227.85236)/5302814.4312*100)</f>
        <v>-7.9233261026054776E-3</v>
      </c>
      <c r="G79" s="41">
        <f>IF(OR(4848686.17434="",3721.21888="",1807.69308=""),"-",(3721.21888-1807.69308)/4848686.17434*100)</f>
        <v>3.9464830908766076E-2</v>
      </c>
    </row>
    <row r="80" spans="1:7" s="7" customFormat="1" x14ac:dyDescent="0.25">
      <c r="A80" s="40" t="s">
        <v>58</v>
      </c>
      <c r="B80" s="27">
        <v>3449.8623299999999</v>
      </c>
      <c r="C80" s="41">
        <f>IF(OR(4233.42582="",3449.86233=""),"-",3449.86233/4233.42582*100)</f>
        <v>81.491030590445064</v>
      </c>
      <c r="D80" s="41">
        <f>IF(4233.42582="","-",4233.42582/4848686.17434*100)</f>
        <v>8.7310782091939598E-2</v>
      </c>
      <c r="E80" s="41">
        <f>IF(3449.86233="","-",3449.86233/6419550.41866*100)</f>
        <v>5.3739936677997382E-2</v>
      </c>
      <c r="F80" s="41">
        <f>IF(OR(5302814.4312="",2734.06263="",4233.42582=""),"-",(4233.42582-2734.06263)/5302814.4312*100)</f>
        <v>2.8274856860504963E-2</v>
      </c>
      <c r="G80" s="41">
        <f>IF(OR(4848686.17434="",3449.86233="",4233.42582=""),"-",(3449.86233-4233.42582)/4848686.17434*100)</f>
        <v>-1.6160325948640274E-2</v>
      </c>
    </row>
    <row r="81" spans="1:7" s="7" customFormat="1" x14ac:dyDescent="0.25">
      <c r="A81" s="40" t="s">
        <v>91</v>
      </c>
      <c r="B81" s="27">
        <v>3363.4289699999999</v>
      </c>
      <c r="C81" s="41">
        <f>IF(OR(2338.52011="",3363.42897=""),"-",3363.42897/2338.52011*100)</f>
        <v>143.82724166524272</v>
      </c>
      <c r="D81" s="41">
        <f>IF(2338.52011="","-",2338.52011/4848686.17434*100)</f>
        <v>4.8229974593443713E-2</v>
      </c>
      <c r="E81" s="41">
        <f>IF(3363.42897="","-",3363.42897/6419550.41866*100)</f>
        <v>5.2393528372693635E-2</v>
      </c>
      <c r="F81" s="41">
        <f>IF(OR(5302814.4312="",2254.4422="",2338.52011=""),"-",(2338.52011-2254.4422)/5302814.4312*100)</f>
        <v>1.5855337027317691E-3</v>
      </c>
      <c r="G81" s="41">
        <f>IF(OR(4848686.17434="",3363.42897="",2338.52011=""),"-",(3363.42897-2338.52011)/4848686.17434*100)</f>
        <v>2.1137867520153741E-2</v>
      </c>
    </row>
    <row r="82" spans="1:7" s="7" customFormat="1" x14ac:dyDescent="0.25">
      <c r="A82" s="40" t="s">
        <v>87</v>
      </c>
      <c r="B82" s="27">
        <v>3220.8569200000002</v>
      </c>
      <c r="C82" s="41">
        <f>IF(OR(2742.97029="",3220.85692=""),"-",3220.85692/2742.97029*100)</f>
        <v>117.42223135781758</v>
      </c>
      <c r="D82" s="41">
        <f>IF(2742.97029="","-",2742.97029/4848686.17434*100)</f>
        <v>5.6571413190571601E-2</v>
      </c>
      <c r="E82" s="41">
        <f>IF(3220.85692="","-",3220.85692/6419550.41866*100)</f>
        <v>5.0172624404316357E-2</v>
      </c>
      <c r="F82" s="41">
        <f>IF(OR(5302814.4312="",2672.40516="",2742.97029=""),"-",(2742.97029-2672.40516)/5302814.4312*100)</f>
        <v>1.3307109067369697E-3</v>
      </c>
      <c r="G82" s="41">
        <f>IF(OR(4848686.17434="",3220.85692="",2742.97029=""),"-",(3220.85692-2742.97029)/4848686.17434*100)</f>
        <v>9.8560024884483174E-3</v>
      </c>
    </row>
    <row r="83" spans="1:7" s="7" customFormat="1" x14ac:dyDescent="0.25">
      <c r="A83" s="40" t="s">
        <v>37</v>
      </c>
      <c r="B83" s="27">
        <v>2900.3112700000001</v>
      </c>
      <c r="C83" s="41">
        <f>IF(OR(3171.05159="",2900.31127=""),"-",2900.31127/3171.05159*100)</f>
        <v>91.462128183162108</v>
      </c>
      <c r="D83" s="41">
        <f>IF(3171.05159="","-",3171.05159/4848686.17434*100)</f>
        <v>6.5400223400344959E-2</v>
      </c>
      <c r="E83" s="41">
        <f>IF(2900.31127="","-",2900.31127/6419550.41866*100)</f>
        <v>4.5179351836999879E-2</v>
      </c>
      <c r="F83" s="41">
        <f>IF(OR(5302814.4312="",2663.25954="",3171.05159=""),"-",(3171.05159-2663.25954)/5302814.4312*100)</f>
        <v>9.5758970370963779E-3</v>
      </c>
      <c r="G83" s="41">
        <f>IF(OR(4848686.17434="",2900.31127="",3171.05159=""),"-",(2900.31127-3171.05159)/4848686.17434*100)</f>
        <v>-5.5837872418470734E-3</v>
      </c>
    </row>
    <row r="84" spans="1:7" s="7" customFormat="1" x14ac:dyDescent="0.25">
      <c r="A84" s="40" t="s">
        <v>89</v>
      </c>
      <c r="B84" s="27">
        <v>2625.5424800000001</v>
      </c>
      <c r="C84" s="41" t="s">
        <v>95</v>
      </c>
      <c r="D84" s="41">
        <f>IF(1224.2745="","-",1224.2745/4848686.17434*100)</f>
        <v>2.5249613111259925E-2</v>
      </c>
      <c r="E84" s="41">
        <f>IF(2625.54248="","-",2625.54248/6419550.41866*100)</f>
        <v>4.0899164408277192E-2</v>
      </c>
      <c r="F84" s="41">
        <f>IF(OR(5302814.4312="",1131.25214="",1224.2745=""),"-",(1224.2745-1131.25214)/5302814.4312*100)</f>
        <v>1.7542073404018671E-3</v>
      </c>
      <c r="G84" s="41">
        <f>IF(OR(4848686.17434="",2625.54248="",1224.2745=""),"-",(2625.54248-1224.2745)/4848686.17434*100)</f>
        <v>2.8899952061565207E-2</v>
      </c>
    </row>
    <row r="85" spans="1:7" s="7" customFormat="1" x14ac:dyDescent="0.25">
      <c r="A85" s="40" t="s">
        <v>354</v>
      </c>
      <c r="B85" s="27">
        <v>2602.89021</v>
      </c>
      <c r="C85" s="41">
        <f>IF(OR(2080.05143="",2602.89021=""),"-",2602.89021/2080.05143*100)</f>
        <v>125.13585829942677</v>
      </c>
      <c r="D85" s="41">
        <f>IF(2080.05143="","-",2080.05143/4848686.17434*100)</f>
        <v>4.2899279417338967E-2</v>
      </c>
      <c r="E85" s="41">
        <f>IF(2602.89021="","-",2602.89021/6419550.41866*100)</f>
        <v>4.0546300601270457E-2</v>
      </c>
      <c r="F85" s="41">
        <f>IF(OR(5302814.4312="",2368.9057="",2080.05143=""),"-",(2080.05143-2368.9057)/5302814.4312*100)</f>
        <v>-5.4471879743797393E-3</v>
      </c>
      <c r="G85" s="41">
        <f>IF(OR(4848686.17434="",2602.89021="",2080.05143=""),"-",(2602.89021-2080.05143)/4848686.17434*100)</f>
        <v>1.0783102085817472E-2</v>
      </c>
    </row>
    <row r="86" spans="1:7" s="7" customFormat="1" x14ac:dyDescent="0.25">
      <c r="A86" s="40" t="s">
        <v>93</v>
      </c>
      <c r="B86" s="27">
        <v>2078.42443</v>
      </c>
      <c r="C86" s="41" t="s">
        <v>95</v>
      </c>
      <c r="D86" s="41">
        <f>IF(1001.75167="","-",1001.75167/4848686.17434*100)</f>
        <v>2.0660270307891349E-2</v>
      </c>
      <c r="E86" s="41">
        <f>IF(2078.42443="","-",2078.42443/6419550.41866*100)</f>
        <v>3.2376479573375555E-2</v>
      </c>
      <c r="F86" s="41">
        <f>IF(OR(5302814.4312="",828.87496="",1001.75167=""),"-",(1001.75167-828.87496)/5302814.4312*100)</f>
        <v>3.2600935266158064E-3</v>
      </c>
      <c r="G86" s="41">
        <f>IF(OR(4848686.17434="",2078.42443="",1001.75167=""),"-",(2078.42443-1001.75167)/4848686.17434*100)</f>
        <v>2.2205453627787239E-2</v>
      </c>
    </row>
    <row r="87" spans="1:7" s="7" customFormat="1" x14ac:dyDescent="0.25">
      <c r="A87" s="40" t="s">
        <v>410</v>
      </c>
      <c r="B87" s="27">
        <v>2000.4661599999999</v>
      </c>
      <c r="C87" s="41">
        <f>IF(OR(1825.22889="",2000.46616=""),"-",2000.46616/1825.22889*100)</f>
        <v>109.6008380625621</v>
      </c>
      <c r="D87" s="41">
        <f>IF(1825.22889="","-",1825.22889/4848686.17434*100)</f>
        <v>3.7643782756231876E-2</v>
      </c>
      <c r="E87" s="41">
        <f>IF(2000.46616="","-",2000.46616/6419550.41866*100)</f>
        <v>3.1162091260863903E-2</v>
      </c>
      <c r="F87" s="41">
        <f>IF(OR(5302814.4312="",2471.29859="",1825.22889=""),"-",(1825.22889-2471.29859)/5302814.4312*100)</f>
        <v>-1.218352458646752E-2</v>
      </c>
      <c r="G87" s="41">
        <f>IF(OR(4848686.17434="",2000.46616="",1825.22889=""),"-",(2000.46616-1825.22889)/4848686.17434*100)</f>
        <v>3.6141186230485012E-3</v>
      </c>
    </row>
    <row r="88" spans="1:7" s="7" customFormat="1" x14ac:dyDescent="0.25">
      <c r="A88" s="40" t="s">
        <v>86</v>
      </c>
      <c r="B88" s="27">
        <v>1923.2329199999999</v>
      </c>
      <c r="C88" s="41">
        <f>IF(OR(3538.98323="",1923.23292=""),"-",1923.23292/3538.98323*100)</f>
        <v>54.34422247883893</v>
      </c>
      <c r="D88" s="41">
        <f>IF(3538.98323="","-",3538.98323/4848686.17434*100)</f>
        <v>7.2988498383930234E-2</v>
      </c>
      <c r="E88" s="41">
        <f>IF(1923.23292="","-",1923.23292/6419550.41866*100)</f>
        <v>2.9958997041438465E-2</v>
      </c>
      <c r="F88" s="41">
        <f>IF(OR(5302814.4312="",3754.07111="",3538.98323=""),"-",(3538.98323-3754.07111)/5302814.4312*100)</f>
        <v>-4.0561079930403433E-3</v>
      </c>
      <c r="G88" s="41">
        <f>IF(OR(4848686.17434="",1923.23292="",3538.98323=""),"-",(1923.23292-3538.98323)/4848686.17434*100)</f>
        <v>-3.3323466438203435E-2</v>
      </c>
    </row>
    <row r="89" spans="1:7" x14ac:dyDescent="0.25">
      <c r="A89" s="40" t="s">
        <v>38</v>
      </c>
      <c r="B89" s="27">
        <v>1871.2728199999999</v>
      </c>
      <c r="C89" s="41">
        <f>IF(OR(2194.2364="",1871.27282=""),"-",1871.27282/2194.2364*100)</f>
        <v>85.281276894321877</v>
      </c>
      <c r="D89" s="41">
        <f>IF(2194.2364="","-",2194.2364/4848686.17434*100)</f>
        <v>4.5254246637207396E-2</v>
      </c>
      <c r="E89" s="41">
        <f>IF(1871.27282="","-",1871.27282/6419550.41866*100)</f>
        <v>2.914959300826871E-2</v>
      </c>
      <c r="F89" s="41">
        <f>IF(OR(5302814.4312="",3149.93387="",2194.2364=""),"-",(2194.2364-3149.93387)/5302814.4312*100)</f>
        <v>-1.8022457364847491E-2</v>
      </c>
      <c r="G89" s="41">
        <f>IF(OR(4848686.17434="",1871.27282="",2194.2364=""),"-",(1871.27282-2194.2364)/4848686.17434*100)</f>
        <v>-6.6608472560912126E-3</v>
      </c>
    </row>
    <row r="90" spans="1:7" x14ac:dyDescent="0.25">
      <c r="A90" s="40" t="s">
        <v>97</v>
      </c>
      <c r="B90" s="27">
        <v>1741.5642399999999</v>
      </c>
      <c r="C90" s="41">
        <f>IF(OR(1184.84573="",1741.56424=""),"-",1741.56424/1184.84573*100)</f>
        <v>146.98658195780473</v>
      </c>
      <c r="D90" s="41">
        <f>IF(1184.84573="","-",1184.84573/4848686.17434*100)</f>
        <v>2.4436428496246828E-2</v>
      </c>
      <c r="E90" s="41">
        <f>IF(1741.56424="","-",1741.56424/6419550.41866*100)</f>
        <v>2.7129068648447961E-2</v>
      </c>
      <c r="F90" s="41">
        <f>IF(OR(5302814.4312="",953.56773="",1184.84573=""),"-",(1184.84573-953.56773)/5302814.4312*100)</f>
        <v>4.3614198271626665E-3</v>
      </c>
      <c r="G90" s="41">
        <f>IF(OR(4848686.17434="",1741.56424="",1184.84573=""),"-",(1741.56424-1184.84573)/4848686.17434*100)</f>
        <v>1.1481842502949369E-2</v>
      </c>
    </row>
    <row r="91" spans="1:7" x14ac:dyDescent="0.25">
      <c r="A91" s="40" t="s">
        <v>411</v>
      </c>
      <c r="B91" s="27">
        <v>1380.4565600000001</v>
      </c>
      <c r="C91" s="41" t="s">
        <v>20</v>
      </c>
      <c r="D91" s="41">
        <f>IF(696.43613="","-",696.43613/4848686.17434*100)</f>
        <v>1.4363398763270101E-2</v>
      </c>
      <c r="E91" s="41">
        <f>IF(1380.45656="","-",1380.45656/6419550.41866*100)</f>
        <v>2.1503944512802079E-2</v>
      </c>
      <c r="F91" s="41">
        <f>IF(OR(5302814.4312="",846.75754="",696.43613=""),"-",(696.43613-846.75754)/5302814.4312*100)</f>
        <v>-2.8347476976670841E-3</v>
      </c>
      <c r="G91" s="41">
        <f>IF(OR(4848686.17434="",1380.45656="",696.43613=""),"-",(1380.45656-696.43613)/4848686.17434*100)</f>
        <v>1.41073355833987E-2</v>
      </c>
    </row>
    <row r="92" spans="1:7" x14ac:dyDescent="0.25">
      <c r="A92" s="40" t="s">
        <v>147</v>
      </c>
      <c r="B92" s="27">
        <v>1312.5896700000001</v>
      </c>
      <c r="C92" s="41">
        <f>IF(OR(1008.70258="",1312.58967=""),"-",1312.58967/1008.70258*100)</f>
        <v>130.12653045856192</v>
      </c>
      <c r="D92" s="41">
        <f>IF(1008.70258="","-",1008.70258/4848686.17434*100)</f>
        <v>2.0803626873981049E-2</v>
      </c>
      <c r="E92" s="41">
        <f>IF(1312.58967="","-",1312.58967/6419550.41866*100)</f>
        <v>2.0446753812924903E-2</v>
      </c>
      <c r="F92" s="41">
        <f>IF(OR(5302814.4312="",965.23069="",1008.70258=""),"-",(1008.70258-965.23069)/5302814.4312*100)</f>
        <v>8.1978901136396285E-4</v>
      </c>
      <c r="G92" s="41">
        <f>IF(OR(4848686.17434="",1312.58967="",1008.70258=""),"-",(1312.58967-1008.70258)/4848686.17434*100)</f>
        <v>6.2674109866754776E-3</v>
      </c>
    </row>
    <row r="93" spans="1:7" x14ac:dyDescent="0.25">
      <c r="A93" s="40" t="s">
        <v>67</v>
      </c>
      <c r="B93" s="27">
        <v>1238.8226400000001</v>
      </c>
      <c r="C93" s="41">
        <f>IF(OR(1360.84376="",1238.82264=""),"-",1238.82264/1360.84376*100)</f>
        <v>91.033421794137496</v>
      </c>
      <c r="D93" s="41">
        <f>IF(1360.84376="","-",1360.84376/4848686.17434*100)</f>
        <v>2.8066237142791304E-2</v>
      </c>
      <c r="E93" s="41">
        <f>IF(1238.82264="","-",1238.82264/6419550.41866*100)</f>
        <v>1.9297654184614828E-2</v>
      </c>
      <c r="F93" s="41">
        <f>IF(OR(5302814.4312="",1735.19737="",1360.84376=""),"-",(1360.84376-1735.19737)/5302814.4312*100)</f>
        <v>-7.0595268768491627E-3</v>
      </c>
      <c r="G93" s="41">
        <f>IF(OR(4848686.17434="",1238.82264="",1360.84376=""),"-",(1238.82264-1360.84376)/4848686.17434*100)</f>
        <v>-2.5165811028512136E-3</v>
      </c>
    </row>
    <row r="94" spans="1:7" x14ac:dyDescent="0.25">
      <c r="A94" s="40" t="s">
        <v>64</v>
      </c>
      <c r="B94" s="27">
        <v>1017.08888</v>
      </c>
      <c r="C94" s="41">
        <f>IF(OR(1145.7426="",1017.08888=""),"-",1017.08888/1145.7426*100)</f>
        <v>88.771149820212671</v>
      </c>
      <c r="D94" s="41">
        <f>IF(1145.7426="","-",1145.7426/4848686.17434*100)</f>
        <v>2.3629959927360274E-2</v>
      </c>
      <c r="E94" s="41">
        <f>IF(1017.08888="","-",1017.08888/6419550.41866*100)</f>
        <v>1.5843615419602927E-2</v>
      </c>
      <c r="F94" s="41">
        <f>IF(OR(5302814.4312="",678.24416="",1145.7426=""),"-",(1145.7426-678.24416)/5302814.4312*100)</f>
        <v>8.8160437455513142E-3</v>
      </c>
      <c r="G94" s="41">
        <f>IF(OR(4848686.17434="",1017.08888="",1145.7426=""),"-",(1017.08888-1145.7426)/4848686.17434*100)</f>
        <v>-2.6533727977870679E-3</v>
      </c>
    </row>
    <row r="95" spans="1:7" x14ac:dyDescent="0.25">
      <c r="A95" s="40" t="s">
        <v>122</v>
      </c>
      <c r="B95" s="27">
        <v>982.29289000000006</v>
      </c>
      <c r="C95" s="41" t="s">
        <v>392</v>
      </c>
      <c r="D95" s="41">
        <f>IF(42.43383="","-",42.43383/4848686.17434*100)</f>
        <v>8.7516140402252502E-4</v>
      </c>
      <c r="E95" s="41">
        <f>IF(982.29289="","-",982.29289/6419550.41866*100)</f>
        <v>1.5301583848375495E-2</v>
      </c>
      <c r="F95" s="41">
        <f>IF(OR(5302814.4312="",11.8343="",42.43383=""),"-",(42.43383-11.8343)/5302814.4312*100)</f>
        <v>5.7704319841860811E-4</v>
      </c>
      <c r="G95" s="41">
        <f>IF(OR(4848686.17434="",982.29289="",42.43383=""),"-",(982.29289-42.43383)/4848686.17434*100)</f>
        <v>1.9383788230590795E-2</v>
      </c>
    </row>
    <row r="96" spans="1:7" x14ac:dyDescent="0.25">
      <c r="A96" s="40" t="s">
        <v>131</v>
      </c>
      <c r="B96" s="27">
        <v>936.59780999999998</v>
      </c>
      <c r="C96" s="41">
        <f>IF(OR(1465.1285="",936.59781=""),"-",936.59781/1465.1285*100)</f>
        <v>63.92598396659406</v>
      </c>
      <c r="D96" s="41">
        <f>IF(1465.1285="","-",1465.1285/4848686.17434*100)</f>
        <v>3.0217020597325672E-2</v>
      </c>
      <c r="E96" s="41">
        <f>IF(936.59781="","-",936.59781/6419550.41866*100)</f>
        <v>1.4589772630767855E-2</v>
      </c>
      <c r="F96" s="41">
        <f>IF(OR(5302814.4312="",275.70553="",1465.1285=""),"-",(1465.1285-275.70553)/5302814.4312*100)</f>
        <v>2.2430031927985827E-2</v>
      </c>
      <c r="G96" s="41">
        <f>IF(OR(4848686.17434="",936.59781="",1465.1285=""),"-",(936.59781-1465.1285)/4848686.17434*100)</f>
        <v>-1.090049285509684E-2</v>
      </c>
    </row>
    <row r="97" spans="1:7" x14ac:dyDescent="0.25">
      <c r="A97" s="40" t="s">
        <v>102</v>
      </c>
      <c r="B97" s="27">
        <v>753.45992000000001</v>
      </c>
      <c r="C97" s="41">
        <f>IF(OR(532.55508="",753.45992=""),"-",753.45992/532.55508*100)</f>
        <v>141.48018642503609</v>
      </c>
      <c r="D97" s="41">
        <f>IF(532.55508="","-",532.55508/4848686.17434*100)</f>
        <v>1.0983492452416577E-2</v>
      </c>
      <c r="E97" s="41">
        <f>IF(753.45992="","-",753.45992/6419550.41866*100)</f>
        <v>1.1736957744110611E-2</v>
      </c>
      <c r="F97" s="41">
        <f>IF(OR(5302814.4312="",413.81226="",532.55508=""),"-",(532.55508-413.81226)/5302814.4312*100)</f>
        <v>2.2392414733835801E-3</v>
      </c>
      <c r="G97" s="41">
        <f>IF(OR(4848686.17434="",753.45992="",532.55508=""),"-",(753.45992-532.55508)/4848686.17434*100)</f>
        <v>4.5559731452421634E-3</v>
      </c>
    </row>
    <row r="98" spans="1:7" x14ac:dyDescent="0.25">
      <c r="A98" s="40" t="s">
        <v>98</v>
      </c>
      <c r="B98" s="27">
        <v>672.68912999999998</v>
      </c>
      <c r="C98" s="41" t="s">
        <v>105</v>
      </c>
      <c r="D98" s="41">
        <f>IF(353.1186="","-",353.1186/4848686.17434*100)</f>
        <v>7.2827687192616921E-3</v>
      </c>
      <c r="E98" s="41">
        <f>IF(672.68913="","-",672.68913/6419550.41866*100)</f>
        <v>1.0478757640794655E-2</v>
      </c>
      <c r="F98" s="41">
        <f>IF(OR(5302814.4312="",745.88363="",353.1186=""),"-",(353.1186-745.88363)/5302814.4312*100)</f>
        <v>-7.4067277875895657E-3</v>
      </c>
      <c r="G98" s="41">
        <f>IF(OR(4848686.17434="",672.68913="",353.1186=""),"-",(672.68913-353.1186)/4848686.17434*100)</f>
        <v>6.5908685056008942E-3</v>
      </c>
    </row>
    <row r="99" spans="1:7" x14ac:dyDescent="0.25">
      <c r="A99" s="40" t="s">
        <v>124</v>
      </c>
      <c r="B99" s="27">
        <v>619.17562999999996</v>
      </c>
      <c r="C99" s="41" t="s">
        <v>218</v>
      </c>
      <c r="D99" s="41">
        <f>IF(266.80648="","-",266.80648/4848686.17434*100)</f>
        <v>5.5026551607316081E-3</v>
      </c>
      <c r="E99" s="41">
        <f>IF(619.17563="","-",619.17563/6419550.41866*100)</f>
        <v>9.6451556514022211E-3</v>
      </c>
      <c r="F99" s="41">
        <f>IF(OR(5302814.4312="",216.44155="",266.80648=""),"-",(266.80648-216.44155)/5302814.4312*100)</f>
        <v>9.4977734283269437E-4</v>
      </c>
      <c r="G99" s="41">
        <f>IF(OR(4848686.17434="",619.17563="",266.80648=""),"-",(619.17563-266.80648)/4848686.17434*100)</f>
        <v>7.267311954829994E-3</v>
      </c>
    </row>
    <row r="100" spans="1:7" x14ac:dyDescent="0.25">
      <c r="A100" s="40" t="s">
        <v>101</v>
      </c>
      <c r="B100" s="27">
        <v>597.96427000000006</v>
      </c>
      <c r="C100" s="41">
        <f>IF(OR(608.12065="",597.96427=""),"-",597.96427/608.12065*100)</f>
        <v>98.329874178750572</v>
      </c>
      <c r="D100" s="41">
        <f>IF(608.12065="","-",608.12065/4848686.17434*100)</f>
        <v>1.2541967620388979E-2</v>
      </c>
      <c r="E100" s="41">
        <f>IF(597.96427="","-",597.96427/6419550.41866*100)</f>
        <v>9.3147374972220795E-3</v>
      </c>
      <c r="F100" s="41">
        <f>IF(OR(5302814.4312="",1279.94603="",608.12065=""),"-",(608.12065-1279.94603)/5302814.4312*100)</f>
        <v>-1.2669222895057435E-2</v>
      </c>
      <c r="G100" s="41">
        <f>IF(OR(4848686.17434="",597.96427="",608.12065=""),"-",(597.96427-608.12065)/4848686.17434*100)</f>
        <v>-2.0946663972085959E-4</v>
      </c>
    </row>
    <row r="101" spans="1:7" x14ac:dyDescent="0.25">
      <c r="A101" s="40" t="s">
        <v>216</v>
      </c>
      <c r="B101" s="27">
        <v>580.39819</v>
      </c>
      <c r="C101" s="41" t="s">
        <v>316</v>
      </c>
      <c r="D101" s="41">
        <f>IF(194.4284="","-",194.4284/4848686.17434*100)</f>
        <v>4.0099192442881806E-3</v>
      </c>
      <c r="E101" s="41">
        <f>IF(580.39819="","-",580.39819/6419550.41866*100)</f>
        <v>9.0411033818338753E-3</v>
      </c>
      <c r="F101" s="41" t="str">
        <f>IF(OR(5302814.4312="",""="",194.4284=""),"-",(194.4284-"")/5302814.4312*100)</f>
        <v>-</v>
      </c>
      <c r="G101" s="41">
        <f>IF(OR(4848686.17434="",580.39819="",194.4284=""),"-",(580.39819-194.4284)/4848686.17434*100)</f>
        <v>7.9602963797205939E-3</v>
      </c>
    </row>
    <row r="102" spans="1:7" x14ac:dyDescent="0.25">
      <c r="A102" s="40" t="s">
        <v>92</v>
      </c>
      <c r="B102" s="27">
        <v>562.85902999999996</v>
      </c>
      <c r="C102" s="41">
        <f>IF(OR(579.60837="",562.85903=""),"-",562.85903/579.60837*100)</f>
        <v>97.110231517188055</v>
      </c>
      <c r="D102" s="41">
        <f>IF(579.60837="","-",579.60837/4848686.17434*100)</f>
        <v>1.1953926262899371E-2</v>
      </c>
      <c r="E102" s="41">
        <f>IF(562.85903="","-",562.85903/6419550.41866*100)</f>
        <v>8.7678886104533421E-3</v>
      </c>
      <c r="F102" s="41">
        <f>IF(OR(5302814.4312="",735.64911="",579.60837=""),"-",(579.60837-735.64911)/5302814.4312*100)</f>
        <v>-2.9426023109899524E-3</v>
      </c>
      <c r="G102" s="41">
        <f>IF(OR(4848686.17434="",562.85903="",579.60837=""),"-",(562.85903-579.60837)/4848686.17434*100)</f>
        <v>-3.4544079360384635E-4</v>
      </c>
    </row>
    <row r="103" spans="1:7" x14ac:dyDescent="0.25">
      <c r="A103" s="40" t="s">
        <v>222</v>
      </c>
      <c r="B103" s="27">
        <v>535.83250999999996</v>
      </c>
      <c r="C103" s="41" t="s">
        <v>313</v>
      </c>
      <c r="D103" s="41">
        <f>IF(127.47689="","-",127.47689/4848686.17434*100)</f>
        <v>2.6291016868575136E-3</v>
      </c>
      <c r="E103" s="41">
        <f>IF(535.83251="","-",535.83251/6419550.41866*100)</f>
        <v>8.3468852965539637E-3</v>
      </c>
      <c r="F103" s="41">
        <f>IF(OR(5302814.4312="",152.5251="",127.47689=""),"-",(127.47689-152.5251)/5302814.4312*100)</f>
        <v>-4.7235690264069315E-4</v>
      </c>
      <c r="G103" s="41">
        <f>IF(OR(4848686.17434="",535.83251="",127.47689=""),"-",(535.83251-127.47689)/4848686.17434*100)</f>
        <v>8.4219849525647011E-3</v>
      </c>
    </row>
    <row r="104" spans="1:7" x14ac:dyDescent="0.25">
      <c r="A104" s="40" t="s">
        <v>107</v>
      </c>
      <c r="B104" s="27">
        <v>485.88168999999999</v>
      </c>
      <c r="C104" s="41" t="s">
        <v>105</v>
      </c>
      <c r="D104" s="41">
        <f>IF(253.72402="","-",253.72402/4848686.17434*100)</f>
        <v>5.2328406268639712E-3</v>
      </c>
      <c r="E104" s="41">
        <f>IF(485.88169="","-",485.88169/6419550.41866*100)</f>
        <v>7.5687806514871427E-3</v>
      </c>
      <c r="F104" s="41">
        <f>IF(OR(5302814.4312="",273.72948="",253.72402=""),"-",(253.72402-273.72948)/5302814.4312*100)</f>
        <v>-3.7726117441135671E-4</v>
      </c>
      <c r="G104" s="41">
        <f>IF(OR(4848686.17434="",485.88169="",253.72402=""),"-",(485.88169-253.72402)/4848686.17434*100)</f>
        <v>4.788053127228865E-3</v>
      </c>
    </row>
    <row r="105" spans="1:7" x14ac:dyDescent="0.25">
      <c r="A105" s="40" t="s">
        <v>94</v>
      </c>
      <c r="B105" s="27">
        <v>398.06572</v>
      </c>
      <c r="C105" s="41">
        <f>IF(OR(533.6977="",398.06572=""),"-",398.06572/533.6977*100)</f>
        <v>74.586366027059881</v>
      </c>
      <c r="D105" s="41">
        <f>IF(533.6977="","-",533.6977/4848686.17434*100)</f>
        <v>1.1007058011393088E-2</v>
      </c>
      <c r="E105" s="41">
        <f>IF(398.06572="","-",398.06572/6419550.41866*100)</f>
        <v>6.2008348566423626E-3</v>
      </c>
      <c r="F105" s="41">
        <f>IF(OR(5302814.4312="",385.09815="",533.6977=""),"-",(533.6977-385.09815)/5302814.4312*100)</f>
        <v>2.8022770158746199E-3</v>
      </c>
      <c r="G105" s="41">
        <f>IF(OR(4848686.17434="",398.06572="",533.6977=""),"-",(398.06572-533.6977)/4848686.17434*100)</f>
        <v>-2.7972934342046208E-3</v>
      </c>
    </row>
    <row r="106" spans="1:7" x14ac:dyDescent="0.25">
      <c r="A106" s="40" t="s">
        <v>331</v>
      </c>
      <c r="B106" s="27">
        <v>343.42907000000002</v>
      </c>
      <c r="C106" s="41" t="s">
        <v>393</v>
      </c>
      <c r="D106" s="41">
        <f>IF(20.65373="","-",20.65373/4848686.17434*100)</f>
        <v>4.2596549368987299E-4</v>
      </c>
      <c r="E106" s="41">
        <f>IF(343.42907="","-",343.42907/6419550.41866*100)</f>
        <v>5.3497370937649943E-3</v>
      </c>
      <c r="F106" s="41">
        <f>IF(OR(5302814.4312="",39.74595="",20.65373=""),"-",(20.65373-39.74595)/5302814.4312*100)</f>
        <v>-3.600393762162921E-4</v>
      </c>
      <c r="G106" s="41">
        <f>IF(OR(4848686.17434="",343.42907="",20.65373=""),"-",(343.42907-20.65373)/4848686.17434*100)</f>
        <v>6.6569649672972697E-3</v>
      </c>
    </row>
    <row r="107" spans="1:7" x14ac:dyDescent="0.25">
      <c r="A107" s="40" t="s">
        <v>334</v>
      </c>
      <c r="B107" s="27">
        <v>316.37398999999999</v>
      </c>
      <c r="C107" s="41" t="s">
        <v>394</v>
      </c>
      <c r="D107" s="41">
        <f>IF(0.05749="","-",0.05749/4848686.17434*100)</f>
        <v>1.1856820163830358E-6</v>
      </c>
      <c r="E107" s="41">
        <f>IF(316.37399="","-",316.37399/6419550.41866*100)</f>
        <v>4.9282888888975973E-3</v>
      </c>
      <c r="F107" s="41" t="str">
        <f>IF(OR(5302814.4312="",""="",0.05749=""),"-",(0.05749-"")/5302814.4312*100)</f>
        <v>-</v>
      </c>
      <c r="G107" s="41">
        <f>IF(OR(4848686.17434="",316.37399="",0.05749=""),"-",(316.37399-0.05749)/4848686.17434*100)</f>
        <v>6.5237569235558294E-3</v>
      </c>
    </row>
    <row r="108" spans="1:7" x14ac:dyDescent="0.25">
      <c r="A108" s="40" t="s">
        <v>135</v>
      </c>
      <c r="B108" s="27">
        <v>305.90733</v>
      </c>
      <c r="C108" s="41" t="s">
        <v>208</v>
      </c>
      <c r="D108" s="41">
        <f>IF(138.86556="","-",138.86556/4848686.17434*100)</f>
        <v>2.8639832525127751E-3</v>
      </c>
      <c r="E108" s="41">
        <f>IF(305.90733="","-",305.90733/6419550.41866*100)</f>
        <v>4.765245384019498E-3</v>
      </c>
      <c r="F108" s="41">
        <f>IF(OR(5302814.4312="",74.32264="",138.86556=""),"-",(138.86556-74.32264)/5302814.4312*100)</f>
        <v>1.2171446094785226E-3</v>
      </c>
      <c r="G108" s="41">
        <f>IF(OR(4848686.17434="",305.90733="",138.86556=""),"-",(305.90733-138.86556)/4848686.17434*100)</f>
        <v>3.445093454057946E-3</v>
      </c>
    </row>
    <row r="109" spans="1:7" x14ac:dyDescent="0.25">
      <c r="A109" s="40" t="s">
        <v>90</v>
      </c>
      <c r="B109" s="27">
        <v>262.58596</v>
      </c>
      <c r="C109" s="41">
        <f>IF(OR(485.54444="",262.58596=""),"-",262.58596/485.54444*100)</f>
        <v>54.08072636976339</v>
      </c>
      <c r="D109" s="41">
        <f>IF(485.54444="","-",485.54444/4848686.17434*100)</f>
        <v>1.0013938261658932E-2</v>
      </c>
      <c r="E109" s="41">
        <f>IF(262.58596="","-",262.58596/6419550.41866*100)</f>
        <v>4.0904104318073339E-3</v>
      </c>
      <c r="F109" s="41">
        <f>IF(OR(5302814.4312="",457.07598="",485.54444=""),"-",(485.54444-457.07598)/5302814.4312*100)</f>
        <v>5.3685567106593474E-4</v>
      </c>
      <c r="G109" s="41">
        <f>IF(OR(4848686.17434="",262.58596="",485.54444=""),"-",(262.58596-485.54444)/4848686.17434*100)</f>
        <v>-4.5983277115341243E-3</v>
      </c>
    </row>
    <row r="110" spans="1:7" x14ac:dyDescent="0.25">
      <c r="A110" s="40" t="s">
        <v>60</v>
      </c>
      <c r="B110" s="27">
        <v>210.69828000000001</v>
      </c>
      <c r="C110" s="41" t="s">
        <v>105</v>
      </c>
      <c r="D110" s="41">
        <f>IF(110.14489="","-",110.14489/4848686.17434*100)</f>
        <v>2.2716440297353923E-3</v>
      </c>
      <c r="E110" s="41">
        <f>IF(210.69828="","-",210.69828/6419550.41866*100)</f>
        <v>3.2821345150207673E-3</v>
      </c>
      <c r="F110" s="41">
        <f>IF(OR(5302814.4312="",308.11923="",110.14489=""),"-",(110.14489-308.11923)/5302814.4312*100)</f>
        <v>-3.733382387193953E-3</v>
      </c>
      <c r="G110" s="41">
        <f>IF(OR(4848686.17434="",210.69828="",110.14489=""),"-",(210.69828-110.14489)/4848686.17434*100)</f>
        <v>2.0738275562593462E-3</v>
      </c>
    </row>
    <row r="111" spans="1:7" x14ac:dyDescent="0.25">
      <c r="A111" s="40" t="s">
        <v>134</v>
      </c>
      <c r="B111" s="27">
        <v>193.30595</v>
      </c>
      <c r="C111" s="41">
        <f>IF(OR(213.54397="",193.30595=""),"-",193.30595/213.54397*100)</f>
        <v>90.522785541544437</v>
      </c>
      <c r="D111" s="41">
        <f>IF(213.54397="","-",213.54397/4848686.17434*100)</f>
        <v>4.4041615052363633E-3</v>
      </c>
      <c r="E111" s="41">
        <f>IF(193.30595="","-",193.30595/6419550.41866*100)</f>
        <v>3.0112069754621566E-3</v>
      </c>
      <c r="F111" s="41">
        <f>IF(OR(5302814.4312="",343.15721="",213.54397=""),"-",(213.54397-343.15721)/5302814.4312*100)</f>
        <v>-2.4442348809605467E-3</v>
      </c>
      <c r="G111" s="41">
        <f>IF(OR(4848686.17434="",193.30595="",213.54397=""),"-",(193.30595-213.54397)/4848686.17434*100)</f>
        <v>-4.1739183094799469E-4</v>
      </c>
    </row>
    <row r="112" spans="1:7" x14ac:dyDescent="0.25">
      <c r="A112" s="40" t="s">
        <v>111</v>
      </c>
      <c r="B112" s="27">
        <v>179.24366000000001</v>
      </c>
      <c r="C112" s="41">
        <f>IF(OR(510.06298="",179.24366=""),"-",179.24366/510.06298*100)</f>
        <v>35.14147605850556</v>
      </c>
      <c r="D112" s="41">
        <f>IF(510.06298="","-",510.06298/4848686.17434*100)</f>
        <v>1.051961215183058E-2</v>
      </c>
      <c r="E112" s="41">
        <f>IF(179.24366="","-",179.24366/6419550.41866*100)</f>
        <v>2.7921528504392503E-3</v>
      </c>
      <c r="F112" s="41">
        <f>IF(OR(5302814.4312="",453.80553="",510.06298=""),"-",(510.06298-453.80553)/5302814.4312*100)</f>
        <v>1.0608979576769619E-3</v>
      </c>
      <c r="G112" s="41">
        <f>IF(OR(4848686.17434="",179.24366="",510.06298=""),"-",(179.24366-510.06298)/4848686.17434*100)</f>
        <v>-6.8228651660473955E-3</v>
      </c>
    </row>
    <row r="113" spans="1:7" x14ac:dyDescent="0.25">
      <c r="A113" s="40" t="s">
        <v>140</v>
      </c>
      <c r="B113" s="27">
        <v>166.99974</v>
      </c>
      <c r="C113" s="41">
        <f>IF(OR(118.78903="",166.99974=""),"-",166.99974/118.78903*100)</f>
        <v>140.58515335969997</v>
      </c>
      <c r="D113" s="41">
        <f>IF(118.78903="","-",118.78903/4848686.17434*100)</f>
        <v>2.4499220145170453E-3</v>
      </c>
      <c r="E113" s="41">
        <f>IF(166.99974="","-",166.99974/6419550.41866*100)</f>
        <v>2.6014242292509183E-3</v>
      </c>
      <c r="F113" s="41">
        <f>IF(OR(5302814.4312="",136.59589="",118.78903=""),"-",(118.78903-136.59589)/5302814.4312*100)</f>
        <v>-3.3580017236187535E-4</v>
      </c>
      <c r="G113" s="41">
        <f>IF(OR(4848686.17434="",166.99974="",118.78903=""),"-",(166.99974-118.78903)/4848686.17434*100)</f>
        <v>9.9430460678479396E-4</v>
      </c>
    </row>
    <row r="114" spans="1:7" x14ac:dyDescent="0.25">
      <c r="A114" s="40" t="s">
        <v>327</v>
      </c>
      <c r="B114" s="27">
        <v>157.72429</v>
      </c>
      <c r="C114" s="41">
        <f>IF(OR(358.25169="",157.72429=""),"-",157.72429/358.25169*100)</f>
        <v>44.026111921481792</v>
      </c>
      <c r="D114" s="41">
        <f>IF(358.25169="","-",358.25169/4848686.17434*100)</f>
        <v>7.3886343046065447E-3</v>
      </c>
      <c r="E114" s="41">
        <f>IF(157.72429="","-",157.72429/6419550.41866*100)</f>
        <v>2.4569366967122125E-3</v>
      </c>
      <c r="F114" s="41">
        <f>IF(OR(5302814.4312="",933.35531="",358.25169=""),"-",(358.25169-933.35531)/5302814.4312*100)</f>
        <v>-1.0845252600511179E-2</v>
      </c>
      <c r="G114" s="41">
        <f>IF(OR(4848686.17434="",157.72429="",358.25169=""),"-",(157.72429-358.25169)/4848686.17434*100)</f>
        <v>-4.1357058961914699E-3</v>
      </c>
    </row>
    <row r="115" spans="1:7" x14ac:dyDescent="0.25">
      <c r="A115" s="40" t="s">
        <v>343</v>
      </c>
      <c r="B115" s="27">
        <v>126.63216</v>
      </c>
      <c r="C115" s="41" t="s">
        <v>209</v>
      </c>
      <c r="D115" s="41">
        <f>IF(70.42031="","-",70.42031/4848686.17434*100)</f>
        <v>1.4523585867997645E-3</v>
      </c>
      <c r="E115" s="41">
        <f>IF(126.63216="","-",126.63216/6419550.41866*100)</f>
        <v>1.972601689238432E-3</v>
      </c>
      <c r="F115" s="41">
        <f>IF(OR(5302814.4312="",63.72345="",70.42031=""),"-",(70.42031-63.72345)/5302814.4312*100)</f>
        <v>1.2628878658468414E-4</v>
      </c>
      <c r="G115" s="41">
        <f>IF(OR(4848686.17434="",126.63216="",70.42031=""),"-",(126.63216-70.42031)/4848686.17434*100)</f>
        <v>1.1593212672224866E-3</v>
      </c>
    </row>
    <row r="116" spans="1:7" x14ac:dyDescent="0.25">
      <c r="A116" s="40" t="s">
        <v>221</v>
      </c>
      <c r="B116" s="27">
        <v>118.96211</v>
      </c>
      <c r="C116" s="41" t="s">
        <v>395</v>
      </c>
      <c r="D116" s="41">
        <f>IF(1.12235="","-",1.12235/4848686.17434*100)</f>
        <v>2.3147507585449648E-5</v>
      </c>
      <c r="E116" s="41">
        <f>IF(118.96211="","-",118.96211/6419550.41866*100)</f>
        <v>1.8531221384944247E-3</v>
      </c>
      <c r="F116" s="41" t="str">
        <f>IF(OR(5302814.4312="",""="",1.12235=""),"-",(1.12235-"")/5302814.4312*100)</f>
        <v>-</v>
      </c>
      <c r="G116" s="41">
        <f>IF(OR(4848686.17434="",118.96211="",1.12235=""),"-",(118.96211-1.12235)/4848686.17434*100)</f>
        <v>2.4303441337083496E-3</v>
      </c>
    </row>
    <row r="117" spans="1:7" x14ac:dyDescent="0.25">
      <c r="A117" s="40" t="s">
        <v>214</v>
      </c>
      <c r="B117" s="27">
        <v>114.88844</v>
      </c>
      <c r="C117" s="41" t="s">
        <v>362</v>
      </c>
      <c r="D117" s="41">
        <f>IF(23.77629="","-",23.77629/4848686.17434*100)</f>
        <v>4.9036561957397479E-4</v>
      </c>
      <c r="E117" s="41">
        <f>IF(114.88844="","-",114.88844/6419550.41866*100)</f>
        <v>1.7896648909563595E-3</v>
      </c>
      <c r="F117" s="41">
        <f>IF(OR(5302814.4312="",97.93581="",23.77629=""),"-",(23.77629-97.93581)/5302814.4312*100)</f>
        <v>-1.3984935916985892E-3</v>
      </c>
      <c r="G117" s="41">
        <f>IF(OR(4848686.17434="",114.88844="",23.77629=""),"-",(114.88844-23.77629)/4848686.17434*100)</f>
        <v>1.8791100666027767E-3</v>
      </c>
    </row>
    <row r="118" spans="1:7" x14ac:dyDescent="0.25">
      <c r="A118" s="40" t="s">
        <v>223</v>
      </c>
      <c r="B118" s="27">
        <v>114.07286999999999</v>
      </c>
      <c r="C118" s="41" t="s">
        <v>368</v>
      </c>
      <c r="D118" s="41">
        <f>IF(33.15317="","-",33.15317/4848686.17434*100)</f>
        <v>6.8375573934753141E-4</v>
      </c>
      <c r="E118" s="41">
        <f>IF(114.07287="","-",114.07287/6419550.41866*100)</f>
        <v>1.7769604187299346E-3</v>
      </c>
      <c r="F118" s="41">
        <f>IF(OR(5302814.4312="",17.47744="",33.15317=""),"-",(33.15317-17.47744)/5302814.4312*100)</f>
        <v>2.9561151353457151E-4</v>
      </c>
      <c r="G118" s="41">
        <f>IF(OR(4848686.17434="",114.07287="",33.15317=""),"-",(114.07287-33.15317)/4848686.17434*100)</f>
        <v>1.6688995140217487E-3</v>
      </c>
    </row>
    <row r="119" spans="1:7" x14ac:dyDescent="0.25">
      <c r="A119" s="40" t="s">
        <v>132</v>
      </c>
      <c r="B119" s="27">
        <v>107.32388</v>
      </c>
      <c r="C119" s="41">
        <f>IF(OR(103.43731="",107.32388=""),"-",107.32388/103.43731*100)</f>
        <v>103.75741596528371</v>
      </c>
      <c r="D119" s="41">
        <f>IF(103.43731="","-",103.43731/4848686.17434*100)</f>
        <v>2.133305936511344E-3</v>
      </c>
      <c r="E119" s="41">
        <f>IF(107.32388="","-",107.32388/6419550.41866*100)</f>
        <v>1.671828601704518E-3</v>
      </c>
      <c r="F119" s="41">
        <f>IF(OR(5302814.4312="",122.98221="",103.43731=""),"-",(103.43731-122.98221)/5302814.4312*100)</f>
        <v>-3.6857597514641078E-4</v>
      </c>
      <c r="G119" s="41">
        <f>IF(OR(4848686.17434="",107.32388="",103.43731=""),"-",(107.32388-103.43731)/4848686.17434*100)</f>
        <v>8.0157177846822459E-5</v>
      </c>
    </row>
    <row r="120" spans="1:7" x14ac:dyDescent="0.25">
      <c r="A120" s="40" t="s">
        <v>361</v>
      </c>
      <c r="B120" s="27">
        <v>105.19013</v>
      </c>
      <c r="C120" s="41">
        <f>IF(OR(98.7033="",105.19013=""),"-",105.19013/98.7033*100)</f>
        <v>106.57204976935928</v>
      </c>
      <c r="D120" s="41">
        <f>IF(98.7033="","-",98.7033/4848686.17434*100)</f>
        <v>2.0356710344000646E-3</v>
      </c>
      <c r="E120" s="41">
        <f>IF(105.19013="","-",105.19013/6419550.41866*100)</f>
        <v>1.6385902927756289E-3</v>
      </c>
      <c r="F120" s="41">
        <f>IF(OR(5302814.4312="",38.97204="",98.7033=""),"-",(98.7033-38.97204)/5302814.4312*100)</f>
        <v>1.1264067557891727E-3</v>
      </c>
      <c r="G120" s="41">
        <f>IF(OR(4848686.17434="",105.19013="",98.7033=""),"-",(105.19013-98.7033)/4848686.17434*100)</f>
        <v>1.3378531352120309E-4</v>
      </c>
    </row>
    <row r="121" spans="1:7" x14ac:dyDescent="0.25">
      <c r="A121" s="40" t="s">
        <v>314</v>
      </c>
      <c r="B121" s="27">
        <v>99.680949999999996</v>
      </c>
      <c r="C121" s="41">
        <f>IF(OR(71.65666="",99.68095=""),"-",99.68095/71.65666*100)</f>
        <v>139.10912118985169</v>
      </c>
      <c r="D121" s="41">
        <f>IF(71.65666="","-",71.65666/4848686.17434*100)</f>
        <v>1.4778572467572385E-3</v>
      </c>
      <c r="E121" s="41">
        <f>IF(99.68095="","-",99.68095/6419550.41866*100)</f>
        <v>1.5527715104511498E-3</v>
      </c>
      <c r="F121" s="41">
        <f>IF(OR(5302814.4312="",72.52356="",71.65666=""),"-",(71.65666-72.52356)/5302814.4312*100)</f>
        <v>-1.6347922621984455E-5</v>
      </c>
      <c r="G121" s="41">
        <f>IF(OR(4848686.17434="",99.68095="",71.65666=""),"-",(99.68095-71.65666)/4848686.17434*100)</f>
        <v>5.7797698164729417E-4</v>
      </c>
    </row>
    <row r="122" spans="1:7" x14ac:dyDescent="0.25">
      <c r="A122" s="40" t="s">
        <v>412</v>
      </c>
      <c r="B122" s="27">
        <v>92.999080000000006</v>
      </c>
      <c r="C122" s="41">
        <f>IF(OR(205.14183="",92.99908=""),"-",92.99908/205.14183*100)</f>
        <v>45.334040356371986</v>
      </c>
      <c r="D122" s="41">
        <f>IF(205.14183="","-",205.14183/4848686.17434*100)</f>
        <v>4.2308745632093575E-3</v>
      </c>
      <c r="E122" s="41">
        <f>IF(92.99908="","-",92.99908/6419550.41866*100)</f>
        <v>1.4486852495102357E-3</v>
      </c>
      <c r="F122" s="41">
        <f>IF(OR(5302814.4312="",122.78442="",205.14183=""),"-",(205.14183-122.78442)/5302814.4312*100)</f>
        <v>1.5530886676975971E-3</v>
      </c>
      <c r="G122" s="41">
        <f>IF(OR(4848686.17434="",92.99908="",205.14183=""),"-",(92.99908-205.14183)/4848686.17434*100)</f>
        <v>-2.3128481812965504E-3</v>
      </c>
    </row>
    <row r="123" spans="1:7" x14ac:dyDescent="0.25">
      <c r="A123" s="42" t="s">
        <v>207</v>
      </c>
      <c r="B123" s="92">
        <v>88.480369999999994</v>
      </c>
      <c r="C123" s="43">
        <f>IF(OR(141.35075="",88.48037=""),"-",88.48037/141.35075*100)</f>
        <v>62.596321561788656</v>
      </c>
      <c r="D123" s="43">
        <f>IF(141.35075="","-",141.35075/4848686.17434*100)</f>
        <v>2.9152381679814652E-3</v>
      </c>
      <c r="E123" s="43">
        <f>IF(88.48037="","-",88.48037/6419550.41866*100)</f>
        <v>1.3782954292688484E-3</v>
      </c>
      <c r="F123" s="43">
        <f>IF(OR(5302814.4312="",69.27033="",141.35075=""),"-",(141.35075-69.27033)/5302814.4312*100)</f>
        <v>1.3592861099551727E-3</v>
      </c>
      <c r="G123" s="43">
        <f>IF(OR(4848686.17434="",88.48037="",141.35075=""),"-",(88.48037-141.35075)/4848686.17434*100)</f>
        <v>-1.0904063100597903E-3</v>
      </c>
    </row>
    <row r="124" spans="1:7" x14ac:dyDescent="0.25">
      <c r="A124" s="70" t="s">
        <v>300</v>
      </c>
      <c r="B124" s="73"/>
      <c r="C124" s="73"/>
      <c r="D124" s="73"/>
      <c r="E124" s="73"/>
      <c r="F124" s="7"/>
      <c r="G124" s="7"/>
    </row>
    <row r="125" spans="1:7" x14ac:dyDescent="0.25">
      <c r="A125" s="102" t="s">
        <v>347</v>
      </c>
      <c r="B125" s="102"/>
      <c r="C125" s="102"/>
      <c r="D125" s="102"/>
      <c r="E125" s="102"/>
      <c r="F125" s="7"/>
      <c r="G125" s="7"/>
    </row>
    <row r="126" spans="1:7" x14ac:dyDescent="0.25">
      <c r="A126" s="7"/>
      <c r="B126" s="7"/>
      <c r="C126" s="7"/>
      <c r="D126" s="7"/>
      <c r="E126" s="7"/>
      <c r="F126" s="7"/>
      <c r="G126" s="7"/>
    </row>
  </sheetData>
  <mergeCells count="10">
    <mergeCell ref="A125:E125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9"/>
  <sheetViews>
    <sheetView workbookViewId="0">
      <selection activeCell="A45" sqref="A45"/>
    </sheetView>
  </sheetViews>
  <sheetFormatPr defaultRowHeight="15.75" x14ac:dyDescent="0.25"/>
  <cols>
    <col min="1" max="1" width="44.25" customWidth="1"/>
    <col min="2" max="2" width="14.875" customWidth="1"/>
    <col min="3" max="3" width="14.375" customWidth="1"/>
    <col min="4" max="4" width="16.25" customWidth="1"/>
  </cols>
  <sheetData>
    <row r="1" spans="1:5" x14ac:dyDescent="0.25">
      <c r="A1" s="116" t="s">
        <v>348</v>
      </c>
      <c r="B1" s="116"/>
      <c r="C1" s="116"/>
      <c r="D1" s="116"/>
    </row>
    <row r="2" spans="1:5" x14ac:dyDescent="0.25">
      <c r="A2" s="4"/>
    </row>
    <row r="3" spans="1:5" ht="21.75" customHeight="1" x14ac:dyDescent="0.25">
      <c r="A3" s="117"/>
      <c r="B3" s="121" t="s">
        <v>375</v>
      </c>
      <c r="C3" s="122"/>
      <c r="D3" s="119" t="s">
        <v>376</v>
      </c>
      <c r="E3" s="1"/>
    </row>
    <row r="4" spans="1:5" ht="31.5" customHeight="1" x14ac:dyDescent="0.25">
      <c r="A4" s="118"/>
      <c r="B4" s="16">
        <v>2020</v>
      </c>
      <c r="C4" s="15">
        <v>2021</v>
      </c>
      <c r="D4" s="120"/>
      <c r="E4" s="1"/>
    </row>
    <row r="5" spans="1:5" ht="16.5" customHeight="1" x14ac:dyDescent="0.25">
      <c r="A5" s="56" t="s">
        <v>309</v>
      </c>
      <c r="B5" s="37">
        <v>-2599822.3806799999</v>
      </c>
      <c r="C5" s="37">
        <v>-3600066.7293500002</v>
      </c>
      <c r="D5" s="93">
        <f>IF(-2599822.38068="","-",-3600066.72935/-2599822.38068*100)</f>
        <v>138.47356481362317</v>
      </c>
    </row>
    <row r="6" spans="1:5" x14ac:dyDescent="0.25">
      <c r="A6" s="57" t="s">
        <v>133</v>
      </c>
      <c r="B6" s="65"/>
      <c r="C6" s="65"/>
      <c r="D6" s="66"/>
    </row>
    <row r="7" spans="1:5" x14ac:dyDescent="0.25">
      <c r="A7" s="38" t="s">
        <v>320</v>
      </c>
      <c r="B7" s="39">
        <v>-720765.31068</v>
      </c>
      <c r="C7" s="39">
        <v>-1128428.69435</v>
      </c>
      <c r="D7" s="94" t="s">
        <v>104</v>
      </c>
    </row>
    <row r="8" spans="1:5" x14ac:dyDescent="0.25">
      <c r="A8" s="40" t="s">
        <v>4</v>
      </c>
      <c r="B8" s="41">
        <v>-200323.64892000001</v>
      </c>
      <c r="C8" s="41">
        <v>-261450.15594</v>
      </c>
      <c r="D8" s="95">
        <f>IF(OR(-200323.64892="",-261450.15594="",-200323.64892=0),"-",-261450.15594/-200323.64892*100)</f>
        <v>130.51387459720797</v>
      </c>
    </row>
    <row r="9" spans="1:5" x14ac:dyDescent="0.25">
      <c r="A9" s="40" t="s">
        <v>3</v>
      </c>
      <c r="B9" s="41">
        <v>-116968.53623</v>
      </c>
      <c r="C9" s="41">
        <v>-187208.01147999999</v>
      </c>
      <c r="D9" s="95" t="s">
        <v>104</v>
      </c>
    </row>
    <row r="10" spans="1:5" x14ac:dyDescent="0.25">
      <c r="A10" s="40" t="s">
        <v>5</v>
      </c>
      <c r="B10" s="41">
        <v>-95417.340270000001</v>
      </c>
      <c r="C10" s="41">
        <v>-137408.61611</v>
      </c>
      <c r="D10" s="95">
        <f>IF(OR(-95417.34027="",-137408.61611="",-95417.34027=0),"-",-137408.61611/-95417.34027*100)</f>
        <v>144.00801334556002</v>
      </c>
    </row>
    <row r="11" spans="1:5" x14ac:dyDescent="0.25">
      <c r="A11" s="40" t="s">
        <v>349</v>
      </c>
      <c r="B11" s="41">
        <v>-81039.332559999995</v>
      </c>
      <c r="C11" s="41">
        <v>-125092.49378</v>
      </c>
      <c r="D11" s="95" t="s">
        <v>219</v>
      </c>
    </row>
    <row r="12" spans="1:5" x14ac:dyDescent="0.25">
      <c r="A12" s="40" t="s">
        <v>42</v>
      </c>
      <c r="B12" s="41">
        <v>-67392.857600000003</v>
      </c>
      <c r="C12" s="41">
        <v>-73058.672680000003</v>
      </c>
      <c r="D12" s="95">
        <f>IF(OR(-67392.8576="",-73058.67268="",-67392.8576=0),"-",-73058.67268/-67392.8576*100)</f>
        <v>108.407144735765</v>
      </c>
    </row>
    <row r="13" spans="1:5" x14ac:dyDescent="0.25">
      <c r="A13" s="40" t="s">
        <v>8</v>
      </c>
      <c r="B13" s="41">
        <v>-35875.03181</v>
      </c>
      <c r="C13" s="41">
        <v>-70746.608909999995</v>
      </c>
      <c r="D13" s="95" t="s">
        <v>20</v>
      </c>
    </row>
    <row r="14" spans="1:5" x14ac:dyDescent="0.25">
      <c r="A14" s="40" t="s">
        <v>40</v>
      </c>
      <c r="B14" s="41">
        <v>-41126.48661</v>
      </c>
      <c r="C14" s="41">
        <v>-39825.592729999997</v>
      </c>
      <c r="D14" s="95">
        <f>IF(OR(-41126.48661="",-39825.59273="",-41126.48661=0),"-",-39825.59273/-41126.48661*100)</f>
        <v>96.836846550165347</v>
      </c>
    </row>
    <row r="15" spans="1:5" x14ac:dyDescent="0.25">
      <c r="A15" s="40" t="s">
        <v>10</v>
      </c>
      <c r="B15" s="41">
        <v>-19544.772300000001</v>
      </c>
      <c r="C15" s="41">
        <v>-34082.660770000002</v>
      </c>
      <c r="D15" s="95" t="s">
        <v>103</v>
      </c>
    </row>
    <row r="16" spans="1:5" x14ac:dyDescent="0.25">
      <c r="A16" s="40" t="s">
        <v>7</v>
      </c>
      <c r="B16" s="41">
        <v>-11779.61486</v>
      </c>
      <c r="C16" s="41">
        <v>-32077.91286</v>
      </c>
      <c r="D16" s="95" t="s">
        <v>303</v>
      </c>
    </row>
    <row r="17" spans="1:4" x14ac:dyDescent="0.25">
      <c r="A17" s="40" t="s">
        <v>41</v>
      </c>
      <c r="B17" s="41">
        <v>-25561.30874</v>
      </c>
      <c r="C17" s="41">
        <v>-27265.971409999998</v>
      </c>
      <c r="D17" s="95">
        <f>IF(OR(-25561.30874="",-27265.9714099999="",-25561.30874=0),"-",-27265.9714099999/-25561.30874*100)</f>
        <v>106.66891780596637</v>
      </c>
    </row>
    <row r="18" spans="1:4" x14ac:dyDescent="0.25">
      <c r="A18" s="40" t="s">
        <v>52</v>
      </c>
      <c r="B18" s="41">
        <v>-23735.413629999999</v>
      </c>
      <c r="C18" s="41">
        <v>-26834.10771</v>
      </c>
      <c r="D18" s="95">
        <f>IF(OR(-23735.41363="",-26834.10771="",-23735.41363=0),"-",-26834.10771/-23735.41363*100)</f>
        <v>113.05515095841201</v>
      </c>
    </row>
    <row r="19" spans="1:4" x14ac:dyDescent="0.25">
      <c r="A19" s="40" t="s">
        <v>50</v>
      </c>
      <c r="B19" s="41">
        <v>-18563.37847</v>
      </c>
      <c r="C19" s="41">
        <v>-22830.976309999998</v>
      </c>
      <c r="D19" s="95">
        <f>IF(OR(-18563.37847="",-22830.97631="",-18563.37847=0),"-",-22830.97631/-18563.37847*100)</f>
        <v>122.98933810403531</v>
      </c>
    </row>
    <row r="20" spans="1:4" x14ac:dyDescent="0.25">
      <c r="A20" s="40" t="s">
        <v>44</v>
      </c>
      <c r="B20" s="41">
        <v>-18519.765340000002</v>
      </c>
      <c r="C20" s="41">
        <v>-20937.016060000002</v>
      </c>
      <c r="D20" s="95">
        <f>IF(OR(-18519.76534="",-20937.01606="",-18519.76534=0),"-",-20937.01606/-18519.76534*100)</f>
        <v>113.05227509972326</v>
      </c>
    </row>
    <row r="21" spans="1:4" x14ac:dyDescent="0.25">
      <c r="A21" s="40" t="s">
        <v>48</v>
      </c>
      <c r="B21" s="41">
        <v>-11532.880020000001</v>
      </c>
      <c r="C21" s="41">
        <v>-13728.310600000001</v>
      </c>
      <c r="D21" s="95">
        <f>IF(OR(-11532.88002="",-13728.3106="",-11532.88002=0),"-",-13728.3106/-11532.88002*100)</f>
        <v>119.03627347369215</v>
      </c>
    </row>
    <row r="22" spans="1:4" x14ac:dyDescent="0.25">
      <c r="A22" s="40" t="s">
        <v>49</v>
      </c>
      <c r="B22" s="41">
        <v>-9766.4409099999993</v>
      </c>
      <c r="C22" s="41">
        <v>-11962.100930000001</v>
      </c>
      <c r="D22" s="95">
        <f>IF(OR(-9766.44091="",-11962.10093="",-9766.44091=0),"-",-11962.10093/-9766.44091*100)</f>
        <v>122.48168027875776</v>
      </c>
    </row>
    <row r="23" spans="1:4" x14ac:dyDescent="0.25">
      <c r="A23" s="40" t="s">
        <v>51</v>
      </c>
      <c r="B23" s="41">
        <v>-9099.9976600000009</v>
      </c>
      <c r="C23" s="41">
        <v>-7933.63375</v>
      </c>
      <c r="D23" s="95">
        <f>IF(OR(-9099.99766="",-7933.63375="",-9099.99766=0),"-",-7933.63375/-9099.99766*100)</f>
        <v>87.182810879975534</v>
      </c>
    </row>
    <row r="24" spans="1:4" x14ac:dyDescent="0.25">
      <c r="A24" s="40" t="s">
        <v>45</v>
      </c>
      <c r="B24" s="41">
        <v>-4362.8400300000003</v>
      </c>
      <c r="C24" s="41">
        <v>-7508.4644200000002</v>
      </c>
      <c r="D24" s="95" t="s">
        <v>103</v>
      </c>
    </row>
    <row r="25" spans="1:4" x14ac:dyDescent="0.25">
      <c r="A25" s="40" t="s">
        <v>6</v>
      </c>
      <c r="B25" s="41">
        <v>-3871.8692599999999</v>
      </c>
      <c r="C25" s="41">
        <v>-6992.8386799999998</v>
      </c>
      <c r="D25" s="95" t="s">
        <v>209</v>
      </c>
    </row>
    <row r="26" spans="1:4" x14ac:dyDescent="0.25">
      <c r="A26" s="40" t="s">
        <v>43</v>
      </c>
      <c r="B26" s="41">
        <v>-4919.8304500000004</v>
      </c>
      <c r="C26" s="41">
        <v>-6644.1710499999999</v>
      </c>
      <c r="D26" s="95">
        <f>IF(OR(-4919.83045="",-6644.17105="",-4919.83045=0),"-",-6644.17105/-4919.83045*100)</f>
        <v>135.04878100016637</v>
      </c>
    </row>
    <row r="27" spans="1:4" x14ac:dyDescent="0.25">
      <c r="A27" s="40" t="s">
        <v>53</v>
      </c>
      <c r="B27" s="41">
        <v>-5848.18923</v>
      </c>
      <c r="C27" s="41">
        <v>-6237.1566400000002</v>
      </c>
      <c r="D27" s="95">
        <f>IF(OR(-5848.18923="",-6237.15664="",-5848.18923=0),"-",-6237.15664/-5848.18923*100)</f>
        <v>106.65107428474916</v>
      </c>
    </row>
    <row r="28" spans="1:4" x14ac:dyDescent="0.25">
      <c r="A28" s="40" t="s">
        <v>350</v>
      </c>
      <c r="B28" s="41">
        <v>-3526.2634899999998</v>
      </c>
      <c r="C28" s="41">
        <v>-5211.5906999999997</v>
      </c>
      <c r="D28" s="95">
        <f>IF(OR(-3526.26349="",-5211.5907="",-3526.26349=0),"-",-5211.5907/-3526.26349*100)</f>
        <v>147.79357001481475</v>
      </c>
    </row>
    <row r="29" spans="1:4" x14ac:dyDescent="0.25">
      <c r="A29" s="40" t="s">
        <v>2</v>
      </c>
      <c r="B29" s="41">
        <v>74146.16231</v>
      </c>
      <c r="C29" s="41">
        <v>-4480.8891199999998</v>
      </c>
      <c r="D29" s="95" t="s">
        <v>22</v>
      </c>
    </row>
    <row r="30" spans="1:4" x14ac:dyDescent="0.25">
      <c r="A30" s="40" t="s">
        <v>9</v>
      </c>
      <c r="B30" s="41">
        <v>4158.9215700000004</v>
      </c>
      <c r="C30" s="41">
        <v>-3986.3095199999998</v>
      </c>
      <c r="D30" s="95" t="s">
        <v>22</v>
      </c>
    </row>
    <row r="31" spans="1:4" x14ac:dyDescent="0.25">
      <c r="A31" s="40" t="s">
        <v>54</v>
      </c>
      <c r="B31" s="41">
        <v>-1197.92985</v>
      </c>
      <c r="C31" s="41">
        <v>-2235.1805800000002</v>
      </c>
      <c r="D31" s="95" t="s">
        <v>105</v>
      </c>
    </row>
    <row r="32" spans="1:4" x14ac:dyDescent="0.25">
      <c r="A32" s="40" t="s">
        <v>46</v>
      </c>
      <c r="B32" s="41">
        <v>1664.0594100000001</v>
      </c>
      <c r="C32" s="41">
        <v>-576.36024999999995</v>
      </c>
      <c r="D32" s="95" t="s">
        <v>22</v>
      </c>
    </row>
    <row r="33" spans="1:4" x14ac:dyDescent="0.25">
      <c r="A33" s="40" t="s">
        <v>396</v>
      </c>
      <c r="B33" s="41">
        <v>-159.03288000000001</v>
      </c>
      <c r="C33" s="41">
        <v>-42.840890000000002</v>
      </c>
      <c r="D33" s="95">
        <f>IF(OR(-159.03288="",-42.84089="",-159.03288=0),"-",-42.84089/-159.03288*100)</f>
        <v>26.938385320067148</v>
      </c>
    </row>
    <row r="34" spans="1:4" x14ac:dyDescent="0.25">
      <c r="A34" s="40" t="s">
        <v>55</v>
      </c>
      <c r="B34" s="41">
        <v>-103.21502</v>
      </c>
      <c r="C34" s="41">
        <v>-6.3378399999999999</v>
      </c>
      <c r="D34" s="95">
        <f>IF(OR(-103.21502="",-6.33784="",-103.21502=0),"-",-6.33784/-103.21502*100)</f>
        <v>6.1404241359445555</v>
      </c>
    </row>
    <row r="35" spans="1:4" x14ac:dyDescent="0.25">
      <c r="A35" s="40" t="s">
        <v>47</v>
      </c>
      <c r="B35" s="41">
        <v>9501.5221700000002</v>
      </c>
      <c r="C35" s="41">
        <v>7936.28737</v>
      </c>
      <c r="D35" s="95">
        <f>IF(OR(9501.52217="",7936.28737="",9501.52217=0),"-",7936.28737/9501.52217*100)</f>
        <v>83.526483736026478</v>
      </c>
    </row>
    <row r="36" spans="1:4" x14ac:dyDescent="0.25">
      <c r="A36" s="62" t="s">
        <v>210</v>
      </c>
      <c r="B36" s="39">
        <v>-842861.10623999999</v>
      </c>
      <c r="C36" s="39">
        <v>-1247209.5760300001</v>
      </c>
      <c r="D36" s="94">
        <f>IF(-842861.10624="","-",-1247209.57603/-842861.10624*100)</f>
        <v>147.9733216773754</v>
      </c>
    </row>
    <row r="37" spans="1:4" x14ac:dyDescent="0.25">
      <c r="A37" s="40" t="s">
        <v>351</v>
      </c>
      <c r="B37" s="41">
        <v>-332659.20715999999</v>
      </c>
      <c r="C37" s="41">
        <v>-648566.15934000001</v>
      </c>
      <c r="D37" s="95" t="s">
        <v>105</v>
      </c>
    </row>
    <row r="38" spans="1:4" x14ac:dyDescent="0.25">
      <c r="A38" s="40" t="s">
        <v>12</v>
      </c>
      <c r="B38" s="41">
        <v>-418593.19887000002</v>
      </c>
      <c r="C38" s="41">
        <v>-521135.72376000002</v>
      </c>
      <c r="D38" s="95">
        <f>IF(OR(-418593.19887="",-521135.72376="",-418593.19887=0),"-",-521135.72376/-418593.19887*100)</f>
        <v>124.49694002836536</v>
      </c>
    </row>
    <row r="39" spans="1:4" x14ac:dyDescent="0.25">
      <c r="A39" s="40" t="s">
        <v>11</v>
      </c>
      <c r="B39" s="41">
        <v>-42865.230960000001</v>
      </c>
      <c r="C39" s="41">
        <v>-69913.155610000002</v>
      </c>
      <c r="D39" s="95" t="s">
        <v>104</v>
      </c>
    </row>
    <row r="40" spans="1:4" x14ac:dyDescent="0.25">
      <c r="A40" s="40" t="s">
        <v>16</v>
      </c>
      <c r="B40" s="41">
        <v>-1150.0247999999999</v>
      </c>
      <c r="C40" s="41">
        <v>-6524.0318799999995</v>
      </c>
      <c r="D40" s="95" t="s">
        <v>400</v>
      </c>
    </row>
    <row r="41" spans="1:4" x14ac:dyDescent="0.25">
      <c r="A41" s="40" t="s">
        <v>15</v>
      </c>
      <c r="B41" s="41">
        <v>-2774.24235</v>
      </c>
      <c r="C41" s="41">
        <v>-4510.78611</v>
      </c>
      <c r="D41" s="95" t="s">
        <v>104</v>
      </c>
    </row>
    <row r="42" spans="1:4" x14ac:dyDescent="0.25">
      <c r="A42" s="40" t="s">
        <v>13</v>
      </c>
      <c r="B42" s="41">
        <v>-44317.563020000001</v>
      </c>
      <c r="C42" s="41">
        <v>-782.81176000000005</v>
      </c>
      <c r="D42" s="95">
        <f>IF(OR(-44317.56302="",-782.81176="",-44317.56302=0),"-",-782.81176/-44317.56302*100)</f>
        <v>1.7663691472537113</v>
      </c>
    </row>
    <row r="43" spans="1:4" x14ac:dyDescent="0.25">
      <c r="A43" s="40" t="s">
        <v>17</v>
      </c>
      <c r="B43" s="41">
        <v>361.7407</v>
      </c>
      <c r="C43" s="41">
        <v>144.97085000000001</v>
      </c>
      <c r="D43" s="95">
        <f>IF(OR(361.7407="",144.97085="",361.7407=0),"-",144.97085/361.7407*100)</f>
        <v>40.075902435086789</v>
      </c>
    </row>
    <row r="44" spans="1:4" x14ac:dyDescent="0.25">
      <c r="A44" s="40" t="s">
        <v>18</v>
      </c>
      <c r="B44" s="41">
        <v>251.27453</v>
      </c>
      <c r="C44" s="41">
        <v>205.06702000000001</v>
      </c>
      <c r="D44" s="95">
        <f>IF(OR(251.27453="",205.06702="",251.27453=0),"-",205.06702/251.27453*100)</f>
        <v>81.610746620439414</v>
      </c>
    </row>
    <row r="45" spans="1:4" x14ac:dyDescent="0.25">
      <c r="A45" s="40" t="s">
        <v>416</v>
      </c>
      <c r="B45" s="41">
        <v>359.78456</v>
      </c>
      <c r="C45" s="41">
        <v>1235.52431</v>
      </c>
      <c r="D45" s="95" t="s">
        <v>368</v>
      </c>
    </row>
    <row r="46" spans="1:4" x14ac:dyDescent="0.25">
      <c r="A46" s="40" t="s">
        <v>14</v>
      </c>
      <c r="B46" s="41">
        <v>-1474.43887</v>
      </c>
      <c r="C46" s="41">
        <v>2637.5302499999998</v>
      </c>
      <c r="D46" s="95" t="s">
        <v>22</v>
      </c>
    </row>
    <row r="47" spans="1:4" x14ac:dyDescent="0.25">
      <c r="A47" s="38" t="s">
        <v>143</v>
      </c>
      <c r="B47" s="39">
        <v>-1036195.96376</v>
      </c>
      <c r="C47" s="39">
        <v>-1224428.45897</v>
      </c>
      <c r="D47" s="94">
        <f>IF(-1036195.96376="","-",-1224428.45897/-1036195.96376*100)</f>
        <v>118.16572364622699</v>
      </c>
    </row>
    <row r="48" spans="1:4" x14ac:dyDescent="0.25">
      <c r="A48" s="40" t="s">
        <v>59</v>
      </c>
      <c r="B48" s="41">
        <v>-562730.96028</v>
      </c>
      <c r="C48" s="41">
        <v>-731973.89159999997</v>
      </c>
      <c r="D48" s="95">
        <f>IF(OR(-562730.96028="",-731973.8916="",-562730.96028=0),"-",-731973.8916/-562730.96028*100)</f>
        <v>130.07528344198249</v>
      </c>
    </row>
    <row r="49" spans="1:4" x14ac:dyDescent="0.25">
      <c r="A49" s="40" t="s">
        <v>56</v>
      </c>
      <c r="B49" s="41">
        <v>-189921.14012</v>
      </c>
      <c r="C49" s="41">
        <v>-207655.16772999999</v>
      </c>
      <c r="D49" s="95">
        <f>IF(OR(-189921.14012="",-207655.16773="",-189921.14012=0),"-",-207655.16773/-189921.14012*100)</f>
        <v>109.33757432100234</v>
      </c>
    </row>
    <row r="50" spans="1:4" x14ac:dyDescent="0.25">
      <c r="A50" s="40" t="s">
        <v>19</v>
      </c>
      <c r="B50" s="41">
        <v>-36072.66012</v>
      </c>
      <c r="C50" s="41">
        <v>-67132.526299999998</v>
      </c>
      <c r="D50" s="95" t="s">
        <v>105</v>
      </c>
    </row>
    <row r="51" spans="1:4" x14ac:dyDescent="0.25">
      <c r="A51" s="40" t="s">
        <v>76</v>
      </c>
      <c r="B51" s="41">
        <v>-47186.618649999997</v>
      </c>
      <c r="C51" s="41">
        <v>-57259.884120000002</v>
      </c>
      <c r="D51" s="95">
        <f>IF(OR(-47186.61865="",-57259.88412="",-47186.61865=0),"-",-57259.88412/-47186.61865*100)</f>
        <v>121.34771627676272</v>
      </c>
    </row>
    <row r="52" spans="1:4" x14ac:dyDescent="0.25">
      <c r="A52" s="40" t="s">
        <v>36</v>
      </c>
      <c r="B52" s="41">
        <v>-38359.50432</v>
      </c>
      <c r="C52" s="41">
        <v>-50370.665209999999</v>
      </c>
      <c r="D52" s="95">
        <f>IF(OR(-38359.50432="",-50370.66521="",-38359.50432=0),"-",-50370.66521/-38359.50432*100)</f>
        <v>131.31208576054928</v>
      </c>
    </row>
    <row r="53" spans="1:4" x14ac:dyDescent="0.25">
      <c r="A53" s="40" t="s">
        <v>72</v>
      </c>
      <c r="B53" s="41">
        <v>-39142.113219999999</v>
      </c>
      <c r="C53" s="41">
        <v>-47290.365120000002</v>
      </c>
      <c r="D53" s="95">
        <f>IF(OR(-39142.11322="",-47290.36512="",-39142.11322=0),"-",-47290.36512/-39142.11322*100)</f>
        <v>120.81709757008363</v>
      </c>
    </row>
    <row r="54" spans="1:4" x14ac:dyDescent="0.25">
      <c r="A54" s="40" t="s">
        <v>69</v>
      </c>
      <c r="B54" s="41">
        <v>-36483.565119999999</v>
      </c>
      <c r="C54" s="41">
        <v>-39699.151890000001</v>
      </c>
      <c r="D54" s="95">
        <f>IF(OR(-36483.56512="",-39699.15189="",-36483.56512=0),"-",-39699.15189/-36483.56512*100)</f>
        <v>108.81379536079724</v>
      </c>
    </row>
    <row r="55" spans="1:4" x14ac:dyDescent="0.25">
      <c r="A55" s="40" t="s">
        <v>79</v>
      </c>
      <c r="B55" s="41">
        <v>-17509.08625</v>
      </c>
      <c r="C55" s="41">
        <v>-20033.316439999999</v>
      </c>
      <c r="D55" s="95">
        <f>IF(OR(-17509.08625="",-20033.31644="",-17509.08625=0),"-",-20033.31644/-17509.08625*100)</f>
        <v>114.41668716435728</v>
      </c>
    </row>
    <row r="56" spans="1:4" x14ac:dyDescent="0.25">
      <c r="A56" s="40" t="s">
        <v>70</v>
      </c>
      <c r="B56" s="41">
        <v>-14608.179410000001</v>
      </c>
      <c r="C56" s="41">
        <v>-19953.383900000001</v>
      </c>
      <c r="D56" s="95">
        <f>IF(OR(-14608.17941="",-19953.3839="",-14608.17941=0),"-",-19953.3839/-14608.17941*100)</f>
        <v>136.59049043675458</v>
      </c>
    </row>
    <row r="57" spans="1:4" x14ac:dyDescent="0.25">
      <c r="A57" s="40" t="s">
        <v>81</v>
      </c>
      <c r="B57" s="41">
        <v>-3928.3763199999999</v>
      </c>
      <c r="C57" s="41">
        <v>-15775.786410000001</v>
      </c>
      <c r="D57" s="95" t="s">
        <v>401</v>
      </c>
    </row>
    <row r="58" spans="1:4" x14ac:dyDescent="0.25">
      <c r="A58" s="40" t="s">
        <v>82</v>
      </c>
      <c r="B58" s="41">
        <v>-8644.2960000000003</v>
      </c>
      <c r="C58" s="41">
        <v>-12441.302680000001</v>
      </c>
      <c r="D58" s="95">
        <f>IF(OR(-8644.296="",-12441.30268="",-8644.296=0),"-",-12441.30268/-8644.296*100)</f>
        <v>143.92499608990715</v>
      </c>
    </row>
    <row r="59" spans="1:4" x14ac:dyDescent="0.25">
      <c r="A59" s="40" t="s">
        <v>66</v>
      </c>
      <c r="B59" s="41">
        <v>-23243.81092</v>
      </c>
      <c r="C59" s="41">
        <v>-11119.808660000001</v>
      </c>
      <c r="D59" s="95">
        <f>IF(OR(-23243.81092="",-11119.80866="",-23243.81092=0),"-",-11119.80866/-23243.81092*100)</f>
        <v>47.839868850559384</v>
      </c>
    </row>
    <row r="60" spans="1:4" x14ac:dyDescent="0.25">
      <c r="A60" s="40" t="s">
        <v>78</v>
      </c>
      <c r="B60" s="41">
        <v>-7352.1205399999999</v>
      </c>
      <c r="C60" s="41">
        <v>-11111.5208</v>
      </c>
      <c r="D60" s="95" t="s">
        <v>219</v>
      </c>
    </row>
    <row r="61" spans="1:4" x14ac:dyDescent="0.25">
      <c r="A61" s="40" t="s">
        <v>74</v>
      </c>
      <c r="B61" s="41">
        <v>-8687.2216100000005</v>
      </c>
      <c r="C61" s="41">
        <v>-10531.74591</v>
      </c>
      <c r="D61" s="95">
        <f>IF(OR(-8687.22161="",-10531.74591="",-8687.22161=0),"-",-10531.74591/-8687.22161*100)</f>
        <v>121.23261478533871</v>
      </c>
    </row>
    <row r="62" spans="1:4" x14ac:dyDescent="0.25">
      <c r="A62" s="40" t="s">
        <v>61</v>
      </c>
      <c r="B62" s="41">
        <v>-8964.3505399999995</v>
      </c>
      <c r="C62" s="41">
        <v>-9021.0704800000003</v>
      </c>
      <c r="D62" s="95">
        <f>IF(OR(-8964.35054="",-9021.07048="",-8964.35054=0),"-",-9021.07048/-8964.35054*100)</f>
        <v>100.6327278228011</v>
      </c>
    </row>
    <row r="63" spans="1:4" x14ac:dyDescent="0.25">
      <c r="A63" s="40" t="s">
        <v>83</v>
      </c>
      <c r="B63" s="41">
        <v>-8339.8991999999998</v>
      </c>
      <c r="C63" s="41">
        <v>-8644.3265200000005</v>
      </c>
      <c r="D63" s="95">
        <f>IF(OR(-8339.8992="",-8644.32652="",-8339.8992=0),"-",-8644.32652/-8339.8992*100)</f>
        <v>103.65025179201209</v>
      </c>
    </row>
    <row r="64" spans="1:4" x14ac:dyDescent="0.25">
      <c r="A64" s="40" t="s">
        <v>71</v>
      </c>
      <c r="B64" s="41">
        <v>-9333.9052800000009</v>
      </c>
      <c r="C64" s="41">
        <v>-8339.3465899999992</v>
      </c>
      <c r="D64" s="95">
        <f>IF(OR(-9333.90528="",-8339.34659="",-9333.90528=0),"-",-8339.34659/-9333.90528*100)</f>
        <v>89.34466699452085</v>
      </c>
    </row>
    <row r="65" spans="1:4" x14ac:dyDescent="0.25">
      <c r="A65" s="40" t="s">
        <v>84</v>
      </c>
      <c r="B65" s="41">
        <v>-5666.4470199999996</v>
      </c>
      <c r="C65" s="41">
        <v>-6819.6137500000004</v>
      </c>
      <c r="D65" s="95">
        <f>IF(OR(-5666.44702="",-6819.61375="",-5666.44702=0),"-",-6819.61375/-5666.44702*100)</f>
        <v>120.35078993820719</v>
      </c>
    </row>
    <row r="66" spans="1:4" x14ac:dyDescent="0.25">
      <c r="A66" s="40" t="s">
        <v>85</v>
      </c>
      <c r="B66" s="41">
        <v>-3508.8762499999998</v>
      </c>
      <c r="C66" s="41">
        <v>-5739.0779700000003</v>
      </c>
      <c r="D66" s="95" t="s">
        <v>104</v>
      </c>
    </row>
    <row r="67" spans="1:4" x14ac:dyDescent="0.25">
      <c r="A67" s="40" t="s">
        <v>73</v>
      </c>
      <c r="B67" s="41">
        <v>-1665.6512600000001</v>
      </c>
      <c r="C67" s="41">
        <v>-4417.7016400000002</v>
      </c>
      <c r="D67" s="95" t="s">
        <v>303</v>
      </c>
    </row>
    <row r="68" spans="1:4" x14ac:dyDescent="0.25">
      <c r="A68" s="40" t="s">
        <v>63</v>
      </c>
      <c r="B68" s="41">
        <v>-6123.2006899999997</v>
      </c>
      <c r="C68" s="41">
        <v>-4249.7939299999998</v>
      </c>
      <c r="D68" s="95">
        <f>IF(OR(-6123.20069="",-4249.79393="",-6123.20069=0),"-",-4249.79393/-6123.20069*100)</f>
        <v>69.404779381810528</v>
      </c>
    </row>
    <row r="69" spans="1:4" x14ac:dyDescent="0.25">
      <c r="A69" s="40" t="s">
        <v>80</v>
      </c>
      <c r="B69" s="41">
        <v>-3919.54495</v>
      </c>
      <c r="C69" s="41">
        <v>-3730.8453599999998</v>
      </c>
      <c r="D69" s="95">
        <f>IF(OR(-3919.54495="",-3730.84536="",-3919.54495=0),"-",-3730.84536/-3919.54495*100)</f>
        <v>95.185676082117638</v>
      </c>
    </row>
    <row r="70" spans="1:4" x14ac:dyDescent="0.25">
      <c r="A70" s="40" t="s">
        <v>39</v>
      </c>
      <c r="B70" s="41">
        <v>-1597.35284</v>
      </c>
      <c r="C70" s="41">
        <v>-3623.9713700000002</v>
      </c>
      <c r="D70" s="95" t="s">
        <v>218</v>
      </c>
    </row>
    <row r="71" spans="1:4" x14ac:dyDescent="0.25">
      <c r="A71" s="40" t="s">
        <v>89</v>
      </c>
      <c r="B71" s="41">
        <v>-1215.1595500000001</v>
      </c>
      <c r="C71" s="41">
        <v>-2625.5424800000001</v>
      </c>
      <c r="D71" s="95" t="s">
        <v>208</v>
      </c>
    </row>
    <row r="72" spans="1:4" x14ac:dyDescent="0.25">
      <c r="A72" s="40" t="s">
        <v>88</v>
      </c>
      <c r="B72" s="41">
        <v>-1708.82888</v>
      </c>
      <c r="C72" s="41">
        <v>-2576.7245699999999</v>
      </c>
      <c r="D72" s="95" t="s">
        <v>219</v>
      </c>
    </row>
    <row r="73" spans="1:4" x14ac:dyDescent="0.25">
      <c r="A73" s="40" t="s">
        <v>87</v>
      </c>
      <c r="B73" s="41">
        <v>-1535.00521</v>
      </c>
      <c r="C73" s="41">
        <v>-2411.3367699999999</v>
      </c>
      <c r="D73" s="95" t="s">
        <v>104</v>
      </c>
    </row>
    <row r="74" spans="1:4" x14ac:dyDescent="0.25">
      <c r="A74" s="40" t="s">
        <v>130</v>
      </c>
      <c r="B74" s="41">
        <v>-3914.3894799999998</v>
      </c>
      <c r="C74" s="41">
        <v>-2280.4471600000002</v>
      </c>
      <c r="D74" s="95">
        <f>IF(OR(-3914.38948="",-2280.44716="",-3914.38948=0),"-",-2280.44716/-3914.38948*100)</f>
        <v>58.258054586841993</v>
      </c>
    </row>
    <row r="75" spans="1:4" x14ac:dyDescent="0.25">
      <c r="A75" s="40" t="s">
        <v>410</v>
      </c>
      <c r="B75" s="41">
        <v>-1825.2288900000001</v>
      </c>
      <c r="C75" s="41">
        <v>-2000.4661599999999</v>
      </c>
      <c r="D75" s="95">
        <f>IF(OR(-1825.22889="",-2000.46616="",-1825.22889=0),"-",-2000.46616/-1825.22889*100)</f>
        <v>109.6008380625621</v>
      </c>
    </row>
    <row r="76" spans="1:4" x14ac:dyDescent="0.25">
      <c r="A76" s="40" t="s">
        <v>97</v>
      </c>
      <c r="B76" s="41">
        <v>-1184.84573</v>
      </c>
      <c r="C76" s="41">
        <v>-1711.75451</v>
      </c>
      <c r="D76" s="95">
        <f>IF(OR(-1184.84573="",-1711.75451="",-1184.84573=0),"-",-1711.75451/-1184.84573*100)</f>
        <v>144.47066539202532</v>
      </c>
    </row>
    <row r="77" spans="1:4" x14ac:dyDescent="0.25">
      <c r="A77" s="40" t="s">
        <v>86</v>
      </c>
      <c r="B77" s="41">
        <v>-3214.5132600000002</v>
      </c>
      <c r="C77" s="41">
        <v>-1646.80969</v>
      </c>
      <c r="D77" s="95">
        <f>IF(OR(-3214.51326="",-1646.80969="",-3214.51326=0),"-",-1646.80969/-3214.51326*100)</f>
        <v>51.23045253824835</v>
      </c>
    </row>
    <row r="78" spans="1:4" x14ac:dyDescent="0.25">
      <c r="A78" s="40" t="s">
        <v>411</v>
      </c>
      <c r="B78" s="41">
        <v>-512.01936999999998</v>
      </c>
      <c r="C78" s="41">
        <v>-1380.4565600000001</v>
      </c>
      <c r="D78" s="95" t="s">
        <v>303</v>
      </c>
    </row>
    <row r="79" spans="1:4" x14ac:dyDescent="0.25">
      <c r="A79" s="40" t="s">
        <v>91</v>
      </c>
      <c r="B79" s="41">
        <v>-2000.0813700000001</v>
      </c>
      <c r="C79" s="41">
        <v>-1322.51721</v>
      </c>
      <c r="D79" s="95">
        <f>IF(OR(-2000.08137="",-1322.51721="",-2000.08137=0),"-",-1322.51721/-2000.08137*100)</f>
        <v>66.123170278817199</v>
      </c>
    </row>
    <row r="80" spans="1:4" x14ac:dyDescent="0.25">
      <c r="A80" s="40" t="s">
        <v>147</v>
      </c>
      <c r="B80" s="41">
        <v>-1001.02658</v>
      </c>
      <c r="C80" s="41">
        <v>-1312.5896700000001</v>
      </c>
      <c r="D80" s="95">
        <f>IF(OR(-1001.02658="",-1312.58967="",-1001.02658=0),"-",-1312.58967/-1001.02658*100)</f>
        <v>131.12435735722423</v>
      </c>
    </row>
    <row r="81" spans="1:4" x14ac:dyDescent="0.25">
      <c r="A81" s="40" t="s">
        <v>93</v>
      </c>
      <c r="B81" s="41">
        <v>-240.17478</v>
      </c>
      <c r="C81" s="41">
        <v>-1248.62626</v>
      </c>
      <c r="D81" s="95" t="s">
        <v>335</v>
      </c>
    </row>
    <row r="82" spans="1:4" x14ac:dyDescent="0.25">
      <c r="A82" s="40" t="s">
        <v>354</v>
      </c>
      <c r="B82" s="41">
        <v>-555.76666</v>
      </c>
      <c r="C82" s="41">
        <v>-1191.50188</v>
      </c>
      <c r="D82" s="95" t="s">
        <v>95</v>
      </c>
    </row>
    <row r="83" spans="1:4" x14ac:dyDescent="0.25">
      <c r="A83" s="40" t="s">
        <v>65</v>
      </c>
      <c r="B83" s="41">
        <v>-1078.70127</v>
      </c>
      <c r="C83" s="41">
        <v>-869.18674999999996</v>
      </c>
      <c r="D83" s="95">
        <f>IF(OR(-1078.70127="",-869.18675="",-1078.70127=0),"-",-869.18675/-1078.70127*100)</f>
        <v>80.577150891831238</v>
      </c>
    </row>
    <row r="84" spans="1:4" x14ac:dyDescent="0.25">
      <c r="A84" s="40" t="s">
        <v>38</v>
      </c>
      <c r="B84" s="41">
        <v>-759.09329000000002</v>
      </c>
      <c r="C84" s="41">
        <v>-761.89473999999996</v>
      </c>
      <c r="D84" s="95">
        <f>IF(OR(-759.09329="",-761.89474="",-759.09329=0),"-",-761.89474/-759.09329*100)</f>
        <v>100.3690521358712</v>
      </c>
    </row>
    <row r="85" spans="1:4" x14ac:dyDescent="0.25">
      <c r="A85" s="40" t="s">
        <v>353</v>
      </c>
      <c r="B85" s="41">
        <v>-5197.5836099999997</v>
      </c>
      <c r="C85" s="41">
        <v>-676.59852000000001</v>
      </c>
      <c r="D85" s="95">
        <f>IF(OR(-5197.58361="",-676.59852="",-5197.58361=0),"-",-676.59852/-5197.58361*100)</f>
        <v>13.017559134560994</v>
      </c>
    </row>
    <row r="86" spans="1:4" x14ac:dyDescent="0.25">
      <c r="A86" s="40" t="s">
        <v>68</v>
      </c>
      <c r="B86" s="41">
        <v>-1222.5280299999999</v>
      </c>
      <c r="C86" s="41">
        <v>-619.78134</v>
      </c>
      <c r="D86" s="95">
        <f>IF(OR(-1222.52803="",-619.78134="",-1222.52803=0),"-",-619.78134/-1222.52803*100)</f>
        <v>50.696697727249664</v>
      </c>
    </row>
    <row r="87" spans="1:4" x14ac:dyDescent="0.25">
      <c r="A87" s="40" t="s">
        <v>124</v>
      </c>
      <c r="B87" s="41">
        <v>4519.5946599999997</v>
      </c>
      <c r="C87" s="41">
        <v>-619.17562999999996</v>
      </c>
      <c r="D87" s="95" t="s">
        <v>22</v>
      </c>
    </row>
    <row r="88" spans="1:4" x14ac:dyDescent="0.25">
      <c r="A88" s="40" t="s">
        <v>92</v>
      </c>
      <c r="B88" s="41">
        <v>-553.54382999999996</v>
      </c>
      <c r="C88" s="41">
        <v>-561.27648999999997</v>
      </c>
      <c r="D88" s="95">
        <f>IF(OR(-553.54383="",-561.27649="",-553.54383=0),"-",-561.27649/-553.54383*100)</f>
        <v>101.39693725788617</v>
      </c>
    </row>
    <row r="89" spans="1:4" x14ac:dyDescent="0.25">
      <c r="A89" s="40" t="s">
        <v>98</v>
      </c>
      <c r="B89" s="41">
        <v>-223.70199</v>
      </c>
      <c r="C89" s="41">
        <v>-542.33068000000003</v>
      </c>
      <c r="D89" s="95" t="s">
        <v>304</v>
      </c>
    </row>
    <row r="90" spans="1:4" x14ac:dyDescent="0.25">
      <c r="A90" s="40" t="s">
        <v>222</v>
      </c>
      <c r="B90" s="41">
        <v>-104.56699</v>
      </c>
      <c r="C90" s="41">
        <v>-527.82250999999997</v>
      </c>
      <c r="D90" s="95" t="s">
        <v>336</v>
      </c>
    </row>
    <row r="91" spans="1:4" x14ac:dyDescent="0.25">
      <c r="A91" s="40" t="s">
        <v>94</v>
      </c>
      <c r="B91" s="41">
        <v>-417.57342999999997</v>
      </c>
      <c r="C91" s="41">
        <v>-347.66627999999997</v>
      </c>
      <c r="D91" s="95">
        <f>IF(OR(-417.57343="",-347.66628="",-417.57343=0),"-",-347.66628/-417.57343*100)</f>
        <v>83.25871691596852</v>
      </c>
    </row>
    <row r="92" spans="1:4" x14ac:dyDescent="0.25">
      <c r="A92" s="40" t="s">
        <v>331</v>
      </c>
      <c r="B92" s="41">
        <v>-20.653729999999999</v>
      </c>
      <c r="C92" s="41">
        <v>-343.42907000000002</v>
      </c>
      <c r="D92" s="95" t="s">
        <v>393</v>
      </c>
    </row>
    <row r="93" spans="1:4" x14ac:dyDescent="0.25">
      <c r="A93" s="40" t="s">
        <v>131</v>
      </c>
      <c r="B93" s="41">
        <v>-1273.3749</v>
      </c>
      <c r="C93" s="41">
        <v>-330.53361000000001</v>
      </c>
      <c r="D93" s="95">
        <f>IF(OR(-1273.3749="",-330.53361="",-1273.3749=0),"-",-330.53361/-1273.3749*100)</f>
        <v>25.95728956177792</v>
      </c>
    </row>
    <row r="94" spans="1:4" x14ac:dyDescent="0.25">
      <c r="A94" s="40" t="s">
        <v>334</v>
      </c>
      <c r="B94" s="41">
        <v>22.992509999999999</v>
      </c>
      <c r="C94" s="41">
        <v>-316.37398999999999</v>
      </c>
      <c r="D94" s="95" t="s">
        <v>22</v>
      </c>
    </row>
    <row r="95" spans="1:4" x14ac:dyDescent="0.25">
      <c r="A95" s="40" t="s">
        <v>67</v>
      </c>
      <c r="B95" s="41">
        <v>1782.39636</v>
      </c>
      <c r="C95" s="41">
        <v>-264.80736999999999</v>
      </c>
      <c r="D95" s="95" t="s">
        <v>22</v>
      </c>
    </row>
    <row r="96" spans="1:4" x14ac:dyDescent="0.25">
      <c r="A96" s="40" t="s">
        <v>134</v>
      </c>
      <c r="B96" s="41">
        <v>-209.87585999999999</v>
      </c>
      <c r="C96" s="41">
        <v>-192.03182000000001</v>
      </c>
      <c r="D96" s="95">
        <f>IF(OR(-209.87586="",-192.03182="",-209.87586=0),"-",-192.03182/-209.87586*100)</f>
        <v>91.497812087583597</v>
      </c>
    </row>
    <row r="97" spans="1:4" x14ac:dyDescent="0.25">
      <c r="A97" s="40" t="s">
        <v>111</v>
      </c>
      <c r="B97" s="41">
        <v>-510.06297999999998</v>
      </c>
      <c r="C97" s="41">
        <v>-179.24366000000001</v>
      </c>
      <c r="D97" s="95">
        <f>IF(OR(-510.06298="",-179.24366="",-510.06298=0),"-",-179.24366/-510.06298*100)</f>
        <v>35.14147605850556</v>
      </c>
    </row>
    <row r="98" spans="1:4" x14ac:dyDescent="0.25">
      <c r="A98" s="40" t="s">
        <v>140</v>
      </c>
      <c r="B98" s="41">
        <v>-118.78903</v>
      </c>
      <c r="C98" s="41">
        <v>-166.99974</v>
      </c>
      <c r="D98" s="95">
        <f>IF(OR(-118.78903="",-166.99974="",-118.78903=0),"-",-166.99974/-118.78903*100)</f>
        <v>140.58515335969997</v>
      </c>
    </row>
    <row r="99" spans="1:4" x14ac:dyDescent="0.25">
      <c r="A99" s="40" t="s">
        <v>327</v>
      </c>
      <c r="B99" s="41">
        <v>-358.25169</v>
      </c>
      <c r="C99" s="41">
        <v>-157.72429</v>
      </c>
      <c r="D99" s="95">
        <f>IF(OR(-358.25169="",-157.72429="",-358.25169=0),"-",-157.72429/-358.25169*100)</f>
        <v>44.026111921481792</v>
      </c>
    </row>
    <row r="100" spans="1:4" x14ac:dyDescent="0.25">
      <c r="A100" s="40" t="s">
        <v>343</v>
      </c>
      <c r="B100" s="41">
        <v>-67.520309999999995</v>
      </c>
      <c r="C100" s="41">
        <v>-120.82216</v>
      </c>
      <c r="D100" s="95" t="s">
        <v>209</v>
      </c>
    </row>
    <row r="101" spans="1:4" x14ac:dyDescent="0.25">
      <c r="A101" s="40" t="s">
        <v>102</v>
      </c>
      <c r="B101" s="41">
        <v>33.815219999999997</v>
      </c>
      <c r="C101" s="41">
        <v>-119.06977000000001</v>
      </c>
      <c r="D101" s="95" t="s">
        <v>22</v>
      </c>
    </row>
    <row r="102" spans="1:4" x14ac:dyDescent="0.25">
      <c r="A102" s="40" t="s">
        <v>214</v>
      </c>
      <c r="B102" s="41">
        <v>-23.776289999999999</v>
      </c>
      <c r="C102" s="41">
        <v>-114.88844</v>
      </c>
      <c r="D102" s="95" t="s">
        <v>362</v>
      </c>
    </row>
    <row r="103" spans="1:4" x14ac:dyDescent="0.25">
      <c r="A103" s="40" t="s">
        <v>223</v>
      </c>
      <c r="B103" s="41">
        <v>-33.153170000000003</v>
      </c>
      <c r="C103" s="41">
        <v>-114.07286999999999</v>
      </c>
      <c r="D103" s="95" t="s">
        <v>368</v>
      </c>
    </row>
    <row r="104" spans="1:4" x14ac:dyDescent="0.25">
      <c r="A104" s="40" t="s">
        <v>314</v>
      </c>
      <c r="B104" s="41">
        <v>-14.829409999999999</v>
      </c>
      <c r="C104" s="41">
        <v>-99.680949999999996</v>
      </c>
      <c r="D104" s="95" t="s">
        <v>386</v>
      </c>
    </row>
    <row r="105" spans="1:4" x14ac:dyDescent="0.25">
      <c r="A105" s="40" t="s">
        <v>361</v>
      </c>
      <c r="B105" s="41">
        <v>-98.105419999999995</v>
      </c>
      <c r="C105" s="41">
        <v>-97.997630000000001</v>
      </c>
      <c r="D105" s="95">
        <f>IF(OR(-98.10542="",-97.99763="",-98.10542=0),"-",-97.99763/-98.10542*100)</f>
        <v>99.890128394537228</v>
      </c>
    </row>
    <row r="106" spans="1:4" x14ac:dyDescent="0.25">
      <c r="A106" s="40" t="s">
        <v>132</v>
      </c>
      <c r="B106" s="41">
        <v>-65.137190000000004</v>
      </c>
      <c r="C106" s="41">
        <v>-94.207089999999994</v>
      </c>
      <c r="D106" s="95">
        <f>IF(OR(-65.13719="",-94.20709="",-65.13719=0),"-",-94.20709/-65.13719*100)</f>
        <v>144.62872899491057</v>
      </c>
    </row>
    <row r="107" spans="1:4" x14ac:dyDescent="0.25">
      <c r="A107" s="40" t="s">
        <v>412</v>
      </c>
      <c r="B107" s="41">
        <v>-205.14183</v>
      </c>
      <c r="C107" s="41">
        <v>-92.999080000000006</v>
      </c>
      <c r="D107" s="95">
        <f>IF(OR(-205.14183="",-92.99908="",-205.14183=0),"-",-92.99908/-205.14183*100)</f>
        <v>45.334040356371986</v>
      </c>
    </row>
    <row r="108" spans="1:4" x14ac:dyDescent="0.25">
      <c r="A108" s="40" t="s">
        <v>207</v>
      </c>
      <c r="B108" s="41">
        <v>-141.35075000000001</v>
      </c>
      <c r="C108" s="41">
        <v>-88.480369999999994</v>
      </c>
      <c r="D108" s="95">
        <f>IF(OR(-141.35075="",-88.48037="",-141.35075=0),"-",-88.48037/-141.35075*100)</f>
        <v>62.596321561788656</v>
      </c>
    </row>
    <row r="109" spans="1:4" x14ac:dyDescent="0.25">
      <c r="A109" s="40" t="s">
        <v>315</v>
      </c>
      <c r="B109" s="41">
        <v>-114.31792</v>
      </c>
      <c r="C109" s="41">
        <v>-78.485789999999994</v>
      </c>
      <c r="D109" s="95">
        <f>IF(OR(-114.31792="",-78.48579="",-114.31792=0),"-",-78.48579/-114.31792*100)</f>
        <v>68.655719068366523</v>
      </c>
    </row>
    <row r="110" spans="1:4" x14ac:dyDescent="0.25">
      <c r="A110" s="40" t="s">
        <v>328</v>
      </c>
      <c r="B110" s="41">
        <v>-1.7738100000000001</v>
      </c>
      <c r="C110" s="41">
        <v>-78.196579999999997</v>
      </c>
      <c r="D110" s="95" t="s">
        <v>402</v>
      </c>
    </row>
    <row r="111" spans="1:4" x14ac:dyDescent="0.25">
      <c r="A111" s="40" t="s">
        <v>321</v>
      </c>
      <c r="B111" s="41">
        <v>-28.945620000000002</v>
      </c>
      <c r="C111" s="41">
        <v>-75.008480000000006</v>
      </c>
      <c r="D111" s="95" t="s">
        <v>294</v>
      </c>
    </row>
    <row r="112" spans="1:4" x14ac:dyDescent="0.25">
      <c r="A112" s="40" t="s">
        <v>330</v>
      </c>
      <c r="B112" s="41">
        <v>-60.54101</v>
      </c>
      <c r="C112" s="41">
        <v>-67.784319999999994</v>
      </c>
      <c r="D112" s="95">
        <f>IF(OR(-60.54101="",-67.78432="",-60.54101=0),"-",-67.78432/-60.54101*100)</f>
        <v>111.96430320538093</v>
      </c>
    </row>
    <row r="113" spans="1:4" x14ac:dyDescent="0.25">
      <c r="A113" s="40" t="s">
        <v>329</v>
      </c>
      <c r="B113" s="41">
        <v>-16.897819999999999</v>
      </c>
      <c r="C113" s="41">
        <v>-60.90681</v>
      </c>
      <c r="D113" s="95" t="s">
        <v>403</v>
      </c>
    </row>
    <row r="114" spans="1:4" x14ac:dyDescent="0.25">
      <c r="A114" s="40" t="s">
        <v>337</v>
      </c>
      <c r="B114" s="41">
        <v>-6.1569599999999998</v>
      </c>
      <c r="C114" s="41">
        <v>-48.161099999999998</v>
      </c>
      <c r="D114" s="95" t="s">
        <v>338</v>
      </c>
    </row>
    <row r="115" spans="1:4" x14ac:dyDescent="0.25">
      <c r="A115" s="40" t="s">
        <v>364</v>
      </c>
      <c r="B115" s="41">
        <v>-30.877579999999998</v>
      </c>
      <c r="C115" s="41">
        <v>-41.395339999999997</v>
      </c>
      <c r="D115" s="95">
        <f>IF(OR(-30.87758="",-41.39534="",-30.87758=0),"-",-41.39534/-30.87758*100)</f>
        <v>134.06277305410592</v>
      </c>
    </row>
    <row r="116" spans="1:4" x14ac:dyDescent="0.25">
      <c r="A116" s="40" t="s">
        <v>333</v>
      </c>
      <c r="B116" s="41">
        <v>6.6188000000000002</v>
      </c>
      <c r="C116" s="41">
        <v>-40.399430000000002</v>
      </c>
      <c r="D116" s="95" t="s">
        <v>22</v>
      </c>
    </row>
    <row r="117" spans="1:4" x14ac:dyDescent="0.25">
      <c r="A117" s="40" t="s">
        <v>397</v>
      </c>
      <c r="B117" s="41">
        <v>-12.0573</v>
      </c>
      <c r="C117" s="41">
        <v>-36.696309999999997</v>
      </c>
      <c r="D117" s="95" t="s">
        <v>316</v>
      </c>
    </row>
    <row r="118" spans="1:4" x14ac:dyDescent="0.25">
      <c r="A118" s="40" t="s">
        <v>332</v>
      </c>
      <c r="B118" s="41">
        <v>-39.4054</v>
      </c>
      <c r="C118" s="41">
        <v>-36.025880000000001</v>
      </c>
      <c r="D118" s="95">
        <f>IF(OR(-39.4054="",-36.02588="",-39.4054=0),"-",-36.02588/-39.4054*100)</f>
        <v>91.423713501195266</v>
      </c>
    </row>
    <row r="119" spans="1:4" x14ac:dyDescent="0.25">
      <c r="A119" s="40" t="s">
        <v>398</v>
      </c>
      <c r="B119" s="41" t="str">
        <f>IF(OR(0="",36.26829="",0=0),"-",36.26829/0*100)</f>
        <v>-</v>
      </c>
      <c r="C119" s="41">
        <v>36.26829</v>
      </c>
      <c r="D119" s="95" t="str">
        <f>IF(OR(0="",36.26829="",0=0),"-",36.26829/0*100)</f>
        <v>-</v>
      </c>
    </row>
    <row r="120" spans="1:4" x14ac:dyDescent="0.25">
      <c r="A120" s="40" t="s">
        <v>399</v>
      </c>
      <c r="B120" s="41" t="str">
        <f>IF(OR(0="",39.34469="",0=0),"-",39.34469/0*100)</f>
        <v>-</v>
      </c>
      <c r="C120" s="41">
        <v>39.34469</v>
      </c>
      <c r="D120" s="95" t="str">
        <f>IF(OR(0="",39.34469="",0=0),"-",39.34469/0*100)</f>
        <v>-</v>
      </c>
    </row>
    <row r="121" spans="1:4" x14ac:dyDescent="0.25">
      <c r="A121" s="40" t="s">
        <v>381</v>
      </c>
      <c r="B121" s="41">
        <v>44.284379999999999</v>
      </c>
      <c r="C121" s="41">
        <v>40.500439999999998</v>
      </c>
      <c r="D121" s="95">
        <f>IF(OR(44.28438="",40.50044="",44.28438=0),"-",40.50044/44.28438*100)</f>
        <v>91.455361913162164</v>
      </c>
    </row>
    <row r="122" spans="1:4" x14ac:dyDescent="0.25">
      <c r="A122" s="40" t="s">
        <v>413</v>
      </c>
      <c r="B122" s="41">
        <v>19.263000000000002</v>
      </c>
      <c r="C122" s="41">
        <v>42.335999999999999</v>
      </c>
      <c r="D122" s="95" t="s">
        <v>208</v>
      </c>
    </row>
    <row r="123" spans="1:4" x14ac:dyDescent="0.25">
      <c r="A123" s="40" t="s">
        <v>322</v>
      </c>
      <c r="B123" s="41">
        <v>24.012</v>
      </c>
      <c r="C123" s="41">
        <v>46.496389999999998</v>
      </c>
      <c r="D123" s="95" t="s">
        <v>105</v>
      </c>
    </row>
    <row r="124" spans="1:4" x14ac:dyDescent="0.25">
      <c r="A124" s="40" t="s">
        <v>301</v>
      </c>
      <c r="B124" s="41">
        <v>93.792159999999996</v>
      </c>
      <c r="C124" s="41">
        <v>51.588619999999999</v>
      </c>
      <c r="D124" s="95">
        <f>IF(OR(93.79216="",51.58862="",93.79216=0),"-",51.58862/93.79216*100)</f>
        <v>55.003126060856253</v>
      </c>
    </row>
    <row r="125" spans="1:4" x14ac:dyDescent="0.25">
      <c r="A125" s="40" t="s">
        <v>90</v>
      </c>
      <c r="B125" s="41">
        <v>-366.59203000000002</v>
      </c>
      <c r="C125" s="41">
        <v>60.002020000000002</v>
      </c>
      <c r="D125" s="95" t="s">
        <v>22</v>
      </c>
    </row>
    <row r="126" spans="1:4" x14ac:dyDescent="0.25">
      <c r="A126" s="40" t="s">
        <v>339</v>
      </c>
      <c r="B126" s="41">
        <v>-4.6490799999999997</v>
      </c>
      <c r="C126" s="41">
        <v>66.085030000000003</v>
      </c>
      <c r="D126" s="95" t="s">
        <v>22</v>
      </c>
    </row>
    <row r="127" spans="1:4" x14ac:dyDescent="0.25">
      <c r="A127" s="40" t="s">
        <v>323</v>
      </c>
      <c r="B127" s="41">
        <v>27.49258</v>
      </c>
      <c r="C127" s="41">
        <v>75.189430000000002</v>
      </c>
      <c r="D127" s="95" t="s">
        <v>303</v>
      </c>
    </row>
    <row r="128" spans="1:4" x14ac:dyDescent="0.25">
      <c r="A128" s="40" t="s">
        <v>101</v>
      </c>
      <c r="B128" s="41">
        <v>-393.21118000000001</v>
      </c>
      <c r="C128" s="41">
        <v>84.2209</v>
      </c>
      <c r="D128" s="95" t="s">
        <v>22</v>
      </c>
    </row>
    <row r="129" spans="1:4" x14ac:dyDescent="0.25">
      <c r="A129" s="40" t="s">
        <v>355</v>
      </c>
      <c r="B129" s="41">
        <v>53.723599999999998</v>
      </c>
      <c r="C129" s="41">
        <v>94.901600000000002</v>
      </c>
      <c r="D129" s="95" t="s">
        <v>209</v>
      </c>
    </row>
    <row r="130" spans="1:4" x14ac:dyDescent="0.25">
      <c r="A130" s="40" t="s">
        <v>220</v>
      </c>
      <c r="B130" s="41">
        <v>359.51620000000003</v>
      </c>
      <c r="C130" s="41">
        <v>132.14837</v>
      </c>
      <c r="D130" s="95">
        <f>IF(OR(359.5162="",132.14837="",359.5162=0),"-",132.14837/359.5162*100)</f>
        <v>36.757278253386076</v>
      </c>
    </row>
    <row r="131" spans="1:4" x14ac:dyDescent="0.25">
      <c r="A131" s="40" t="s">
        <v>324</v>
      </c>
      <c r="B131" s="41">
        <v>-93.094220000000007</v>
      </c>
      <c r="C131" s="41">
        <v>156.32865000000001</v>
      </c>
      <c r="D131" s="95" t="s">
        <v>22</v>
      </c>
    </row>
    <row r="132" spans="1:4" x14ac:dyDescent="0.25">
      <c r="A132" s="40" t="s">
        <v>217</v>
      </c>
      <c r="B132" s="41">
        <v>-8.5579699999999992</v>
      </c>
      <c r="C132" s="41">
        <v>163.39339000000001</v>
      </c>
      <c r="D132" s="95" t="s">
        <v>22</v>
      </c>
    </row>
    <row r="133" spans="1:4" x14ac:dyDescent="0.25">
      <c r="A133" s="40" t="s">
        <v>326</v>
      </c>
      <c r="B133" s="41">
        <v>16.930250000000001</v>
      </c>
      <c r="C133" s="41">
        <v>168.79078999999999</v>
      </c>
      <c r="D133" s="95" t="s">
        <v>404</v>
      </c>
    </row>
    <row r="134" spans="1:4" x14ac:dyDescent="0.25">
      <c r="A134" s="40" t="s">
        <v>408</v>
      </c>
      <c r="B134" s="41">
        <v>-3.2932899999999998</v>
      </c>
      <c r="C134" s="41">
        <v>189.06397000000001</v>
      </c>
      <c r="D134" s="95" t="s">
        <v>22</v>
      </c>
    </row>
    <row r="135" spans="1:4" x14ac:dyDescent="0.25">
      <c r="A135" s="40" t="s">
        <v>344</v>
      </c>
      <c r="B135" s="41">
        <v>129.72873000000001</v>
      </c>
      <c r="C135" s="41">
        <v>211.45376999999999</v>
      </c>
      <c r="D135" s="95" t="s">
        <v>104</v>
      </c>
    </row>
    <row r="136" spans="1:4" x14ac:dyDescent="0.25">
      <c r="A136" s="40" t="s">
        <v>107</v>
      </c>
      <c r="B136" s="41">
        <v>-113.62423</v>
      </c>
      <c r="C136" s="41">
        <v>215.75702999999999</v>
      </c>
      <c r="D136" s="95" t="s">
        <v>22</v>
      </c>
    </row>
    <row r="137" spans="1:4" x14ac:dyDescent="0.25">
      <c r="A137" s="40" t="s">
        <v>135</v>
      </c>
      <c r="B137" s="41">
        <v>-45.860610000000001</v>
      </c>
      <c r="C137" s="41">
        <v>256.23255</v>
      </c>
      <c r="D137" s="95" t="s">
        <v>22</v>
      </c>
    </row>
    <row r="138" spans="1:4" x14ac:dyDescent="0.25">
      <c r="A138" s="40" t="s">
        <v>146</v>
      </c>
      <c r="B138" s="41">
        <v>223.99680000000001</v>
      </c>
      <c r="C138" s="41">
        <v>332.14800000000002</v>
      </c>
      <c r="D138" s="95">
        <f>IF(OR(223.9968="",332.148="",223.9968=0),"-",332.148/223.9968*100)</f>
        <v>148.28247546393521</v>
      </c>
    </row>
    <row r="139" spans="1:4" x14ac:dyDescent="0.25">
      <c r="A139" s="40" t="s">
        <v>126</v>
      </c>
      <c r="B139" s="41">
        <v>316.98912000000001</v>
      </c>
      <c r="C139" s="41">
        <v>341.61083000000002</v>
      </c>
      <c r="D139" s="95">
        <f>IF(OR(316.98912="",341.61083="",316.98912=0),"-",341.61083/316.98912*100)</f>
        <v>107.76736753614762</v>
      </c>
    </row>
    <row r="140" spans="1:4" x14ac:dyDescent="0.25">
      <c r="A140" s="40" t="s">
        <v>64</v>
      </c>
      <c r="B140" s="41">
        <v>-713.52363000000003</v>
      </c>
      <c r="C140" s="41">
        <v>371.95132000000001</v>
      </c>
      <c r="D140" s="95" t="s">
        <v>22</v>
      </c>
    </row>
    <row r="141" spans="1:4" x14ac:dyDescent="0.25">
      <c r="A141" s="40" t="s">
        <v>125</v>
      </c>
      <c r="B141" s="41">
        <v>1130.2453599999999</v>
      </c>
      <c r="C141" s="41">
        <v>570.02326000000005</v>
      </c>
      <c r="D141" s="95">
        <f>IF(OR(1130.24536="",570.02326="",1130.24536=0),"-",570.02326/1130.24536*100)</f>
        <v>50.433585500408519</v>
      </c>
    </row>
    <row r="142" spans="1:4" x14ac:dyDescent="0.25">
      <c r="A142" s="40" t="s">
        <v>325</v>
      </c>
      <c r="B142" s="41">
        <v>41.406709999999997</v>
      </c>
      <c r="C142" s="41">
        <v>635.28075999999999</v>
      </c>
      <c r="D142" s="95" t="s">
        <v>405</v>
      </c>
    </row>
    <row r="143" spans="1:4" x14ac:dyDescent="0.25">
      <c r="A143" s="40" t="s">
        <v>141</v>
      </c>
      <c r="B143" s="41">
        <v>415.00491</v>
      </c>
      <c r="C143" s="41">
        <v>669.15389000000005</v>
      </c>
      <c r="D143" s="95" t="s">
        <v>104</v>
      </c>
    </row>
    <row r="144" spans="1:4" x14ac:dyDescent="0.25">
      <c r="A144" s="40" t="s">
        <v>62</v>
      </c>
      <c r="B144" s="41">
        <v>-4362.6967599999998</v>
      </c>
      <c r="C144" s="41">
        <v>681.58942999999999</v>
      </c>
      <c r="D144" s="95" t="s">
        <v>22</v>
      </c>
    </row>
    <row r="145" spans="1:7" x14ac:dyDescent="0.25">
      <c r="A145" s="40" t="s">
        <v>221</v>
      </c>
      <c r="B145" s="41">
        <v>119.97</v>
      </c>
      <c r="C145" s="41">
        <v>690.77061000000003</v>
      </c>
      <c r="D145" s="95" t="s">
        <v>318</v>
      </c>
    </row>
    <row r="146" spans="1:7" x14ac:dyDescent="0.25">
      <c r="A146" s="40" t="s">
        <v>109</v>
      </c>
      <c r="B146" s="41">
        <v>468.74198999999999</v>
      </c>
      <c r="C146" s="41">
        <v>879.54264999999998</v>
      </c>
      <c r="D146" s="95" t="s">
        <v>105</v>
      </c>
    </row>
    <row r="147" spans="1:7" x14ac:dyDescent="0.25">
      <c r="A147" s="40" t="s">
        <v>129</v>
      </c>
      <c r="B147" s="41">
        <v>603.41070999999999</v>
      </c>
      <c r="C147" s="41">
        <v>907.39036999999996</v>
      </c>
      <c r="D147" s="95" t="s">
        <v>219</v>
      </c>
    </row>
    <row r="148" spans="1:7" x14ac:dyDescent="0.25">
      <c r="A148" s="40" t="s">
        <v>96</v>
      </c>
      <c r="B148" s="41">
        <v>440.95073000000002</v>
      </c>
      <c r="C148" s="41">
        <v>961.47868000000005</v>
      </c>
      <c r="D148" s="95" t="s">
        <v>208</v>
      </c>
    </row>
    <row r="149" spans="1:7" x14ac:dyDescent="0.25">
      <c r="A149" s="40" t="s">
        <v>148</v>
      </c>
      <c r="B149" s="41">
        <v>395.45679999999999</v>
      </c>
      <c r="C149" s="41">
        <v>1055.8590300000001</v>
      </c>
      <c r="D149" s="95" t="s">
        <v>303</v>
      </c>
    </row>
    <row r="150" spans="1:7" x14ac:dyDescent="0.25">
      <c r="A150" s="40" t="s">
        <v>37</v>
      </c>
      <c r="B150" s="41">
        <v>530.50509</v>
      </c>
      <c r="C150" s="41">
        <v>1145.90578</v>
      </c>
      <c r="D150" s="95" t="s">
        <v>208</v>
      </c>
    </row>
    <row r="151" spans="1:7" x14ac:dyDescent="0.25">
      <c r="A151" s="40" t="s">
        <v>216</v>
      </c>
      <c r="B151" s="41">
        <v>-178.58908</v>
      </c>
      <c r="C151" s="41">
        <v>1515.4066700000001</v>
      </c>
      <c r="D151" s="95" t="s">
        <v>22</v>
      </c>
    </row>
    <row r="152" spans="1:7" x14ac:dyDescent="0.25">
      <c r="A152" s="40" t="s">
        <v>77</v>
      </c>
      <c r="B152" s="41">
        <v>1181.6762100000001</v>
      </c>
      <c r="C152" s="41">
        <v>2117.9852799999999</v>
      </c>
      <c r="D152" s="95" t="s">
        <v>209</v>
      </c>
    </row>
    <row r="153" spans="1:7" x14ac:dyDescent="0.25">
      <c r="A153" s="40" t="s">
        <v>122</v>
      </c>
      <c r="B153" s="41">
        <v>3734.8108200000001</v>
      </c>
      <c r="C153" s="41">
        <v>4124.2402099999999</v>
      </c>
      <c r="D153" s="95">
        <f>IF(OR(3734.81082="",4124.24021="",3734.81082=0),"-",4124.24021/3734.81082*100)</f>
        <v>110.42701782683599</v>
      </c>
    </row>
    <row r="154" spans="1:7" x14ac:dyDescent="0.25">
      <c r="A154" s="40" t="s">
        <v>57</v>
      </c>
      <c r="B154" s="41">
        <v>5947.9005900000002</v>
      </c>
      <c r="C154" s="41">
        <v>5396.4017000000003</v>
      </c>
      <c r="D154" s="95">
        <f>IF(OR(5947.90059="",5396.4017="",5947.90059=0),"-",5396.4017/5947.90059*100)</f>
        <v>90.727839484620574</v>
      </c>
    </row>
    <row r="155" spans="1:7" x14ac:dyDescent="0.25">
      <c r="A155" s="40" t="s">
        <v>75</v>
      </c>
      <c r="B155" s="41">
        <v>-4058.7478900000001</v>
      </c>
      <c r="C155" s="41">
        <v>9658.6571600000007</v>
      </c>
      <c r="D155" s="95" t="s">
        <v>22</v>
      </c>
    </row>
    <row r="156" spans="1:7" x14ac:dyDescent="0.25">
      <c r="A156" s="40" t="s">
        <v>58</v>
      </c>
      <c r="B156" s="41">
        <v>17834.209579999999</v>
      </c>
      <c r="C156" s="41">
        <v>14457.14575</v>
      </c>
      <c r="D156" s="95">
        <f>IF(OR(17834.20958="",14457.14575="",17834.20958=0),"-",14457.14575/17834.20958*100)</f>
        <v>81.064123897101808</v>
      </c>
    </row>
    <row r="157" spans="1:7" x14ac:dyDescent="0.25">
      <c r="A157" s="40" t="s">
        <v>60</v>
      </c>
      <c r="B157" s="41">
        <v>10914.39848</v>
      </c>
      <c r="C157" s="41">
        <v>24050.339110000001</v>
      </c>
      <c r="D157" s="95" t="s">
        <v>208</v>
      </c>
    </row>
    <row r="158" spans="1:7" x14ac:dyDescent="0.25">
      <c r="A158" s="42" t="s">
        <v>352</v>
      </c>
      <c r="B158" s="43">
        <v>24725.555390000001</v>
      </c>
      <c r="C158" s="43">
        <v>67857.499049999999</v>
      </c>
      <c r="D158" s="96" t="s">
        <v>303</v>
      </c>
    </row>
    <row r="159" spans="1:7" x14ac:dyDescent="0.25">
      <c r="A159" s="70" t="s">
        <v>300</v>
      </c>
      <c r="B159" s="85"/>
      <c r="C159" s="85"/>
      <c r="D159" s="85"/>
      <c r="E159" s="85"/>
      <c r="F159" s="7"/>
      <c r="G159" s="7"/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H33" sqref="H33"/>
    </sheetView>
  </sheetViews>
  <sheetFormatPr defaultRowHeight="15.75" x14ac:dyDescent="0.25"/>
  <cols>
    <col min="1" max="1" width="30.37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103" t="s">
        <v>312</v>
      </c>
      <c r="B1" s="103"/>
      <c r="C1" s="103"/>
      <c r="D1" s="103"/>
      <c r="E1" s="103"/>
    </row>
    <row r="2" spans="1:6" x14ac:dyDescent="0.25">
      <c r="A2" s="7"/>
      <c r="B2" s="7"/>
      <c r="C2" s="7"/>
      <c r="D2" s="7"/>
      <c r="E2" s="7"/>
    </row>
    <row r="3" spans="1:6" ht="18.75" customHeight="1" x14ac:dyDescent="0.25">
      <c r="A3" s="104"/>
      <c r="B3" s="107" t="s">
        <v>369</v>
      </c>
      <c r="C3" s="108"/>
      <c r="D3" s="107" t="s">
        <v>108</v>
      </c>
      <c r="E3" s="123"/>
      <c r="F3" s="1"/>
    </row>
    <row r="4" spans="1:6" ht="18.75" customHeight="1" x14ac:dyDescent="0.25">
      <c r="A4" s="105"/>
      <c r="B4" s="111" t="s">
        <v>121</v>
      </c>
      <c r="C4" s="113" t="s">
        <v>370</v>
      </c>
      <c r="D4" s="115" t="s">
        <v>371</v>
      </c>
      <c r="E4" s="107"/>
      <c r="F4" s="1"/>
    </row>
    <row r="5" spans="1:6" ht="23.25" customHeight="1" x14ac:dyDescent="0.25">
      <c r="A5" s="106"/>
      <c r="B5" s="112"/>
      <c r="C5" s="114"/>
      <c r="D5" s="18">
        <v>2020</v>
      </c>
      <c r="E5" s="17">
        <v>2021</v>
      </c>
      <c r="F5" s="1"/>
    </row>
    <row r="6" spans="1:6" ht="15.75" customHeight="1" x14ac:dyDescent="0.25">
      <c r="A6" s="56" t="s">
        <v>136</v>
      </c>
      <c r="B6" s="82">
        <v>2819483.6893099998</v>
      </c>
      <c r="C6" s="37">
        <v>125.37369747597398</v>
      </c>
      <c r="D6" s="83">
        <v>100</v>
      </c>
      <c r="E6" s="83">
        <v>100</v>
      </c>
    </row>
    <row r="7" spans="1:6" ht="15.75" customHeight="1" x14ac:dyDescent="0.25">
      <c r="A7" s="57" t="s">
        <v>127</v>
      </c>
      <c r="B7" s="74"/>
      <c r="C7" s="51"/>
      <c r="D7" s="74"/>
      <c r="E7" s="74"/>
    </row>
    <row r="8" spans="1:6" x14ac:dyDescent="0.25">
      <c r="A8" s="58" t="s">
        <v>112</v>
      </c>
      <c r="B8" s="41">
        <v>247196.48597000001</v>
      </c>
      <c r="C8" s="52" t="s">
        <v>104</v>
      </c>
      <c r="D8" s="41">
        <f>IF(157930.75131="","-",157930.75131/2248863.79366*100)</f>
        <v>7.0226908252620097</v>
      </c>
      <c r="E8" s="41">
        <f>IF(247196.48597="","-",247196.48597/2819483.68931*100)</f>
        <v>8.7674380563802909</v>
      </c>
    </row>
    <row r="9" spans="1:6" x14ac:dyDescent="0.25">
      <c r="A9" s="58" t="s">
        <v>113</v>
      </c>
      <c r="B9" s="41">
        <v>143747.94675999999</v>
      </c>
      <c r="C9" s="52" t="s">
        <v>208</v>
      </c>
      <c r="D9" s="41">
        <f>IF(64488.39064="","-",64488.39064/2248863.79366*100)</f>
        <v>2.8675987768492588</v>
      </c>
      <c r="E9" s="41">
        <f>IF(143747.94676="","-",143747.94676/2819483.68931*100)</f>
        <v>5.0983783770417492</v>
      </c>
    </row>
    <row r="10" spans="1:6" x14ac:dyDescent="0.25">
      <c r="A10" s="58" t="s">
        <v>114</v>
      </c>
      <c r="B10" s="41">
        <v>2394483.8820799999</v>
      </c>
      <c r="C10" s="52">
        <v>119.6601218733632</v>
      </c>
      <c r="D10" s="41">
        <f>IF(2001070.90365="","-",2001070.90365/2248863.79366*100)</f>
        <v>88.981418496372342</v>
      </c>
      <c r="E10" s="41">
        <f>IF(2394483.88208="","-",2394483.88208/2819483.68931*100)</f>
        <v>84.926325027473084</v>
      </c>
    </row>
    <row r="11" spans="1:6" x14ac:dyDescent="0.25">
      <c r="A11" s="58" t="s">
        <v>115</v>
      </c>
      <c r="B11" s="41">
        <v>32853.444759999998</v>
      </c>
      <c r="C11" s="52">
        <v>134.86392465737899</v>
      </c>
      <c r="D11" s="41">
        <f>IF(24360.43949="","-",24360.43949/2248863.79366*100)</f>
        <v>1.0832332113077274</v>
      </c>
      <c r="E11" s="41">
        <f>IF(32853.44476="","-",32853.44476/2819483.68931*100)</f>
        <v>1.1652291121442904</v>
      </c>
    </row>
    <row r="12" spans="1:6" x14ac:dyDescent="0.25">
      <c r="A12" s="58" t="s">
        <v>116</v>
      </c>
      <c r="B12" s="41">
        <v>1066.0550499999999</v>
      </c>
      <c r="C12" s="52">
        <v>112.60673690682606</v>
      </c>
      <c r="D12" s="41">
        <f>IF(946.70628="","-",946.70628/2248863.79366*100)</f>
        <v>4.2097092881701222E-2</v>
      </c>
      <c r="E12" s="41">
        <f>IF(1066.05505="","-",1066.05505/2819483.68931*100)</f>
        <v>3.781029321226153E-2</v>
      </c>
    </row>
    <row r="13" spans="1:6" x14ac:dyDescent="0.25">
      <c r="A13" s="58" t="s">
        <v>117</v>
      </c>
      <c r="B13" s="41">
        <v>5.6939700000000002</v>
      </c>
      <c r="C13" s="52">
        <v>86.448706678630487</v>
      </c>
      <c r="D13" s="41">
        <f>IF(6.58653="","-",6.58653/2248863.79366*100)</f>
        <v>2.9288256667961638E-4</v>
      </c>
      <c r="E13" s="41">
        <f>IF(5.69397="","-",5.69397/2819483.68931*100)</f>
        <v>2.0195080473735461E-4</v>
      </c>
    </row>
    <row r="14" spans="1:6" x14ac:dyDescent="0.25">
      <c r="A14" s="58" t="s">
        <v>118</v>
      </c>
      <c r="B14" s="41">
        <v>130.18072000000001</v>
      </c>
      <c r="C14" s="52" t="s">
        <v>208</v>
      </c>
      <c r="D14" s="41">
        <f>IF(60.01576="","-",60.01576/2248863.79366*100)</f>
        <v>2.6687147602801253E-3</v>
      </c>
      <c r="E14" s="41">
        <f>IF(130.18072="","-",130.18072/2819483.68931*100)</f>
        <v>4.6171829435856246E-3</v>
      </c>
    </row>
    <row r="15" spans="1:6" x14ac:dyDescent="0.25">
      <c r="A15" s="38" t="s">
        <v>211</v>
      </c>
      <c r="B15" s="39">
        <v>1726465.9953399999</v>
      </c>
      <c r="C15" s="53">
        <v>114.91494345294828</v>
      </c>
      <c r="D15" s="39">
        <f>IF(1502385.9765="","-",1502385.9765/2248863.79366*100)</f>
        <v>66.80644602556761</v>
      </c>
      <c r="E15" s="39">
        <f>IF(1726465.99534="","-",1726465.99534/2819483.68931*100)</f>
        <v>61.233409573740452</v>
      </c>
    </row>
    <row r="16" spans="1:6" x14ac:dyDescent="0.25">
      <c r="A16" s="57" t="s">
        <v>127</v>
      </c>
      <c r="B16" s="39"/>
      <c r="C16" s="53"/>
      <c r="D16" s="39"/>
      <c r="E16" s="39"/>
    </row>
    <row r="17" spans="1:11" x14ac:dyDescent="0.25">
      <c r="A17" s="58" t="s">
        <v>112</v>
      </c>
      <c r="B17" s="41">
        <v>114777.23564</v>
      </c>
      <c r="C17" s="54">
        <v>149.57313970995986</v>
      </c>
      <c r="D17" s="41">
        <f>IF(76736.52894="","-",76736.52894/2248863.79366*100)</f>
        <v>3.4122355100533763</v>
      </c>
      <c r="E17" s="41">
        <f>IF(114777.23564="","-",114777.23564/2819483.68931*100)</f>
        <v>4.0708600682875007</v>
      </c>
      <c r="K17" s="20"/>
    </row>
    <row r="18" spans="1:11" x14ac:dyDescent="0.25">
      <c r="A18" s="58" t="s">
        <v>113</v>
      </c>
      <c r="B18" s="41">
        <v>27726.62559</v>
      </c>
      <c r="C18" s="54" t="s">
        <v>20</v>
      </c>
      <c r="D18" s="41">
        <f>IF(13735.03724="","-",13735.03724/2248863.79366*100)</f>
        <v>0.61075451873616515</v>
      </c>
      <c r="E18" s="41">
        <f>IF(27726.62559="","-",27726.62559/2819483.68931*100)</f>
        <v>0.98339372187627083</v>
      </c>
    </row>
    <row r="19" spans="1:11" x14ac:dyDescent="0.25">
      <c r="A19" s="58" t="s">
        <v>114</v>
      </c>
      <c r="B19" s="41">
        <v>1578520.41539</v>
      </c>
      <c r="C19" s="54">
        <v>112.19452095852169</v>
      </c>
      <c r="D19" s="41">
        <f>IF(1406949.64594="","-",1406949.64594/2248863.79366*100)</f>
        <v>62.562688318717854</v>
      </c>
      <c r="E19" s="41">
        <f>IF(1578520.41539="","-",1578520.41539/2819483.68931*100)</f>
        <v>55.986151697735288</v>
      </c>
    </row>
    <row r="20" spans="1:11" x14ac:dyDescent="0.25">
      <c r="A20" s="58" t="s">
        <v>115</v>
      </c>
      <c r="B20" s="41">
        <v>4444.3020500000002</v>
      </c>
      <c r="C20" s="54">
        <v>99.81580855378526</v>
      </c>
      <c r="D20" s="41">
        <f>IF(4452.50317999999="","-",4452.50317999999/2248863.79366*100)</f>
        <v>0.1979890108308246</v>
      </c>
      <c r="E20" s="41">
        <f>IF(4444.30205="","-",4444.30205/2819483.68931*100)</f>
        <v>0.15762822345277105</v>
      </c>
    </row>
    <row r="21" spans="1:11" x14ac:dyDescent="0.25">
      <c r="A21" s="58" t="s">
        <v>116</v>
      </c>
      <c r="B21" s="41">
        <v>910.51179999999999</v>
      </c>
      <c r="C21" s="54" t="s">
        <v>105</v>
      </c>
      <c r="D21" s="41">
        <f>IF(467.67977="","-",467.67977/2248863.79366*100)</f>
        <v>2.0796269267995843E-2</v>
      </c>
      <c r="E21" s="41">
        <f>IF(910.5118="","-",910.5118/2819483.68931*100)</f>
        <v>3.2293565075484643E-2</v>
      </c>
    </row>
    <row r="22" spans="1:11" x14ac:dyDescent="0.25">
      <c r="A22" s="45" t="s">
        <v>118</v>
      </c>
      <c r="B22" s="41">
        <v>86.904870000000003</v>
      </c>
      <c r="C22" s="54" t="s">
        <v>105</v>
      </c>
      <c r="D22" s="41">
        <f>IF(44.58143="","-",44.58143/2248863.79366*100)</f>
        <v>1.9823979613920609E-3</v>
      </c>
      <c r="E22" s="41">
        <f>IF(86.90487="","-",86.90487/2819483.68931*100)</f>
        <v>3.0822973131391959E-3</v>
      </c>
    </row>
    <row r="23" spans="1:11" x14ac:dyDescent="0.25">
      <c r="A23" s="38" t="s">
        <v>212</v>
      </c>
      <c r="B23" s="39">
        <v>422984.18825000001</v>
      </c>
      <c r="C23" s="53">
        <v>124.41773529777677</v>
      </c>
      <c r="D23" s="39">
        <f>IF(339970.97539="","-",339970.97539/2248863.79366*100)</f>
        <v>15.117455149949349</v>
      </c>
      <c r="E23" s="39">
        <f>IF(422984.18825="","-",422984.18825/2819483.68931*100)</f>
        <v>15.002186033341273</v>
      </c>
    </row>
    <row r="24" spans="1:11" x14ac:dyDescent="0.25">
      <c r="A24" s="57" t="s">
        <v>127</v>
      </c>
      <c r="B24" s="39"/>
      <c r="C24" s="53"/>
      <c r="D24" s="39"/>
      <c r="E24" s="97"/>
    </row>
    <row r="25" spans="1:11" x14ac:dyDescent="0.25">
      <c r="A25" s="58" t="s">
        <v>112</v>
      </c>
      <c r="B25" s="41">
        <v>10285.6726</v>
      </c>
      <c r="C25" s="54" t="s">
        <v>407</v>
      </c>
      <c r="D25" s="41">
        <f>IF(3325.65268="","-",3325.65268/2248863.79366*100)</f>
        <v>0.1478814630470589</v>
      </c>
      <c r="E25" s="41">
        <f>IF(10285.6726="","-",10285.6726/2819483.68931*100)</f>
        <v>0.36480695522367673</v>
      </c>
    </row>
    <row r="26" spans="1:11" x14ac:dyDescent="0.25">
      <c r="A26" s="58" t="s">
        <v>113</v>
      </c>
      <c r="B26" s="41">
        <v>12178.058919999999</v>
      </c>
      <c r="C26" s="54" t="s">
        <v>103</v>
      </c>
      <c r="D26" s="41">
        <f>IF(7261.62288="","-",7261.62288/2248863.79366*100)</f>
        <v>0.32290185383712333</v>
      </c>
      <c r="E26" s="41">
        <f>IF(12178.05892="","-",12178.05892/2819483.68931*100)</f>
        <v>0.43192514169075696</v>
      </c>
      <c r="F26" s="1"/>
      <c r="G26" s="1"/>
    </row>
    <row r="27" spans="1:11" x14ac:dyDescent="0.25">
      <c r="A27" s="58" t="s">
        <v>114</v>
      </c>
      <c r="B27" s="41">
        <v>391486.87968999997</v>
      </c>
      <c r="C27" s="54">
        <v>121.755154478954</v>
      </c>
      <c r="D27" s="41">
        <f>IF(321536.18577="","-",321536.18577/2248863.79366*100)</f>
        <v>14.297717215087694</v>
      </c>
      <c r="E27" s="41">
        <f>IF(391486.87969="","-",391486.87969/2819483.68931*100)</f>
        <v>13.885055663712913</v>
      </c>
      <c r="F27" s="8"/>
      <c r="G27" s="8"/>
    </row>
    <row r="28" spans="1:11" x14ac:dyDescent="0.25">
      <c r="A28" s="58" t="s">
        <v>115</v>
      </c>
      <c r="B28" s="41">
        <v>8952.9646900000007</v>
      </c>
      <c r="C28" s="54">
        <v>116.06302199503023</v>
      </c>
      <c r="D28" s="41">
        <f>IF(7713.88211="","-",7713.88211/2248863.79366*100)</f>
        <v>0.34301241950477335</v>
      </c>
      <c r="E28" s="41">
        <f>IF(8952.96469="","-",8952.96469/2819483.68931*100)</f>
        <v>0.317539155269631</v>
      </c>
    </row>
    <row r="29" spans="1:11" x14ac:dyDescent="0.25">
      <c r="A29" s="58" t="s">
        <v>116</v>
      </c>
      <c r="B29" s="41">
        <v>37.259909999999998</v>
      </c>
      <c r="C29" s="54">
        <v>33.383698698758337</v>
      </c>
      <c r="D29" s="41">
        <f>IF(111.61109="","-",111.61109/2248863.79366*100)</f>
        <v>4.9629991071337516E-3</v>
      </c>
      <c r="E29" s="41">
        <f>IF(37.25991="","-",37.25991/2819483.68931*100)</f>
        <v>1.3215153590449909E-3</v>
      </c>
    </row>
    <row r="30" spans="1:11" x14ac:dyDescent="0.25">
      <c r="A30" s="58" t="s">
        <v>117</v>
      </c>
      <c r="B30" s="41">
        <v>5.6939700000000002</v>
      </c>
      <c r="C30" s="54">
        <v>86.448706678630487</v>
      </c>
      <c r="D30" s="41">
        <f>IF(6.58653="","-",6.58653/2248863.79366*100)</f>
        <v>2.9288256667961638E-4</v>
      </c>
      <c r="E30" s="41">
        <f>IF(5.69397="","-",5.69397/2819483.68931*100)</f>
        <v>2.0195080473735461E-4</v>
      </c>
    </row>
    <row r="31" spans="1:11" x14ac:dyDescent="0.25">
      <c r="A31" s="58" t="s">
        <v>118</v>
      </c>
      <c r="B31" s="41">
        <v>37.658470000000001</v>
      </c>
      <c r="C31" s="54" t="s">
        <v>304</v>
      </c>
      <c r="D31" s="41">
        <f>IF(15.43433="","-",15.43433/2248863.79366*100)</f>
        <v>6.863167988880645E-4</v>
      </c>
      <c r="E31" s="41">
        <f>IF(37.65847="","-",37.65847/2819483.68931*100)</f>
        <v>1.3356512805085955E-3</v>
      </c>
    </row>
    <row r="32" spans="1:11" x14ac:dyDescent="0.25">
      <c r="A32" s="38" t="s">
        <v>319</v>
      </c>
      <c r="B32" s="39">
        <v>670033.50572000002</v>
      </c>
      <c r="C32" s="53" t="s">
        <v>104</v>
      </c>
      <c r="D32" s="39">
        <f>IF(406506.84177="","-",406506.84177/2248863.79366*100)</f>
        <v>18.07609882448304</v>
      </c>
      <c r="E32" s="39">
        <f>IF(670033.50572="","-",670033.50572/2819483.68931*100)</f>
        <v>23.76440439291828</v>
      </c>
    </row>
    <row r="33" spans="1:5" x14ac:dyDescent="0.25">
      <c r="A33" s="57" t="s">
        <v>127</v>
      </c>
      <c r="B33" s="39"/>
      <c r="C33" s="53"/>
      <c r="D33" s="39"/>
      <c r="E33" s="39"/>
    </row>
    <row r="34" spans="1:5" x14ac:dyDescent="0.25">
      <c r="A34" s="58" t="s">
        <v>112</v>
      </c>
      <c r="B34" s="41">
        <v>122133.57773</v>
      </c>
      <c r="C34" s="54" t="s">
        <v>104</v>
      </c>
      <c r="D34" s="41">
        <f>IF(77868.56969="","-",77868.56969/2248863.79366*100)</f>
        <v>3.4625738521615754</v>
      </c>
      <c r="E34" s="41">
        <f>IF(122133.57773="","-",122133.57773/2819483.68931*100)</f>
        <v>4.3317710328691144</v>
      </c>
    </row>
    <row r="35" spans="1:5" x14ac:dyDescent="0.25">
      <c r="A35" s="58" t="s">
        <v>113</v>
      </c>
      <c r="B35" s="41">
        <v>103843.26225</v>
      </c>
      <c r="C35" s="54" t="s">
        <v>304</v>
      </c>
      <c r="D35" s="41">
        <f>IF(43491.73052="","-",43491.73052/2248863.79366*100)</f>
        <v>1.9339424042759703</v>
      </c>
      <c r="E35" s="41">
        <f>IF(103843.26225="","-",103843.26225/2819483.68931*100)</f>
        <v>3.6830595134747215</v>
      </c>
    </row>
    <row r="36" spans="1:5" x14ac:dyDescent="0.25">
      <c r="A36" s="58" t="s">
        <v>114</v>
      </c>
      <c r="B36" s="41">
        <v>424476.587</v>
      </c>
      <c r="C36" s="54" t="s">
        <v>104</v>
      </c>
      <c r="D36" s="41">
        <f>IF(272585.07194="","-",272585.07194/2248863.79366*100)</f>
        <v>12.121012962566796</v>
      </c>
      <c r="E36" s="41">
        <f>IF(424476.587="","-",424476.587/2819483.68931*100)</f>
        <v>15.055117666024886</v>
      </c>
    </row>
    <row r="37" spans="1:5" x14ac:dyDescent="0.25">
      <c r="A37" s="58" t="s">
        <v>115</v>
      </c>
      <c r="B37" s="41">
        <v>19456.178019999999</v>
      </c>
      <c r="C37" s="54" t="s">
        <v>104</v>
      </c>
      <c r="D37" s="41">
        <f>IF(12194.0542="","-",12194.0542/2248863.79366*100)</f>
        <v>0.54223178097212898</v>
      </c>
      <c r="E37" s="41">
        <f>IF(19456.17802="","-",19456.17802/2819483.68931*100)</f>
        <v>0.69006173342188859</v>
      </c>
    </row>
    <row r="38" spans="1:5" x14ac:dyDescent="0.25">
      <c r="A38" s="45" t="s">
        <v>116</v>
      </c>
      <c r="B38" s="50">
        <v>118.28334</v>
      </c>
      <c r="C38" s="55">
        <v>32.193352146189177</v>
      </c>
      <c r="D38" s="41">
        <f>IF(367.41542="","-",367.41542/2248863.79366*100)</f>
        <v>1.6337824506571633E-2</v>
      </c>
      <c r="E38" s="41">
        <f>IF(118.28334="","-",118.28334/2819483.68931*100)</f>
        <v>4.1952127777319034E-3</v>
      </c>
    </row>
    <row r="39" spans="1:5" x14ac:dyDescent="0.25">
      <c r="A39" s="59" t="s">
        <v>118</v>
      </c>
      <c r="B39" s="43">
        <v>5.6173799999999998</v>
      </c>
      <c r="C39" s="98" t="s">
        <v>302</v>
      </c>
      <c r="D39" s="43" t="s">
        <v>302</v>
      </c>
      <c r="E39" s="43">
        <f>IF(5.61738="","-",5.61738/2819483.68931*100)</f>
        <v>1.9923434993783268E-4</v>
      </c>
    </row>
    <row r="40" spans="1:5" x14ac:dyDescent="0.25">
      <c r="A40" s="72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1"/>
  <sheetViews>
    <sheetView workbookViewId="0">
      <selection activeCell="A35" sqref="A35"/>
    </sheetView>
  </sheetViews>
  <sheetFormatPr defaultRowHeight="15.75" x14ac:dyDescent="0.25"/>
  <cols>
    <col min="1" max="1" width="31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103" t="s">
        <v>311</v>
      </c>
      <c r="B1" s="103"/>
      <c r="C1" s="103"/>
      <c r="D1" s="103"/>
      <c r="E1" s="103"/>
    </row>
    <row r="2" spans="1:6" x14ac:dyDescent="0.25">
      <c r="A2" s="7"/>
      <c r="B2" s="7"/>
      <c r="C2" s="7"/>
      <c r="D2" s="7"/>
      <c r="E2" s="7"/>
    </row>
    <row r="3" spans="1:6" ht="17.25" customHeight="1" x14ac:dyDescent="0.25">
      <c r="A3" s="104"/>
      <c r="B3" s="107" t="s">
        <v>369</v>
      </c>
      <c r="C3" s="108"/>
      <c r="D3" s="107" t="s">
        <v>108</v>
      </c>
      <c r="E3" s="123"/>
      <c r="F3" s="1"/>
    </row>
    <row r="4" spans="1:6" ht="20.25" customHeight="1" x14ac:dyDescent="0.25">
      <c r="A4" s="105"/>
      <c r="B4" s="111" t="s">
        <v>121</v>
      </c>
      <c r="C4" s="113" t="s">
        <v>370</v>
      </c>
      <c r="D4" s="115" t="s">
        <v>371</v>
      </c>
      <c r="E4" s="107"/>
      <c r="F4" s="1"/>
    </row>
    <row r="5" spans="1:6" ht="20.25" customHeight="1" x14ac:dyDescent="0.25">
      <c r="A5" s="106"/>
      <c r="B5" s="112"/>
      <c r="C5" s="114"/>
      <c r="D5" s="24">
        <v>2020</v>
      </c>
      <c r="E5" s="23">
        <v>2021</v>
      </c>
      <c r="F5" s="1"/>
    </row>
    <row r="6" spans="1:6" ht="15.75" customHeight="1" x14ac:dyDescent="0.25">
      <c r="A6" s="56" t="s">
        <v>128</v>
      </c>
      <c r="B6" s="37">
        <v>6419550.41866</v>
      </c>
      <c r="C6" s="37">
        <v>132.39772977334059</v>
      </c>
      <c r="D6" s="84">
        <v>100</v>
      </c>
      <c r="E6" s="84">
        <v>100</v>
      </c>
    </row>
    <row r="7" spans="1:6" ht="15.75" customHeight="1" x14ac:dyDescent="0.25">
      <c r="A7" s="57" t="s">
        <v>127</v>
      </c>
      <c r="B7" s="25"/>
      <c r="C7" s="75"/>
      <c r="D7" s="25"/>
      <c r="E7" s="25"/>
    </row>
    <row r="8" spans="1:6" x14ac:dyDescent="0.25">
      <c r="A8" s="58" t="s">
        <v>112</v>
      </c>
      <c r="B8" s="50">
        <v>212056.30476999999</v>
      </c>
      <c r="C8" s="76" t="s">
        <v>316</v>
      </c>
      <c r="D8" s="50">
        <f>IF(70461.48792="","-",70461.48792/4848686.17434*100)</f>
        <v>1.4532078461355806</v>
      </c>
      <c r="E8" s="50">
        <f>IF(212056.30477="","-",212056.30477/6419550.41866*100)</f>
        <v>3.3032890302349878</v>
      </c>
    </row>
    <row r="9" spans="1:6" x14ac:dyDescent="0.25">
      <c r="A9" s="58" t="s">
        <v>113</v>
      </c>
      <c r="B9" s="50">
        <v>292921.30719000002</v>
      </c>
      <c r="C9" s="76">
        <v>130.99750043023769</v>
      </c>
      <c r="D9" s="50">
        <f>IF(223608.31789="","-",223608.31789/4848686.17434*100)</f>
        <v>4.6117300615034624</v>
      </c>
      <c r="E9" s="50">
        <f>IF(292921.30719="","-",292921.30719/6419550.41866*100)</f>
        <v>4.5629567195009839</v>
      </c>
    </row>
    <row r="10" spans="1:6" x14ac:dyDescent="0.25">
      <c r="A10" s="58" t="s">
        <v>114</v>
      </c>
      <c r="B10" s="50">
        <v>5413168.8647600003</v>
      </c>
      <c r="C10" s="76">
        <v>127.2652864385721</v>
      </c>
      <c r="D10" s="50">
        <f>IF(4253452.7806="","-",4253452.7806/4848686.17434*100)</f>
        <v>87.723821003510849</v>
      </c>
      <c r="E10" s="50">
        <f>IF(5413168.86476="","-",5413168.86476/6419550.41866*100)</f>
        <v>84.323177040954391</v>
      </c>
    </row>
    <row r="11" spans="1:6" x14ac:dyDescent="0.25">
      <c r="A11" s="58" t="s">
        <v>115</v>
      </c>
      <c r="B11" s="50">
        <v>152582.22015000001</v>
      </c>
      <c r="C11" s="76">
        <v>134.30001636266712</v>
      </c>
      <c r="D11" s="50">
        <f>IF(113612.95723="","-",113612.95723/4848686.17434*100)</f>
        <v>2.3431699463507742</v>
      </c>
      <c r="E11" s="50">
        <f>IF(152582.22015="","-",152582.22015/6419550.41866*100)</f>
        <v>2.3768365414886734</v>
      </c>
    </row>
    <row r="12" spans="1:6" x14ac:dyDescent="0.25">
      <c r="A12" s="58" t="s">
        <v>116</v>
      </c>
      <c r="B12" s="50">
        <v>10630.143529999999</v>
      </c>
      <c r="C12" s="76">
        <v>94.065203290313192</v>
      </c>
      <c r="D12" s="50">
        <f>IF(11300.82449="","-",11300.82449/4848686.17434*100)</f>
        <v>0.23306982724115491</v>
      </c>
      <c r="E12" s="50">
        <f>IF(10630.14353="","-",10630.14353/6419550.41866*100)</f>
        <v>0.16559015564549312</v>
      </c>
    </row>
    <row r="13" spans="1:6" x14ac:dyDescent="0.25">
      <c r="A13" s="58" t="s">
        <v>117</v>
      </c>
      <c r="B13" s="50">
        <v>297227.14782000001</v>
      </c>
      <c r="C13" s="76" t="s">
        <v>20</v>
      </c>
      <c r="D13" s="50">
        <f>IF(149491.1171="","-",149491.1171/4848686.17434*100)</f>
        <v>3.0831262681245528</v>
      </c>
      <c r="E13" s="50">
        <f>IF(297227.14782="","-",297227.14782/6419550.41866*100)</f>
        <v>4.6300305852577512</v>
      </c>
    </row>
    <row r="14" spans="1:6" x14ac:dyDescent="0.25">
      <c r="A14" s="58" t="s">
        <v>118</v>
      </c>
      <c r="B14" s="50">
        <v>40964.430439999996</v>
      </c>
      <c r="C14" s="76" t="s">
        <v>219</v>
      </c>
      <c r="D14" s="50">
        <f>IF(26758.68911="","-",26758.68911/4848686.17434*100)</f>
        <v>0.5518750471336159</v>
      </c>
      <c r="E14" s="50">
        <f>IF(40964.43044="","-",40964.43044/6419550.41866*100)</f>
        <v>0.63811992691772956</v>
      </c>
    </row>
    <row r="15" spans="1:6" x14ac:dyDescent="0.25">
      <c r="A15" s="38" t="s">
        <v>211</v>
      </c>
      <c r="B15" s="60">
        <v>2854894.6896899999</v>
      </c>
      <c r="C15" s="77">
        <v>128.41657273407367</v>
      </c>
      <c r="D15" s="60">
        <f>IF(2223151.28718="","-",2223151.28718/4848686.17434*100)</f>
        <v>45.850591422997461</v>
      </c>
      <c r="E15" s="60">
        <f>IF(2854894.68969="","-",2854894.68969/6419550.41866*100)</f>
        <v>44.471878924598016</v>
      </c>
    </row>
    <row r="16" spans="1:6" x14ac:dyDescent="0.25">
      <c r="A16" s="57" t="s">
        <v>127</v>
      </c>
      <c r="B16" s="25"/>
      <c r="C16" s="77"/>
      <c r="D16" s="25"/>
      <c r="E16" s="25"/>
    </row>
    <row r="17" spans="1:7" x14ac:dyDescent="0.25">
      <c r="A17" s="58" t="s">
        <v>112</v>
      </c>
      <c r="B17" s="50">
        <v>64794.440049999997</v>
      </c>
      <c r="C17" s="55" t="s">
        <v>294</v>
      </c>
      <c r="D17" s="50">
        <f>IF(24456.13301="","-",24456.13301/4848686.17434*100)</f>
        <v>0.50438679944735654</v>
      </c>
      <c r="E17" s="50">
        <f>IF(64794.44005="","-",64794.44005/6419550.41866*100)</f>
        <v>1.0093298724106761</v>
      </c>
    </row>
    <row r="18" spans="1:7" x14ac:dyDescent="0.25">
      <c r="A18" s="58" t="s">
        <v>113</v>
      </c>
      <c r="B18" s="50">
        <v>97494.777199999997</v>
      </c>
      <c r="C18" s="55" t="s">
        <v>414</v>
      </c>
      <c r="D18" s="50">
        <f>IF(22263.72154="","-",22263.72154/4848686.17434*100)</f>
        <v>0.459170190428555</v>
      </c>
      <c r="E18" s="50">
        <f>IF(97494.7772="","-",97494.7772/6419550.41866*100)</f>
        <v>1.5187165898192416</v>
      </c>
    </row>
    <row r="19" spans="1:7" x14ac:dyDescent="0.25">
      <c r="A19" s="58" t="s">
        <v>114</v>
      </c>
      <c r="B19" s="50">
        <v>2617378.2003899999</v>
      </c>
      <c r="C19" s="55">
        <v>123.27641718851963</v>
      </c>
      <c r="D19" s="50">
        <f>IF(2123178.34999="","-",2123178.34999/4848686.17434*100)</f>
        <v>43.788735208852856</v>
      </c>
      <c r="E19" s="50">
        <f>IF(2617378.20039="","-",2617378.20039/6419550.41866*100)</f>
        <v>40.771986037868743</v>
      </c>
    </row>
    <row r="20" spans="1:7" x14ac:dyDescent="0.25">
      <c r="A20" s="58" t="s">
        <v>115</v>
      </c>
      <c r="B20" s="50">
        <v>36716.688840000003</v>
      </c>
      <c r="C20" s="55">
        <v>137.77293548123819</v>
      </c>
      <c r="D20" s="50">
        <f>IF(26650.14628="","-",26650.14628/4848686.17434*100)</f>
        <v>0.54963644421939928</v>
      </c>
      <c r="E20" s="50">
        <f>IF(36716.68884="","-",36716.68884/6419550.41866*100)</f>
        <v>0.57195109385345633</v>
      </c>
    </row>
    <row r="21" spans="1:7" x14ac:dyDescent="0.25">
      <c r="A21" s="58" t="s">
        <v>116</v>
      </c>
      <c r="B21" s="50">
        <v>5358.1956499999997</v>
      </c>
      <c r="C21" s="55" t="s">
        <v>219</v>
      </c>
      <c r="D21" s="50">
        <f>IF(3562.96924="","-",3562.96924/4848686.17434*100)</f>
        <v>7.348318929890299E-2</v>
      </c>
      <c r="E21" s="50">
        <f>IF(5358.19565="","-",5358.19565/6419550.41866*100)</f>
        <v>8.3466836469187747E-2</v>
      </c>
    </row>
    <row r="22" spans="1:7" x14ac:dyDescent="0.25">
      <c r="A22" s="58" t="s">
        <v>118</v>
      </c>
      <c r="B22" s="50">
        <v>33152.387560000003</v>
      </c>
      <c r="C22" s="55">
        <v>144.38237535296935</v>
      </c>
      <c r="D22" s="50">
        <f>IF(22961.5197="","-",22961.5197/4848686.17434*100)</f>
        <v>0.47356167989415204</v>
      </c>
      <c r="E22" s="50">
        <f>IF(33152.38756="","-",33152.38756/6419550.41866*100)</f>
        <v>0.51642849417670189</v>
      </c>
    </row>
    <row r="23" spans="1:7" x14ac:dyDescent="0.25">
      <c r="A23" s="38" t="s">
        <v>212</v>
      </c>
      <c r="B23" s="60">
        <v>1670193.76428</v>
      </c>
      <c r="C23" s="60">
        <v>141.20294758816416</v>
      </c>
      <c r="D23" s="60">
        <f>IF(1182832.08163="","-",1182832.08163/4848686.17434*100)</f>
        <v>24.394898723075354</v>
      </c>
      <c r="E23" s="60">
        <f>IF(1670193.76428="","-",1670193.76428/6419550.41866*100)</f>
        <v>26.017301140359795</v>
      </c>
    </row>
    <row r="24" spans="1:7" x14ac:dyDescent="0.25">
      <c r="A24" s="58" t="s">
        <v>127</v>
      </c>
      <c r="B24" s="25"/>
      <c r="C24" s="78"/>
      <c r="D24" s="25"/>
      <c r="E24" s="99"/>
    </row>
    <row r="25" spans="1:7" x14ac:dyDescent="0.25">
      <c r="A25" s="58" t="s">
        <v>112</v>
      </c>
      <c r="B25" s="50">
        <v>125635.24787000001</v>
      </c>
      <c r="C25" s="76" t="s">
        <v>342</v>
      </c>
      <c r="D25" s="50">
        <f>IF(33528.9263="","-",33528.9263/4848686.17434*100)</f>
        <v>0.69150539124268917</v>
      </c>
      <c r="E25" s="50">
        <f>IF(125635.24787="","-",125635.24787/6419550.41866*100)</f>
        <v>1.9570723754238351</v>
      </c>
    </row>
    <row r="26" spans="1:7" x14ac:dyDescent="0.25">
      <c r="A26" s="58" t="s">
        <v>113</v>
      </c>
      <c r="B26" s="50">
        <v>195310.23985000001</v>
      </c>
      <c r="C26" s="76">
        <v>97.106825211119059</v>
      </c>
      <c r="D26" s="50">
        <f>IF(201129.26092="","-",201129.26092/4848686.17434*100)</f>
        <v>4.1481187622413529</v>
      </c>
      <c r="E26" s="50">
        <f>IF(195310.23985="","-",195310.23985/6419550.41866*100)</f>
        <v>3.0424286299283954</v>
      </c>
      <c r="F26" s="1"/>
      <c r="G26" s="1"/>
    </row>
    <row r="27" spans="1:7" x14ac:dyDescent="0.25">
      <c r="A27" s="58" t="s">
        <v>114</v>
      </c>
      <c r="B27" s="50">
        <v>1024220.59715</v>
      </c>
      <c r="C27" s="76">
        <v>130.63301513734541</v>
      </c>
      <c r="D27" s="50">
        <f>IF(784044.2143="","-",784044.2143/4848686.17434*100)</f>
        <v>16.170240475642323</v>
      </c>
      <c r="E27" s="50">
        <f>IF(1024220.59715="","-",1024220.59715/6419550.41866*100)</f>
        <v>15.954709136216943</v>
      </c>
      <c r="F27" s="1"/>
      <c r="G27" s="1"/>
    </row>
    <row r="28" spans="1:7" x14ac:dyDescent="0.25">
      <c r="A28" s="58" t="s">
        <v>115</v>
      </c>
      <c r="B28" s="50">
        <v>25016.851760000001</v>
      </c>
      <c r="C28" s="76" t="s">
        <v>105</v>
      </c>
      <c r="D28" s="50">
        <f>IF(13342.86798="","-",13342.86798/4848686.17434*100)</f>
        <v>0.27518522544545221</v>
      </c>
      <c r="E28" s="50">
        <f>IF(25016.85176="","-",25016.85176/6419550.41866*100)</f>
        <v>0.38969787802090278</v>
      </c>
      <c r="F28" s="8"/>
      <c r="G28" s="8"/>
    </row>
    <row r="29" spans="1:7" x14ac:dyDescent="0.25">
      <c r="A29" s="58" t="s">
        <v>116</v>
      </c>
      <c r="B29" s="50">
        <v>342.42660999999998</v>
      </c>
      <c r="C29" s="76">
        <v>96.662378171537213</v>
      </c>
      <c r="D29" s="50">
        <f>IF(354.25014="","-",354.25014/4848686.17434*100)</f>
        <v>7.3061057627269574E-3</v>
      </c>
      <c r="E29" s="50">
        <f>IF(342.42661="","-",342.42661/6419550.41866*100)</f>
        <v>5.3341213584778922E-3</v>
      </c>
    </row>
    <row r="30" spans="1:7" x14ac:dyDescent="0.25">
      <c r="A30" s="58" t="s">
        <v>117</v>
      </c>
      <c r="B30" s="50">
        <v>297227.14782000001</v>
      </c>
      <c r="C30" s="76" t="s">
        <v>20</v>
      </c>
      <c r="D30" s="50">
        <f>IF(149412.66968="","-",149412.66968/4848686.17434*100)</f>
        <v>3.0815083572683055</v>
      </c>
      <c r="E30" s="50">
        <f>IF(297227.14782="","-",297227.14782/6419550.41866*100)</f>
        <v>4.6300305852577512</v>
      </c>
    </row>
    <row r="31" spans="1:7" x14ac:dyDescent="0.25">
      <c r="A31" s="58" t="s">
        <v>118</v>
      </c>
      <c r="B31" s="50">
        <v>2441.2532200000001</v>
      </c>
      <c r="C31" s="76" t="s">
        <v>304</v>
      </c>
      <c r="D31" s="50">
        <f>IF(1019.89231="","-",1019.89231/4848686.17434*100)</f>
        <v>2.1034405472505693E-2</v>
      </c>
      <c r="E31" s="50">
        <f>IF(2441.25322="","-",2441.25322/6419550.41866*100)</f>
        <v>3.8028414153488038E-2</v>
      </c>
    </row>
    <row r="32" spans="1:7" x14ac:dyDescent="0.25">
      <c r="A32" s="38" t="s">
        <v>213</v>
      </c>
      <c r="B32" s="60">
        <v>1894461.9646900001</v>
      </c>
      <c r="C32" s="77">
        <v>131.31339021649987</v>
      </c>
      <c r="D32" s="60">
        <f>IF(1442702.80553="","-",1442702.80553/4848686.17434*100)</f>
        <v>29.754509853927175</v>
      </c>
      <c r="E32" s="60">
        <f>IF(1894461.96469="","-",1894461.96469/6419550.41866*100)</f>
        <v>29.5108199350422</v>
      </c>
    </row>
    <row r="33" spans="1:5" x14ac:dyDescent="0.25">
      <c r="A33" s="58" t="s">
        <v>127</v>
      </c>
      <c r="B33" s="25"/>
      <c r="C33" s="77"/>
      <c r="D33" s="25"/>
      <c r="E33" s="25"/>
    </row>
    <row r="34" spans="1:5" x14ac:dyDescent="0.25">
      <c r="A34" s="58" t="s">
        <v>112</v>
      </c>
      <c r="B34" s="50">
        <v>21626.616849999999</v>
      </c>
      <c r="C34" s="55" t="s">
        <v>103</v>
      </c>
      <c r="D34" s="50">
        <f>IF(12476.42861="","-",12476.42861/4848686.17434*100)</f>
        <v>0.25731565544553486</v>
      </c>
      <c r="E34" s="50">
        <f>IF(21626.61685="","-",21626.61685/6419550.41866*100)</f>
        <v>0.33688678240047659</v>
      </c>
    </row>
    <row r="35" spans="1:5" x14ac:dyDescent="0.25">
      <c r="A35" s="58" t="s">
        <v>113</v>
      </c>
      <c r="B35" s="50">
        <v>116.29013999999999</v>
      </c>
      <c r="C35" s="55">
        <v>54.004183148123829</v>
      </c>
      <c r="D35" s="50">
        <f>IF(215.33543="","-",215.33543/4848686.17434*100)</f>
        <v>4.4411088335555415E-3</v>
      </c>
      <c r="E35" s="50">
        <f>IF(116.29014="","-",116.29014/6419550.41866*100)</f>
        <v>1.8114997533468097E-3</v>
      </c>
    </row>
    <row r="36" spans="1:5" x14ac:dyDescent="0.25">
      <c r="A36" s="58" t="s">
        <v>114</v>
      </c>
      <c r="B36" s="50">
        <v>1771570.0672200001</v>
      </c>
      <c r="C36" s="55">
        <v>131.59488219450691</v>
      </c>
      <c r="D36" s="50">
        <f>IF(1346230.21631="","-",1346230.21631/4848686.17434*100)</f>
        <v>27.764845319015681</v>
      </c>
      <c r="E36" s="50">
        <f>IF(1771570.06722="","-",1771570.06722/6419550.41866*100)</f>
        <v>27.596481866868693</v>
      </c>
    </row>
    <row r="37" spans="1:5" x14ac:dyDescent="0.25">
      <c r="A37" s="58" t="s">
        <v>115</v>
      </c>
      <c r="B37" s="50">
        <v>90848.679550000001</v>
      </c>
      <c r="C37" s="55">
        <v>123.40226830523446</v>
      </c>
      <c r="D37" s="50">
        <f>IF(73619.94297="","-",73619.94297/4848686.17434*100)</f>
        <v>1.5183482766859231</v>
      </c>
      <c r="E37" s="50">
        <f>IF(90848.67955="","-",90848.67955/6419550.41866*100)</f>
        <v>1.4151875696143144</v>
      </c>
    </row>
    <row r="38" spans="1:5" x14ac:dyDescent="0.25">
      <c r="A38" s="58" t="s">
        <v>116</v>
      </c>
      <c r="B38" s="50">
        <v>4929.5212700000002</v>
      </c>
      <c r="C38" s="55">
        <v>66.763067587724763</v>
      </c>
      <c r="D38" s="50">
        <f>IF(7383.60511="","-",7383.60511/4848686.17434*100)</f>
        <v>0.15228053217952492</v>
      </c>
      <c r="E38" s="50">
        <f>IF(4929.52127="","-",4929.52127/6419550.41866*100)</f>
        <v>7.678919781782749E-2</v>
      </c>
    </row>
    <row r="39" spans="1:5" x14ac:dyDescent="0.25">
      <c r="A39" s="59" t="s">
        <v>118</v>
      </c>
      <c r="B39" s="43">
        <v>5370.7896600000004</v>
      </c>
      <c r="C39" s="61" t="s">
        <v>105</v>
      </c>
      <c r="D39" s="43">
        <f>IF(2777.2771="","-",2777.2771/4848686.17434*100)</f>
        <v>5.7278961766958257E-2</v>
      </c>
      <c r="E39" s="43">
        <f>IF(5370.78966="","-",5370.78966/6419550.41866*100)</f>
        <v>8.3663018587539731E-2</v>
      </c>
    </row>
    <row r="40" spans="1:5" x14ac:dyDescent="0.25">
      <c r="A40" s="72" t="s">
        <v>21</v>
      </c>
      <c r="B40" s="50"/>
      <c r="C40" s="55"/>
      <c r="D40" s="50"/>
      <c r="E40" s="50"/>
    </row>
    <row r="41" spans="1:5" x14ac:dyDescent="0.25">
      <c r="B41" s="1"/>
      <c r="C41" s="1"/>
      <c r="D41" s="1"/>
      <c r="E41" s="1"/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1"/>
  <sheetViews>
    <sheetView zoomScaleNormal="100" workbookViewId="0">
      <selection activeCell="C62" sqref="C62"/>
    </sheetView>
  </sheetViews>
  <sheetFormatPr defaultRowHeight="15.75" x14ac:dyDescent="0.25"/>
  <cols>
    <col min="1" max="1" width="5.625" customWidth="1"/>
    <col min="2" max="2" width="26.125" customWidth="1"/>
    <col min="3" max="3" width="11.625" customWidth="1"/>
    <col min="4" max="4" width="9.375" customWidth="1"/>
    <col min="5" max="5" width="8.625" customWidth="1"/>
    <col min="6" max="6" width="8.25" customWidth="1"/>
    <col min="7" max="8" width="8.625" customWidth="1"/>
    <col min="10" max="10" width="9.125" customWidth="1"/>
  </cols>
  <sheetData>
    <row r="1" spans="1:11" x14ac:dyDescent="0.25">
      <c r="B1" s="116" t="s">
        <v>137</v>
      </c>
      <c r="C1" s="116"/>
      <c r="D1" s="116"/>
      <c r="E1" s="116"/>
      <c r="F1" s="116"/>
      <c r="G1" s="116"/>
      <c r="H1" s="116"/>
    </row>
    <row r="2" spans="1:11" x14ac:dyDescent="0.25">
      <c r="B2" s="116" t="s">
        <v>299</v>
      </c>
      <c r="C2" s="116"/>
      <c r="D2" s="116"/>
      <c r="E2" s="116"/>
      <c r="F2" s="116"/>
      <c r="G2" s="116"/>
      <c r="H2" s="116"/>
    </row>
    <row r="3" spans="1:11" x14ac:dyDescent="0.25">
      <c r="B3" s="6"/>
    </row>
    <row r="4" spans="1:11" ht="57" customHeight="1" x14ac:dyDescent="0.25">
      <c r="A4" s="124" t="s">
        <v>224</v>
      </c>
      <c r="B4" s="127"/>
      <c r="C4" s="130" t="s">
        <v>369</v>
      </c>
      <c r="D4" s="122"/>
      <c r="E4" s="130" t="s">
        <v>0</v>
      </c>
      <c r="F4" s="122"/>
      <c r="G4" s="119" t="s">
        <v>106</v>
      </c>
      <c r="H4" s="131"/>
    </row>
    <row r="5" spans="1:11" ht="19.5" customHeight="1" x14ac:dyDescent="0.25">
      <c r="A5" s="125"/>
      <c r="B5" s="128"/>
      <c r="C5" s="132" t="s">
        <v>110</v>
      </c>
      <c r="D5" s="117" t="s">
        <v>370</v>
      </c>
      <c r="E5" s="134" t="s">
        <v>371</v>
      </c>
      <c r="F5" s="134"/>
      <c r="G5" s="134" t="s">
        <v>377</v>
      </c>
      <c r="H5" s="130"/>
    </row>
    <row r="6" spans="1:11" ht="33" customHeight="1" x14ac:dyDescent="0.25">
      <c r="A6" s="126"/>
      <c r="B6" s="129"/>
      <c r="C6" s="133"/>
      <c r="D6" s="118"/>
      <c r="E6" s="19">
        <v>2020</v>
      </c>
      <c r="F6" s="19">
        <v>2021</v>
      </c>
      <c r="G6" s="19">
        <v>2020</v>
      </c>
      <c r="H6" s="15">
        <v>2021</v>
      </c>
    </row>
    <row r="7" spans="1:11" ht="16.5" customHeight="1" x14ac:dyDescent="0.25">
      <c r="A7" s="33"/>
      <c r="B7" s="46" t="s">
        <v>100</v>
      </c>
      <c r="C7" s="36">
        <v>2819483.6893099998</v>
      </c>
      <c r="D7" s="37">
        <f>IF(2248863.79366="","-",2819483.68931/2248863.79366*100)</f>
        <v>125.37369747597398</v>
      </c>
      <c r="E7" s="37">
        <v>100</v>
      </c>
      <c r="F7" s="37">
        <v>100</v>
      </c>
      <c r="G7" s="37">
        <f>IF(2560872.65018="","-",(2248863.79366-2560872.65018)/2560872.65018*100)</f>
        <v>-12.183692793082439</v>
      </c>
      <c r="H7" s="37">
        <f>IF(2248863.79366="","-",(2819483.68931-2248863.79366)/2248863.79366*100)</f>
        <v>25.373697475973966</v>
      </c>
    </row>
    <row r="8" spans="1:11" x14ac:dyDescent="0.25">
      <c r="A8" s="28" t="s">
        <v>225</v>
      </c>
      <c r="B8" s="29" t="s">
        <v>186</v>
      </c>
      <c r="C8" s="79">
        <v>708791.26561</v>
      </c>
      <c r="D8" s="39">
        <f>IF(488701.16572="","-",708791.26561/488701.16572*100)</f>
        <v>145.03572230398566</v>
      </c>
      <c r="E8" s="39">
        <f>IF(488701.16572="","-",488701.16572/2248863.79366*100)</f>
        <v>21.731025556005083</v>
      </c>
      <c r="F8" s="39">
        <f>IF(708791.26561="","-",708791.26561/2819483.68931*100)</f>
        <v>25.139044722881849</v>
      </c>
      <c r="G8" s="39">
        <f>IF(2560872.65018="","-",(488701.16572-579037.22021)/2560872.65018*100)</f>
        <v>-3.5275496609974137</v>
      </c>
      <c r="H8" s="39">
        <f>IF(2248863.79366="","-",(708791.26561-488701.16572)/2248863.79366*100)</f>
        <v>9.7867243232106063</v>
      </c>
    </row>
    <row r="9" spans="1:11" ht="13.5" customHeight="1" x14ac:dyDescent="0.25">
      <c r="A9" s="30" t="s">
        <v>226</v>
      </c>
      <c r="B9" s="31" t="s">
        <v>23</v>
      </c>
      <c r="C9" s="49">
        <v>6916.8620700000001</v>
      </c>
      <c r="D9" s="41">
        <f>IF(OR(9455.92957="",6916.86207=""),"-",6916.86207/9455.92957*100)</f>
        <v>73.148409353053168</v>
      </c>
      <c r="E9" s="41">
        <f>IF(9455.92957="","-",9455.92957/2248863.79366*100)</f>
        <v>0.42047586859898634</v>
      </c>
      <c r="F9" s="41">
        <f>IF(6916.86207="","-",6916.86207/2819483.68931*100)</f>
        <v>0.24532371285654553</v>
      </c>
      <c r="G9" s="41">
        <f>IF(OR(2560872.65018="",8973.40312="",9455.92957=""),"-",(9455.92957-8973.40312)/2560872.65018*100)</f>
        <v>1.8842266520597319E-2</v>
      </c>
      <c r="H9" s="41">
        <f>IF(OR(2248863.79366="",6916.86207="",9455.92957=""),"-",(6916.86207-9455.92957)/2248863.79366*100)</f>
        <v>-0.11290445900539386</v>
      </c>
      <c r="I9" s="28"/>
      <c r="J9" s="29"/>
      <c r="K9" s="26"/>
    </row>
    <row r="10" spans="1:11" x14ac:dyDescent="0.25">
      <c r="A10" s="30" t="s">
        <v>227</v>
      </c>
      <c r="B10" s="31" t="s">
        <v>187</v>
      </c>
      <c r="C10" s="49">
        <v>7294.3134200000004</v>
      </c>
      <c r="D10" s="41">
        <f>IF(OR(5241.35171="",7294.31342=""),"-",7294.31342/5241.35171*100)</f>
        <v>139.16855467041344</v>
      </c>
      <c r="E10" s="41">
        <f>IF(5241.35171="","-",5241.35171/2248863.79366*100)</f>
        <v>0.23306665902916957</v>
      </c>
      <c r="F10" s="41">
        <f>IF(7294.31342="","-",7294.31342/2819483.68931*100)</f>
        <v>0.25871096355890272</v>
      </c>
      <c r="G10" s="41">
        <f>IF(OR(2560872.65018="",7670.71485="",5241.35171=""),"-",(5241.35171-7670.71485)/2560872.65018*100)</f>
        <v>-9.486466028793912E-2</v>
      </c>
      <c r="H10" s="41">
        <f>IF(OR(2248863.79366="",7294.31342="",5241.35171=""),"-",(7294.31342-5241.35171)/2248863.79366*100)</f>
        <v>9.1288841760346406E-2</v>
      </c>
      <c r="I10" s="30"/>
      <c r="J10" s="31"/>
      <c r="K10" s="27"/>
    </row>
    <row r="11" spans="1:11" s="7" customFormat="1" x14ac:dyDescent="0.25">
      <c r="A11" s="30" t="s">
        <v>228</v>
      </c>
      <c r="B11" s="31" t="s">
        <v>188</v>
      </c>
      <c r="C11" s="49">
        <v>11227.49113</v>
      </c>
      <c r="D11" s="41">
        <f>IF(OR(11011.10098="",11227.49113=""),"-",11227.49113/11011.10098*100)</f>
        <v>101.96519994134138</v>
      </c>
      <c r="E11" s="41">
        <f>IF(11011.10098="","-",11011.10098/2248863.79366*100)</f>
        <v>0.48962951918397679</v>
      </c>
      <c r="F11" s="41">
        <f>IF(11227.49113="","-",11227.49113/2819483.68931*100)</f>
        <v>0.39821089132626469</v>
      </c>
      <c r="G11" s="41">
        <f>IF(OR(2560872.65018="",14257.66915="",11011.10098=""),"-",(11011.10098-14257.66915)/2560872.65018*100)</f>
        <v>-0.12677585391728885</v>
      </c>
      <c r="H11" s="41">
        <f>IF(OR(2248863.79366="",11227.49113="",11011.10098=""),"-",(11227.49113-11011.10098)/2248863.79366*100)</f>
        <v>9.6221990237936386E-3</v>
      </c>
      <c r="I11" s="30"/>
      <c r="J11" s="31"/>
      <c r="K11" s="27"/>
    </row>
    <row r="12" spans="1:11" s="7" customFormat="1" x14ac:dyDescent="0.25">
      <c r="A12" s="30" t="s">
        <v>229</v>
      </c>
      <c r="B12" s="31" t="s">
        <v>189</v>
      </c>
      <c r="C12" s="49">
        <v>39.646920000000001</v>
      </c>
      <c r="D12" s="41" t="s">
        <v>358</v>
      </c>
      <c r="E12" s="41">
        <f>IF(14.31303="","-",14.31303/2248863.79366*100)</f>
        <v>6.3645606462922806E-4</v>
      </c>
      <c r="F12" s="41">
        <f>IF(39.64692="","-",39.64692/2819483.68931*100)</f>
        <v>1.4061766042598608E-3</v>
      </c>
      <c r="G12" s="41">
        <f>IF(OR(2560872.65018="",22.41187="",14.31303=""),"-",(14.31303-22.41187)/2560872.65018*100)</f>
        <v>-3.1625313345553304E-4</v>
      </c>
      <c r="H12" s="41">
        <f>IF(OR(2248863.79366="",39.64692="",14.31303=""),"-",(39.64692-14.31303)/2248863.79366*100)</f>
        <v>1.1265195371734538E-3</v>
      </c>
      <c r="I12" s="30"/>
      <c r="J12" s="31"/>
      <c r="K12" s="27"/>
    </row>
    <row r="13" spans="1:11" s="7" customFormat="1" ht="15.75" customHeight="1" x14ac:dyDescent="0.25">
      <c r="A13" s="30" t="s">
        <v>230</v>
      </c>
      <c r="B13" s="31" t="s">
        <v>190</v>
      </c>
      <c r="C13" s="49">
        <v>331326.11799</v>
      </c>
      <c r="D13" s="41" t="s">
        <v>294</v>
      </c>
      <c r="E13" s="41">
        <f>IF(129598.46447="","-",129598.46447/2248863.79366*100)</f>
        <v>5.7628418775456378</v>
      </c>
      <c r="F13" s="41">
        <f>IF(331326.11799="","-",331326.11799/2819483.68931*100)</f>
        <v>11.751304653622025</v>
      </c>
      <c r="G13" s="41">
        <f>IF(OR(2560872.65018="",232895.45081="",129598.46447=""),"-",(129598.46447-232895.45081)/2560872.65018*100)</f>
        <v>-4.0336635378076853</v>
      </c>
      <c r="H13" s="41">
        <f>IF(OR(2248863.79366="",331326.11799="",129598.46447=""),"-",(331326.11799-129598.46447)/2248863.79366*100)</f>
        <v>8.9702032683664914</v>
      </c>
      <c r="I13" s="30"/>
      <c r="J13" s="31"/>
      <c r="K13" s="27"/>
    </row>
    <row r="14" spans="1:11" s="7" customFormat="1" ht="15.75" customHeight="1" x14ac:dyDescent="0.25">
      <c r="A14" s="30" t="s">
        <v>231</v>
      </c>
      <c r="B14" s="31" t="s">
        <v>191</v>
      </c>
      <c r="C14" s="49">
        <v>282624.64425999997</v>
      </c>
      <c r="D14" s="41">
        <f>IF(OR(278406.82954="",282624.64426=""),"-",282624.64426/278406.82954*100)</f>
        <v>101.51498249054052</v>
      </c>
      <c r="E14" s="41">
        <f>IF(278406.82954="","-",278406.82954/2248863.79366*100)</f>
        <v>12.379888471897896</v>
      </c>
      <c r="F14" s="41">
        <f>IF(282624.64426="","-",282624.64426/2819483.68931*100)</f>
        <v>10.023985786176528</v>
      </c>
      <c r="G14" s="41">
        <f>IF(OR(2560872.65018="",261379.2256="",278406.82954=""),"-",(278406.82954-261379.2256)/2560872.65018*100)</f>
        <v>0.6649141236602748</v>
      </c>
      <c r="H14" s="41">
        <f>IF(OR(2248863.79366="",282624.64426="",278406.82954=""),"-",(282624.64426-278406.82954)/2248863.79366*100)</f>
        <v>0.1875531426976963</v>
      </c>
      <c r="I14" s="30"/>
      <c r="J14" s="31"/>
      <c r="K14" s="27"/>
    </row>
    <row r="15" spans="1:11" s="7" customFormat="1" ht="25.5" x14ac:dyDescent="0.25">
      <c r="A15" s="30" t="s">
        <v>232</v>
      </c>
      <c r="B15" s="31" t="s">
        <v>149</v>
      </c>
      <c r="C15" s="49">
        <v>29788.83094</v>
      </c>
      <c r="D15" s="41" t="s">
        <v>103</v>
      </c>
      <c r="E15" s="41">
        <f>IF(17347.73221="","-",17347.73221/2248863.79366*100)</f>
        <v>0.77139986240637382</v>
      </c>
      <c r="F15" s="41">
        <f>IF(29788.83094="","-",29788.83094/2819483.68931*100)</f>
        <v>1.0565349625161369</v>
      </c>
      <c r="G15" s="41">
        <f>IF(OR(2560872.65018="",19917.40553="",17347.73221=""),"-",(17347.73221-19917.40553)/2560872.65018*100)</f>
        <v>-0.10034365901870924</v>
      </c>
      <c r="H15" s="41">
        <f>IF(OR(2248863.79366="",29788.83094="",17347.73221=""),"-",(29788.83094-17347.73221)/2248863.79366*100)</f>
        <v>0.55321708522650259</v>
      </c>
      <c r="I15" s="30"/>
      <c r="J15" s="31"/>
      <c r="K15" s="27"/>
    </row>
    <row r="16" spans="1:11" s="7" customFormat="1" ht="25.5" x14ac:dyDescent="0.25">
      <c r="A16" s="30" t="s">
        <v>233</v>
      </c>
      <c r="B16" s="31" t="s">
        <v>192</v>
      </c>
      <c r="C16" s="49">
        <v>9787.9728300000006</v>
      </c>
      <c r="D16" s="41">
        <f>IF(OR(7320.6871="",9787.97283=""),"-",9787.97283/7320.6871*100)</f>
        <v>133.70292564477998</v>
      </c>
      <c r="E16" s="41">
        <f>IF(7320.6871="","-",7320.6871/2248863.79366*100)</f>
        <v>0.32552825656398099</v>
      </c>
      <c r="F16" s="41">
        <f>IF(9787.97283="","-",9787.97283/2819483.68931*100)</f>
        <v>0.34715479529499849</v>
      </c>
      <c r="G16" s="41">
        <f>IF(OR(2560872.65018="",9352.931="",7320.6871=""),"-",(7320.6871-9352.931)/2560872.65018*100)</f>
        <v>-7.9357476048532008E-2</v>
      </c>
      <c r="H16" s="41">
        <f>IF(OR(2248863.79366="",9787.97283="",7320.6871=""),"-",(9787.97283-7320.6871)/2248863.79366*100)</f>
        <v>0.10971254626250714</v>
      </c>
      <c r="I16" s="30"/>
      <c r="J16" s="31"/>
      <c r="K16" s="27"/>
    </row>
    <row r="17" spans="1:11" s="7" customFormat="1" ht="25.5" x14ac:dyDescent="0.25">
      <c r="A17" s="30" t="s">
        <v>234</v>
      </c>
      <c r="B17" s="31" t="s">
        <v>150</v>
      </c>
      <c r="C17" s="49">
        <v>24630.308529999998</v>
      </c>
      <c r="D17" s="41">
        <f>IF(OR(26836.79847="",24630.30853=""),"-",24630.30853/26836.79847*100)</f>
        <v>91.778117861314314</v>
      </c>
      <c r="E17" s="41">
        <f>IF(26836.79847="","-",26836.79847/2248863.79366*100)</f>
        <v>1.1933492168649049</v>
      </c>
      <c r="F17" s="41">
        <f>IF(24630.30853="","-",24630.30853/2819483.68931*100)</f>
        <v>0.87357513800789766</v>
      </c>
      <c r="G17" s="41">
        <f>IF(OR(2560872.65018="",21980.55006="",26836.79847=""),"-",(26836.79847-21980.55006)/2560872.65018*100)</f>
        <v>0.18963256176204862</v>
      </c>
      <c r="H17" s="41">
        <f>IF(OR(2248863.79366="",24630.30853="",26836.79847=""),"-",(24630.30853-26836.79847)/2248863.79366*100)</f>
        <v>-9.8115766113561112E-2</v>
      </c>
      <c r="I17" s="30"/>
      <c r="J17" s="31"/>
      <c r="K17" s="27"/>
    </row>
    <row r="18" spans="1:11" s="7" customFormat="1" ht="25.5" x14ac:dyDescent="0.25">
      <c r="A18" s="30" t="s">
        <v>235</v>
      </c>
      <c r="B18" s="31" t="s">
        <v>193</v>
      </c>
      <c r="C18" s="49">
        <v>5155.0775199999998</v>
      </c>
      <c r="D18" s="41">
        <f>IF(OR(3467.95864="",5155.07752=""),"-",5155.07752/3467.95864*100)</f>
        <v>148.64876012477472</v>
      </c>
      <c r="E18" s="41">
        <f>IF(3467.95864="","-",3467.95864/2248863.79366*100)</f>
        <v>0.15420936784952802</v>
      </c>
      <c r="F18" s="41">
        <f>IF(5155.07752="","-",5155.07752/2819483.68931*100)</f>
        <v>0.18283764291828836</v>
      </c>
      <c r="G18" s="41">
        <f>IF(OR(2560872.65018="",2587.45822="",3467.95864=""),"-",(3467.95864-2587.45822)/2560872.65018*100)</f>
        <v>3.4382827273277759E-2</v>
      </c>
      <c r="H18" s="41">
        <f>IF(OR(2248863.79366="",5155.07752="",3467.95864=""),"-",(5155.07752-3467.95864)/2248863.79366*100)</f>
        <v>7.5020945455048366E-2</v>
      </c>
      <c r="I18" s="30"/>
      <c r="J18" s="31"/>
      <c r="K18" s="27"/>
    </row>
    <row r="19" spans="1:11" s="7" customFormat="1" x14ac:dyDescent="0.25">
      <c r="A19" s="28" t="s">
        <v>236</v>
      </c>
      <c r="B19" s="29" t="s">
        <v>194</v>
      </c>
      <c r="C19" s="79">
        <v>189199.07118999999</v>
      </c>
      <c r="D19" s="39">
        <f>IF(169992.9538="","-",189199.07119/169992.9538*100)</f>
        <v>111.29818440157018</v>
      </c>
      <c r="E19" s="39">
        <f>IF(169992.9538="","-",169992.9538/2248863.79366*100)</f>
        <v>7.5590595695143632</v>
      </c>
      <c r="F19" s="39">
        <f>IF(189199.07119="","-",189199.07119/2819483.68931*100)</f>
        <v>6.7104155242090391</v>
      </c>
      <c r="G19" s="39">
        <f>IF(2560872.65018="","-",(169992.9538-200533.76861)/2560872.65018*100)</f>
        <v>-1.1925940482769943</v>
      </c>
      <c r="H19" s="39">
        <f>IF(2248863.79366="","-",(189199.07119-169992.9538)/2248863.79366*100)</f>
        <v>0.8540364891882698</v>
      </c>
      <c r="I19" s="30"/>
      <c r="J19" s="31"/>
      <c r="K19" s="27"/>
    </row>
    <row r="20" spans="1:11" s="7" customFormat="1" x14ac:dyDescent="0.25">
      <c r="A20" s="30" t="s">
        <v>237</v>
      </c>
      <c r="B20" s="31" t="s">
        <v>195</v>
      </c>
      <c r="C20" s="49">
        <v>177509.87676000001</v>
      </c>
      <c r="D20" s="41">
        <f>IF(OR(162038.06947="",177509.87676=""),"-",177509.87676/162038.06947*100)</f>
        <v>109.54825451858676</v>
      </c>
      <c r="E20" s="41">
        <f>IF(162038.06947="","-",162038.06947/2248863.79366*100)</f>
        <v>7.2053305285459235</v>
      </c>
      <c r="F20" s="41">
        <f>IF(177509.87676="","-",177509.87676/2819483.68931*100)</f>
        <v>6.295829177271858</v>
      </c>
      <c r="G20" s="41">
        <f>IF(OR(2560872.65018="",179292.53909="",162038.06947=""),"-",(162038.06947-179292.53909)/2560872.65018*100)</f>
        <v>-0.67377304446541797</v>
      </c>
      <c r="H20" s="41">
        <f>IF(OR(2248863.79366="",177509.87676="",162038.06947=""),"-",(177509.87676-162038.06947)/2248863.79366*100)</f>
        <v>0.68798329777099743</v>
      </c>
      <c r="I20" s="28"/>
      <c r="J20" s="29"/>
      <c r="K20" s="26"/>
    </row>
    <row r="21" spans="1:11" s="7" customFormat="1" x14ac:dyDescent="0.25">
      <c r="A21" s="30" t="s">
        <v>238</v>
      </c>
      <c r="B21" s="31" t="s">
        <v>196</v>
      </c>
      <c r="C21" s="49">
        <v>11689.19443</v>
      </c>
      <c r="D21" s="41">
        <f>IF(OR(7954.88433="",11689.19443=""),"-",11689.19443/7954.88433*100)</f>
        <v>146.94361281806343</v>
      </c>
      <c r="E21" s="41">
        <f>IF(7954.88433="","-",7954.88433/2248863.79366*100)</f>
        <v>0.35372904096844021</v>
      </c>
      <c r="F21" s="41">
        <f>IF(11689.19443="","-",11689.19443/2819483.68931*100)</f>
        <v>0.41458634693718144</v>
      </c>
      <c r="G21" s="41">
        <f>IF(OR(2560872.65018="",21241.22952="",7954.88433=""),"-",(7954.88433-21241.22952)/2560872.65018*100)</f>
        <v>-0.51882100381157659</v>
      </c>
      <c r="H21" s="41">
        <f>IF(OR(2248863.79366="",11689.19443="",7954.88433=""),"-",(11689.19443-7954.88433)/2248863.79366*100)</f>
        <v>0.16605319141727357</v>
      </c>
      <c r="I21" s="30"/>
      <c r="J21" s="31"/>
      <c r="K21" s="27"/>
    </row>
    <row r="22" spans="1:11" s="7" customFormat="1" ht="25.5" x14ac:dyDescent="0.25">
      <c r="A22" s="28" t="s">
        <v>239</v>
      </c>
      <c r="B22" s="29" t="s">
        <v>24</v>
      </c>
      <c r="C22" s="79">
        <v>318247.08072999999</v>
      </c>
      <c r="D22" s="39">
        <f>IF(237152.96492="","-",318247.08073/237152.96492*100)</f>
        <v>134.19485640306283</v>
      </c>
      <c r="E22" s="39">
        <f>IF(237152.96492="","-",237152.96492/2248863.79366*100)</f>
        <v>10.545457025391309</v>
      </c>
      <c r="F22" s="39">
        <f>IF(318247.08073="","-",318247.08073/2819483.68931*100)</f>
        <v>11.28742407472069</v>
      </c>
      <c r="G22" s="39">
        <f>IF(2560872.65018="","-",(237152.96492-270360.68047)/2560872.65018*100)</f>
        <v>-1.2967343591906415</v>
      </c>
      <c r="H22" s="39">
        <f>IF(2248863.79366="","-",(318247.08073-237152.96492)/2248863.79366*100)</f>
        <v>3.6060038868792601</v>
      </c>
      <c r="I22" s="30"/>
      <c r="J22" s="31"/>
      <c r="K22" s="27"/>
    </row>
    <row r="23" spans="1:11" s="7" customFormat="1" ht="15" customHeight="1" x14ac:dyDescent="0.25">
      <c r="A23" s="30" t="s">
        <v>240</v>
      </c>
      <c r="B23" s="31" t="s">
        <v>203</v>
      </c>
      <c r="C23" s="49">
        <v>1106.69093</v>
      </c>
      <c r="D23" s="41">
        <f>IF(OR(1169.1185="",1106.69093=""),"-",1106.69093/1169.1185*100)</f>
        <v>94.660287216394224</v>
      </c>
      <c r="E23" s="41">
        <f>IF(1169.1185="","-",1169.1185/2248863.79366*100)</f>
        <v>5.1987074686158437E-2</v>
      </c>
      <c r="F23" s="41">
        <f>IF(1106.69093="","-",1106.69093/2819483.68931*100)</f>
        <v>3.9251545742080028E-2</v>
      </c>
      <c r="G23" s="41">
        <f>IF(OR(2560872.65018="",1467.75085="",1169.1185=""),"-",(1169.1185-1467.75085)/2560872.65018*100)</f>
        <v>-1.1661351062459488E-2</v>
      </c>
      <c r="H23" s="41">
        <f>IF(OR(2248863.79366="",1106.69093="",1169.1185=""),"-",(1106.69093-1169.1185)/2248863.79366*100)</f>
        <v>-2.7759604728394825E-3</v>
      </c>
      <c r="I23" s="28"/>
      <c r="J23" s="29"/>
      <c r="K23" s="26"/>
    </row>
    <row r="24" spans="1:11" s="7" customFormat="1" ht="15" customHeight="1" x14ac:dyDescent="0.25">
      <c r="A24" s="30" t="s">
        <v>241</v>
      </c>
      <c r="B24" s="31" t="s">
        <v>197</v>
      </c>
      <c r="C24" s="49">
        <v>219385.23642999999</v>
      </c>
      <c r="D24" s="41">
        <f>IF(OR(198022.93457="",219385.23643=""),"-",219385.23643/198022.93457*100)</f>
        <v>110.78779178098105</v>
      </c>
      <c r="E24" s="41">
        <f>IF(198022.93457="","-",198022.93457/2248863.79366*100)</f>
        <v>8.8054659036383853</v>
      </c>
      <c r="F24" s="41">
        <f>IF(219385.23643="","-",219385.23643/2819483.68931*100)</f>
        <v>7.7810429356904427</v>
      </c>
      <c r="G24" s="41">
        <f>IF(OR(2560872.65018="",237608.69491="",198022.93457=""),"-",(198022.93457-237608.69491)/2560872.65018*100)</f>
        <v>-1.5457918353424389</v>
      </c>
      <c r="H24" s="41">
        <f>IF(OR(2248863.79366="",219385.23643="",198022.93457=""),"-",(219385.23643-198022.93457)/2248863.79366*100)</f>
        <v>0.94991532702979209</v>
      </c>
      <c r="I24" s="30"/>
      <c r="J24" s="31"/>
      <c r="K24" s="27"/>
    </row>
    <row r="25" spans="1:11" s="7" customFormat="1" ht="25.5" x14ac:dyDescent="0.25">
      <c r="A25" s="30" t="s">
        <v>295</v>
      </c>
      <c r="B25" s="31" t="s">
        <v>198</v>
      </c>
      <c r="C25" s="49">
        <v>0.79005999999999998</v>
      </c>
      <c r="D25" s="41" t="s">
        <v>363</v>
      </c>
      <c r="E25" s="41">
        <f>IF(0.16791="","-",0.16791/2248863.79366*100)</f>
        <v>7.4664370725062191E-6</v>
      </c>
      <c r="F25" s="41">
        <f>IF(0.79006="","-",0.79006/2819483.68931*100)</f>
        <v>2.8021442471736661E-5</v>
      </c>
      <c r="G25" s="41">
        <f>IF(OR(2560872.65018="",1.25194="",0.16791=""),"-",(0.16791-1.25194)/2560872.65018*100)</f>
        <v>-4.2330492300107353E-5</v>
      </c>
      <c r="H25" s="41">
        <f>IF(OR(2248863.79366="",0.79006="",0.16791=""),"-",(0.79006-0.16791)/2248863.79366*100)</f>
        <v>2.766508144041298E-5</v>
      </c>
      <c r="I25" s="30"/>
      <c r="J25" s="31"/>
      <c r="K25" s="27"/>
    </row>
    <row r="26" spans="1:11" s="7" customFormat="1" x14ac:dyDescent="0.25">
      <c r="A26" s="30" t="s">
        <v>242</v>
      </c>
      <c r="B26" s="31" t="s">
        <v>199</v>
      </c>
      <c r="C26" s="49">
        <v>2229.4717799999999</v>
      </c>
      <c r="D26" s="41" t="s">
        <v>219</v>
      </c>
      <c r="E26" s="41">
        <f>IF(1466.13165="","-",1466.13165/2248863.79366*100)</f>
        <v>6.5194328537518387E-2</v>
      </c>
      <c r="F26" s="41">
        <f>IF(2229.47178="","-",2229.47178/2819483.68931*100)</f>
        <v>7.9073760506329055E-2</v>
      </c>
      <c r="G26" s="41">
        <f>IF(OR(2560872.65018="",1011.47593="",1466.13165=""),"-",(1466.13165-1011.47593)/2560872.65018*100)</f>
        <v>1.7753937118585066E-2</v>
      </c>
      <c r="H26" s="41">
        <f>IF(OR(2248863.79366="",2229.47178="",1466.13165=""),"-",(2229.47178-1466.13165)/2248863.79366*100)</f>
        <v>3.3943368742562777E-2</v>
      </c>
      <c r="I26" s="30"/>
      <c r="J26" s="31"/>
      <c r="K26" s="27"/>
    </row>
    <row r="27" spans="1:11" s="7" customFormat="1" ht="14.25" customHeight="1" x14ac:dyDescent="0.25">
      <c r="A27" s="30" t="s">
        <v>243</v>
      </c>
      <c r="B27" s="31" t="s">
        <v>151</v>
      </c>
      <c r="C27" s="49">
        <v>4800.8271299999997</v>
      </c>
      <c r="D27" s="41" t="s">
        <v>294</v>
      </c>
      <c r="E27" s="41">
        <f>IF(1835.76772="","-",1835.76772/2248863.79366*100)</f>
        <v>8.1630898464166615E-2</v>
      </c>
      <c r="F27" s="41">
        <f>IF(4800.82713="","-",4800.82713/2819483.68931*100)</f>
        <v>0.17027327195408906</v>
      </c>
      <c r="G27" s="41">
        <f>IF(OR(2560872.65018="",2456.87865="",1835.76772=""),"-",(1835.76772-2456.87865)/2560872.65018*100)</f>
        <v>-2.4253878065992194E-2</v>
      </c>
      <c r="H27" s="41">
        <f>IF(OR(2248863.79366="",4800.82713="",1835.76772=""),"-",(4800.82713-1835.76772)/2248863.79366*100)</f>
        <v>0.13184699839799544</v>
      </c>
      <c r="I27" s="30"/>
      <c r="J27" s="31"/>
      <c r="K27" s="27"/>
    </row>
    <row r="28" spans="1:11" s="7" customFormat="1" ht="38.25" x14ac:dyDescent="0.25">
      <c r="A28" s="30" t="s">
        <v>244</v>
      </c>
      <c r="B28" s="31" t="s">
        <v>152</v>
      </c>
      <c r="C28" s="49">
        <v>287.16449</v>
      </c>
      <c r="D28" s="41" t="s">
        <v>104</v>
      </c>
      <c r="E28" s="41">
        <f>IF(174.35751="","-",174.35751/2248863.79366*100)</f>
        <v>7.753137850836006E-3</v>
      </c>
      <c r="F28" s="41">
        <f>IF(287.16449="","-",287.16449/2819483.68931*100)</f>
        <v>1.0185002704175123E-2</v>
      </c>
      <c r="G28" s="41">
        <f>IF(OR(2560872.65018="",334.00058="",174.35751=""),"-",(174.35751-334.00058)/2560872.65018*100)</f>
        <v>-6.2339324053766959E-3</v>
      </c>
      <c r="H28" s="41">
        <f>IF(OR(2248863.79366="",287.16449="",174.35751=""),"-",(287.16449-174.35751)/2248863.79366*100)</f>
        <v>5.0161766274162802E-3</v>
      </c>
      <c r="I28" s="30"/>
      <c r="J28" s="31"/>
      <c r="K28" s="27"/>
    </row>
    <row r="29" spans="1:11" s="7" customFormat="1" ht="38.25" x14ac:dyDescent="0.25">
      <c r="A29" s="30" t="s">
        <v>245</v>
      </c>
      <c r="B29" s="31" t="s">
        <v>153</v>
      </c>
      <c r="C29" s="49">
        <v>7185.7583299999997</v>
      </c>
      <c r="D29" s="41">
        <f>IF(OR(7817.62157="",7185.75833=""),"-",7185.75833/7817.62157*100)</f>
        <v>91.917449132805743</v>
      </c>
      <c r="E29" s="41">
        <f>IF(7817.62157="","-",7817.62157/2248863.79366*100)</f>
        <v>0.34762539163285255</v>
      </c>
      <c r="F29" s="41">
        <f>IF(7185.75833="","-",7185.75833/2819483.68931*100)</f>
        <v>0.25486078735779244</v>
      </c>
      <c r="G29" s="41">
        <f>IF(OR(2560872.65018="",8971.85669="",7817.62157=""),"-",(7817.62157-8971.85669)/2560872.65018*100)</f>
        <v>-4.5071945296415686E-2</v>
      </c>
      <c r="H29" s="41">
        <f>IF(OR(2248863.79366="",7185.75833="",7817.62157=""),"-",(7185.75833-7817.62157)/2248863.79366*100)</f>
        <v>-2.8096999106008567E-2</v>
      </c>
      <c r="I29" s="30"/>
      <c r="J29" s="31"/>
      <c r="K29" s="27"/>
    </row>
    <row r="30" spans="1:11" s="7" customFormat="1" ht="25.5" x14ac:dyDescent="0.25">
      <c r="A30" s="30" t="s">
        <v>246</v>
      </c>
      <c r="B30" s="31" t="s">
        <v>154</v>
      </c>
      <c r="C30" s="49">
        <v>79202.798569999999</v>
      </c>
      <c r="D30" s="41" t="s">
        <v>365</v>
      </c>
      <c r="E30" s="41">
        <f>IF(22818.46866="","-",22818.46866/2248863.79366*100)</f>
        <v>1.0146665495851663</v>
      </c>
      <c r="F30" s="41">
        <f>IF(79202.79857="","-",79202.79857/2819483.68931*100)</f>
        <v>2.8091241978201675</v>
      </c>
      <c r="G30" s="41">
        <f>IF(OR(2560872.65018="",14773.73287="",22818.46866=""),"-",(22818.46866-14773.73287)/2560872.65018*100)</f>
        <v>0.31414040793612075</v>
      </c>
      <c r="H30" s="41">
        <f>IF(OR(2248863.79366="",79202.79857="",22818.46866=""),"-",(79202.79857-22818.46866)/2248863.79366*100)</f>
        <v>2.5072363239142708</v>
      </c>
      <c r="I30" s="30"/>
      <c r="J30" s="31"/>
      <c r="K30" s="27"/>
    </row>
    <row r="31" spans="1:11" s="7" customFormat="1" ht="25.5" x14ac:dyDescent="0.25">
      <c r="A31" s="30" t="s">
        <v>247</v>
      </c>
      <c r="B31" s="31" t="s">
        <v>155</v>
      </c>
      <c r="C31" s="49">
        <v>4048.34301</v>
      </c>
      <c r="D31" s="41">
        <f>IF(OR(3848.39683="",4048.34301=""),"-",4048.34301/3848.39683*100)</f>
        <v>105.19557074887207</v>
      </c>
      <c r="E31" s="41">
        <f>IF(3848.39683="","-",3848.39683/2248863.79366*100)</f>
        <v>0.17112627455915319</v>
      </c>
      <c r="F31" s="41">
        <f>IF(4048.34301="","-",4048.34301/2819483.68931*100)</f>
        <v>0.14358455150314184</v>
      </c>
      <c r="G31" s="41">
        <f>IF(OR(2560872.65018="",3735.03805="",3848.39683=""),"-",(3848.39683-3735.03805)/2560872.65018*100)</f>
        <v>4.4265684196374312E-3</v>
      </c>
      <c r="H31" s="41">
        <f>IF(OR(2248863.79366="",4048.34301="",3848.39683=""),"-",(4048.34301-3848.39683)/2248863.79366*100)</f>
        <v>8.8909866646298668E-3</v>
      </c>
      <c r="I31" s="30"/>
      <c r="J31" s="31"/>
      <c r="K31" s="27"/>
    </row>
    <row r="32" spans="1:11" s="7" customFormat="1" ht="25.5" x14ac:dyDescent="0.25">
      <c r="A32" s="28" t="s">
        <v>248</v>
      </c>
      <c r="B32" s="29" t="s">
        <v>156</v>
      </c>
      <c r="C32" s="79">
        <v>15073.955</v>
      </c>
      <c r="D32" s="39">
        <f>IF(11154.3558="","-",15073.955/11154.3558*100)</f>
        <v>135.13962859244637</v>
      </c>
      <c r="E32" s="39">
        <f>IF(11154.3558="","-",11154.3558/2248863.79366*100)</f>
        <v>0.49599961684857813</v>
      </c>
      <c r="F32" s="39">
        <f>IF(15073.955="","-",15073.955/2819483.68931*100)</f>
        <v>0.53463529713445457</v>
      </c>
      <c r="G32" s="39">
        <f>IF(2560872.65018="","-",(11154.3558-9709.00829)/2560872.65018*100)</f>
        <v>5.6439648019920408E-2</v>
      </c>
      <c r="H32" s="39">
        <f>IF(2248863.79366="","-",(15073.955-11154.3558)/2248863.79366*100)</f>
        <v>0.17429242318054744</v>
      </c>
      <c r="I32" s="30"/>
      <c r="J32" s="31"/>
      <c r="K32" s="27"/>
    </row>
    <row r="33" spans="1:11" s="7" customFormat="1" x14ac:dyDescent="0.25">
      <c r="A33" s="30" t="s">
        <v>249</v>
      </c>
      <c r="B33" s="31" t="s">
        <v>200</v>
      </c>
      <c r="C33" s="49">
        <v>385.35397</v>
      </c>
      <c r="D33" s="41" t="s">
        <v>400</v>
      </c>
      <c r="E33" s="41">
        <f>IF(67.49932="","-",67.49932/2248863.79366*100)</f>
        <v>3.001485469697817E-3</v>
      </c>
      <c r="F33" s="41">
        <f>IF(385.35397="","-",385.35397/2819483.68931*100)</f>
        <v>1.3667536771397532E-2</v>
      </c>
      <c r="G33" s="41">
        <f>IF(OR(2560872.65018="",3.98403="",67.49932=""),"-",(67.49932-3.98403)/2560872.65018*100)</f>
        <v>2.4802205605786607E-3</v>
      </c>
      <c r="H33" s="41">
        <f>IF(OR(2248863.79366="",385.35397="",67.49932=""),"-",(385.35397-67.49932)/2248863.79366*100)</f>
        <v>1.4134010734491626E-2</v>
      </c>
      <c r="I33" s="28"/>
      <c r="J33" s="29"/>
      <c r="K33" s="26"/>
    </row>
    <row r="34" spans="1:11" s="7" customFormat="1" ht="25.5" x14ac:dyDescent="0.25">
      <c r="A34" s="30" t="s">
        <v>250</v>
      </c>
      <c r="B34" s="31" t="s">
        <v>157</v>
      </c>
      <c r="C34" s="49">
        <v>14682.90706</v>
      </c>
      <c r="D34" s="41">
        <f>IF(OR(10554.89231="",14682.90706=""),"-",14682.90706/10554.89231*100)</f>
        <v>139.10996558523865</v>
      </c>
      <c r="E34" s="41">
        <f>IF(10554.89231="","-",10554.89231/2248863.79366*100)</f>
        <v>0.46934333416529572</v>
      </c>
      <c r="F34" s="41">
        <f>IF(14682.90706="","-",14682.90706/2819483.68931*100)</f>
        <v>0.52076580955831975</v>
      </c>
      <c r="G34" s="41">
        <f>IF(OR(2560872.65018="",9671.70526="",10554.89231=""),"-",(10554.89231-9671.70526)/2560872.65018*100)</f>
        <v>3.4487737995792987E-2</v>
      </c>
      <c r="H34" s="41">
        <f>IF(OR(2248863.79366="",14682.90706="",10554.89231=""),"-",(14682.90706-10554.89231)/2248863.79366*100)</f>
        <v>0.18356001646865877</v>
      </c>
      <c r="I34" s="30"/>
      <c r="J34" s="31"/>
      <c r="K34" s="27"/>
    </row>
    <row r="35" spans="1:11" s="7" customFormat="1" x14ac:dyDescent="0.25">
      <c r="A35" s="30" t="s">
        <v>305</v>
      </c>
      <c r="B35" s="31" t="s">
        <v>306</v>
      </c>
      <c r="C35" s="49">
        <v>5.6939700000000002</v>
      </c>
      <c r="D35" s="41">
        <f>IF(OR(6.58653="",5.69397=""),"-",5.69397/6.58653*100)</f>
        <v>86.448706678630487</v>
      </c>
      <c r="E35" s="41">
        <f>IF(6.58653="","-",6.58653/2248863.79366*100)</f>
        <v>2.9288256667961638E-4</v>
      </c>
      <c r="F35" s="41">
        <f>IF(5.69397="","-",5.69397/2819483.68931*100)</f>
        <v>2.0195080473735461E-4</v>
      </c>
      <c r="G35" s="41">
        <f>IF(OR(2560872.65018="",7.20776="",6.58653=""),"-",(6.58653-7.20776)/2560872.65018*100)</f>
        <v>-2.4258527652920784E-5</v>
      </c>
      <c r="H35" s="41">
        <f>IF(OR(2248863.79366="",5.69397="",6.58653=""),"-",(5.69397-6.58653)/2248863.79366*100)</f>
        <v>-3.9689375697910471E-5</v>
      </c>
      <c r="I35" s="30"/>
      <c r="J35" s="31"/>
      <c r="K35" s="27"/>
    </row>
    <row r="36" spans="1:11" s="7" customFormat="1" ht="25.5" x14ac:dyDescent="0.25">
      <c r="A36" s="28" t="s">
        <v>251</v>
      </c>
      <c r="B36" s="29" t="s">
        <v>158</v>
      </c>
      <c r="C36" s="79">
        <v>99888.817089999997</v>
      </c>
      <c r="D36" s="39">
        <f>IF(94629.52149="","-",99888.81709/94629.52149*100)</f>
        <v>105.5577746956649</v>
      </c>
      <c r="E36" s="39">
        <f>IF(94629.52149="","-",94629.52149/2248863.79366*100)</f>
        <v>4.2078814091266743</v>
      </c>
      <c r="F36" s="39">
        <f>IF(99888.81709="","-",99888.81709/2819483.68931*100)</f>
        <v>3.5428052827092382</v>
      </c>
      <c r="G36" s="39">
        <f>IF(2560872.65018="","-",(94629.52149-57370.79503)/2560872.65018*100)</f>
        <v>1.4549230496636034</v>
      </c>
      <c r="H36" s="39">
        <f>IF(2248863.79366="","-",(99888.81709-94629.52149)/2248863.79366*100)</f>
        <v>0.23386456818002993</v>
      </c>
      <c r="I36" s="30"/>
      <c r="J36" s="31"/>
      <c r="K36" s="27"/>
    </row>
    <row r="37" spans="1:11" s="7" customFormat="1" x14ac:dyDescent="0.25">
      <c r="A37" s="30" t="s">
        <v>252</v>
      </c>
      <c r="B37" s="31" t="s">
        <v>204</v>
      </c>
      <c r="C37" s="49">
        <v>10.037319999999999</v>
      </c>
      <c r="D37" s="41" t="s">
        <v>218</v>
      </c>
      <c r="E37" s="41">
        <f>IF(4.31983="","-",4.31983/2248863.79366*100)</f>
        <v>1.9208944588722848E-4</v>
      </c>
      <c r="F37" s="41">
        <f>IF(10.03732="","-",10.03732/2819483.68931*100)</f>
        <v>3.5599851270841679E-4</v>
      </c>
      <c r="G37" s="41" t="str">
        <f>IF(OR(2560872.65018="",""="",4.31983=""),"-",(4.31983-"")/2560872.65018*100)</f>
        <v>-</v>
      </c>
      <c r="H37" s="41">
        <f>IF(OR(2248863.79366="",10.03732="",4.31983=""),"-",(10.03732-4.31983)/2248863.79366*100)</f>
        <v>2.5423905245478874E-4</v>
      </c>
      <c r="I37" s="28"/>
      <c r="J37" s="29"/>
      <c r="K37" s="26"/>
    </row>
    <row r="38" spans="1:11" s="7" customFormat="1" ht="25.5" x14ac:dyDescent="0.25">
      <c r="A38" s="30" t="s">
        <v>253</v>
      </c>
      <c r="B38" s="31" t="s">
        <v>159</v>
      </c>
      <c r="C38" s="49">
        <v>99875.217439999993</v>
      </c>
      <c r="D38" s="41">
        <f>IF(OR(94589.89099="",99875.21744=""),"-",99875.21744/94589.89099*100)</f>
        <v>105.58762294224312</v>
      </c>
      <c r="E38" s="41">
        <f>IF(94589.89099="","-",94589.89099/2248863.79366*100)</f>
        <v>4.2061191636713593</v>
      </c>
      <c r="F38" s="41">
        <f>IF(99875.21744="","-",99875.21744/2819483.68931*100)</f>
        <v>3.5423229373049514</v>
      </c>
      <c r="G38" s="41">
        <f>IF(OR(2560872.65018="",57344.39581="",94589.89099=""),"-",(94589.89099-57344.39581)/2560872.65018*100)</f>
        <v>1.4544063789108008</v>
      </c>
      <c r="H38" s="41">
        <f>IF(OR(2248863.79366="",99875.21744="",94589.89099=""),"-",(99875.21744-94589.89099)/2248863.79366*100)</f>
        <v>0.23502207936738512</v>
      </c>
      <c r="I38" s="30"/>
      <c r="J38" s="31"/>
      <c r="K38" s="27"/>
    </row>
    <row r="39" spans="1:11" s="7" customFormat="1" ht="63.75" x14ac:dyDescent="0.25">
      <c r="A39" s="30" t="s">
        <v>254</v>
      </c>
      <c r="B39" s="31" t="s">
        <v>202</v>
      </c>
      <c r="C39" s="49">
        <v>3.5623300000000002</v>
      </c>
      <c r="D39" s="41">
        <f>IF(OR(35.31067="",3.56233=""),"-",3.56233/35.31067*100)</f>
        <v>10.088536977633106</v>
      </c>
      <c r="E39" s="41">
        <f>IF(35.31067="","-",35.31067/2248863.79366*100)</f>
        <v>1.5701560094278674E-3</v>
      </c>
      <c r="F39" s="41">
        <f>IF(3.56233="","-",3.56233/2819483.68931*100)</f>
        <v>1.263468915782873E-4</v>
      </c>
      <c r="G39" s="41">
        <f>IF(OR(2560872.65018="",26.39922="",35.31067=""),"-",(35.31067-26.39922)/2560872.65018*100)</f>
        <v>3.4798489489017072E-4</v>
      </c>
      <c r="H39" s="41">
        <f>IF(OR(2248863.79366="",3.56233="",35.31067=""),"-",(3.56233-35.31067)/2248863.79366*100)</f>
        <v>-1.4117502398102086E-3</v>
      </c>
      <c r="I39" s="30"/>
      <c r="J39" s="31"/>
      <c r="K39" s="27"/>
    </row>
    <row r="40" spans="1:11" s="7" customFormat="1" ht="25.5" x14ac:dyDescent="0.25">
      <c r="A40" s="28" t="s">
        <v>255</v>
      </c>
      <c r="B40" s="29" t="s">
        <v>160</v>
      </c>
      <c r="C40" s="79">
        <v>137912.00539999999</v>
      </c>
      <c r="D40" s="39">
        <f>IF(113512.93772="","-",137912.0054/113512.93772*100)</f>
        <v>121.4945257959799</v>
      </c>
      <c r="E40" s="39">
        <f>IF(113512.93772="","-",113512.93772/2248863.79366*100)</f>
        <v>5.0475683783080081</v>
      </c>
      <c r="F40" s="39">
        <f>IF(137912.0054="","-",137912.0054/2819483.68931*100)</f>
        <v>4.8913922049944754</v>
      </c>
      <c r="G40" s="39">
        <f>IF(2560872.65018="","-",(113512.93772-139067.73886)/2560872.65018*100)</f>
        <v>-0.99789425835774392</v>
      </c>
      <c r="H40" s="39">
        <f>IF(2248863.79366="","-",(137912.0054-113512.93772)/2248863.79366*100)</f>
        <v>1.0849508871451388</v>
      </c>
      <c r="I40" s="30"/>
      <c r="J40" s="31"/>
      <c r="K40" s="27"/>
    </row>
    <row r="41" spans="1:11" s="7" customFormat="1" x14ac:dyDescent="0.25">
      <c r="A41" s="30" t="s">
        <v>256</v>
      </c>
      <c r="B41" s="31" t="s">
        <v>25</v>
      </c>
      <c r="C41" s="49">
        <v>32555.983469999999</v>
      </c>
      <c r="D41" s="41">
        <f>IF(OR(46036.35833="",32555.98347=""),"-",32555.98347/46036.35833*100)</f>
        <v>70.717981723555667</v>
      </c>
      <c r="E41" s="41">
        <f>IF(46036.35833="","-",46036.35833/2248863.79366*100)</f>
        <v>2.0470941130265765</v>
      </c>
      <c r="F41" s="41">
        <f>IF(32555.98347="","-",32555.98347/2819483.68931*100)</f>
        <v>1.1546789078239812</v>
      </c>
      <c r="G41" s="41">
        <f>IF(OR(2560872.65018="",21997.92253="",46036.35833=""),"-",(46036.35833-21997.92253)/2560872.65018*100)</f>
        <v>0.93868142167516133</v>
      </c>
      <c r="H41" s="41">
        <f>IF(OR(2248863.79366="",32555.98347="",46036.35833=""),"-",(32555.98347-46036.35833)/2248863.79366*100)</f>
        <v>-0.59943047231245827</v>
      </c>
      <c r="I41" s="28"/>
      <c r="J41" s="29"/>
      <c r="K41" s="26"/>
    </row>
    <row r="42" spans="1:11" s="7" customFormat="1" x14ac:dyDescent="0.25">
      <c r="A42" s="30" t="s">
        <v>257</v>
      </c>
      <c r="B42" s="31" t="s">
        <v>26</v>
      </c>
      <c r="C42" s="49">
        <v>1279.4021</v>
      </c>
      <c r="D42" s="41">
        <f>IF(OR(1472.64824="",1279.4021=""),"-",1279.4021/1472.64824*100)</f>
        <v>86.877644317831127</v>
      </c>
      <c r="E42" s="41">
        <f>IF(1472.64824="","-",1472.64824/2248863.79366*100)</f>
        <v>6.5484101089256369E-2</v>
      </c>
      <c r="F42" s="41">
        <f>IF(1279.4021="","-",1279.4021/2819483.68931*100)</f>
        <v>4.5377176851592378E-2</v>
      </c>
      <c r="G42" s="41">
        <f>IF(OR(2560872.65018="",1250.60035="",1472.64824=""),"-",(1472.64824-1250.60035)/2560872.65018*100)</f>
        <v>8.6707900130993491E-3</v>
      </c>
      <c r="H42" s="41">
        <f>IF(OR(2248863.79366="",1279.4021="",1472.64824=""),"-",(1279.4021-1472.64824)/2248863.79366*100)</f>
        <v>-8.5930566602032427E-3</v>
      </c>
      <c r="I42" s="30"/>
      <c r="J42" s="31"/>
      <c r="K42" s="27"/>
    </row>
    <row r="43" spans="1:11" s="7" customFormat="1" x14ac:dyDescent="0.25">
      <c r="A43" s="30" t="s">
        <v>258</v>
      </c>
      <c r="B43" s="31" t="s">
        <v>161</v>
      </c>
      <c r="C43" s="49">
        <v>2762.61177</v>
      </c>
      <c r="D43" s="41" t="s">
        <v>341</v>
      </c>
      <c r="E43" s="41">
        <f>IF(830.9745="","-",830.9745/2248863.79366*100)</f>
        <v>3.6950859467019946E-2</v>
      </c>
      <c r="F43" s="41">
        <f>IF(2762.61177="","-",2762.61177/2819483.68931*100)</f>
        <v>9.7982895963341518E-2</v>
      </c>
      <c r="G43" s="41">
        <f>IF(OR(2560872.65018="",854.96682="",830.9745=""),"-",(830.9745-854.96682)/2560872.65018*100)</f>
        <v>-9.3688063708726647E-4</v>
      </c>
      <c r="H43" s="41">
        <f>IF(OR(2248863.79366="",2762.61177="",830.9745=""),"-",(2762.61177-830.9745)/2248863.79366*100)</f>
        <v>8.5893920096258139E-2</v>
      </c>
      <c r="I43" s="30"/>
      <c r="J43" s="31"/>
      <c r="K43" s="27"/>
    </row>
    <row r="44" spans="1:11" s="7" customFormat="1" x14ac:dyDescent="0.25">
      <c r="A44" s="30" t="s">
        <v>259</v>
      </c>
      <c r="B44" s="31" t="s">
        <v>162</v>
      </c>
      <c r="C44" s="49">
        <v>78063.78757</v>
      </c>
      <c r="D44" s="41" t="s">
        <v>104</v>
      </c>
      <c r="E44" s="41">
        <f>IF(47814.37376="","-",47814.37376/2248863.79366*100)</f>
        <v>2.1261569462231709</v>
      </c>
      <c r="F44" s="41">
        <f>IF(78063.78757="","-",78063.78757/2819483.68931*100)</f>
        <v>2.7687263404281022</v>
      </c>
      <c r="G44" s="41">
        <f>IF(OR(2560872.65018="",94283.50734="",47814.37376=""),"-",(47814.37376-94283.50734)/2560872.65018*100)</f>
        <v>-1.8145819776213297</v>
      </c>
      <c r="H44" s="41">
        <f>IF(OR(2248863.79366="",78063.78757="",47814.37376=""),"-",(78063.78757-47814.37376)/2248863.79366*100)</f>
        <v>1.3450976397627632</v>
      </c>
      <c r="I44" s="30"/>
      <c r="J44" s="31"/>
      <c r="K44" s="27"/>
    </row>
    <row r="45" spans="1:11" s="7" customFormat="1" ht="40.5" customHeight="1" x14ac:dyDescent="0.25">
      <c r="A45" s="30" t="s">
        <v>260</v>
      </c>
      <c r="B45" s="31" t="s">
        <v>163</v>
      </c>
      <c r="C45" s="49">
        <v>11932.128549999999</v>
      </c>
      <c r="D45" s="41">
        <f>IF(OR(10461.06167="",11932.12855=""),"-",11932.12855/10461.06167*100)</f>
        <v>114.06230960494854</v>
      </c>
      <c r="E45" s="41">
        <f>IF(10461.06167="","-",10461.06167/2248863.79366*100)</f>
        <v>0.46517097653899003</v>
      </c>
      <c r="F45" s="41">
        <f>IF(11932.12855="","-",11932.12855/2819483.68931*100)</f>
        <v>0.42320260958559036</v>
      </c>
      <c r="G45" s="41">
        <f>IF(OR(2560872.65018="",14312.83726="",10461.06167=""),"-",(10461.06167-14312.83726)/2560872.65018*100)</f>
        <v>-0.15040871281628415</v>
      </c>
      <c r="H45" s="41">
        <f>IF(OR(2248863.79366="",11932.12855="",10461.06167=""),"-",(11932.12855-10461.06167)/2248863.79366*100)</f>
        <v>6.5413782913275334E-2</v>
      </c>
      <c r="I45" s="30"/>
      <c r="J45" s="31"/>
      <c r="K45" s="27"/>
    </row>
    <row r="46" spans="1:11" s="7" customFormat="1" x14ac:dyDescent="0.25">
      <c r="A46" s="30" t="s">
        <v>261</v>
      </c>
      <c r="B46" s="31" t="s">
        <v>164</v>
      </c>
      <c r="C46" s="49">
        <v>153.29059000000001</v>
      </c>
      <c r="D46" s="41" t="s">
        <v>366</v>
      </c>
      <c r="E46" s="41">
        <f>IF(37.30839="","-",37.30839/2248863.79366*100)</f>
        <v>1.6589884236288504E-3</v>
      </c>
      <c r="F46" s="41">
        <f>IF(153.29059="","-",153.29059/2819483.68931*100)</f>
        <v>5.436831948388187E-3</v>
      </c>
      <c r="G46" s="41">
        <f>IF(OR(2560872.65018="",45.66446="",37.30839=""),"-",(37.30839-45.66446)/2560872.65018*100)</f>
        <v>-3.262977563297675E-4</v>
      </c>
      <c r="H46" s="41">
        <f>IF(OR(2248863.79366="",153.29059="",37.30839=""),"-",(153.29059-37.30839)/2248863.79366*100)</f>
        <v>5.1573688156204564E-3</v>
      </c>
      <c r="I46" s="30"/>
      <c r="J46" s="31"/>
      <c r="K46" s="27"/>
    </row>
    <row r="47" spans="1:11" x14ac:dyDescent="0.25">
      <c r="A47" s="30" t="s">
        <v>262</v>
      </c>
      <c r="B47" s="31" t="s">
        <v>27</v>
      </c>
      <c r="C47" s="49">
        <v>2785.2055500000001</v>
      </c>
      <c r="D47" s="41">
        <f>IF(OR(1882.0542="",2785.20555=""),"-",2785.20555/1882.0542*100)</f>
        <v>147.98753138990367</v>
      </c>
      <c r="E47" s="41">
        <f>IF(1882.0542="","-",1882.0542/2248863.79366*100)</f>
        <v>8.3689114712322293E-2</v>
      </c>
      <c r="F47" s="41">
        <f>IF(2785.20555="","-",2785.20555/2819483.68931*100)</f>
        <v>9.8784240552979102E-2</v>
      </c>
      <c r="G47" s="41">
        <f>IF(OR(2560872.65018="",1940.30912="",1882.0542=""),"-",(1882.0542-1940.30912)/2560872.65018*100)</f>
        <v>-2.2748073784889383E-3</v>
      </c>
      <c r="H47" s="41">
        <f>IF(OR(2248863.79366="",2785.20555="",1882.0542=""),"-",(2785.20555-1882.0542)/2248863.79366*100)</f>
        <v>4.016034019250813E-2</v>
      </c>
      <c r="I47" s="30"/>
      <c r="J47" s="31"/>
      <c r="K47" s="27"/>
    </row>
    <row r="48" spans="1:11" x14ac:dyDescent="0.25">
      <c r="A48" s="30" t="s">
        <v>263</v>
      </c>
      <c r="B48" s="31" t="s">
        <v>28</v>
      </c>
      <c r="C48" s="49">
        <v>3440.1012999999998</v>
      </c>
      <c r="D48" s="41">
        <f>IF(OR(2406.92718="",3440.1013=""),"-",3440.1013/2406.92718*100)</f>
        <v>142.92502609073532</v>
      </c>
      <c r="E48" s="41">
        <f>IF(2406.92718="","-",2406.92718/2248863.79366*100)</f>
        <v>0.10702858869379339</v>
      </c>
      <c r="F48" s="41">
        <f>IF(3440.1013="","-",3440.1013/2819483.68931*100)</f>
        <v>0.12201174679758056</v>
      </c>
      <c r="G48" s="41">
        <f>IF(OR(2560872.65018="",2329.72048="",2406.92718=""),"-",(2406.92718-2329.72048)/2560872.65018*100)</f>
        <v>3.0148590166939162E-3</v>
      </c>
      <c r="H48" s="41">
        <f>IF(OR(2248863.79366="",3440.1013="",2406.92718=""),"-",(3440.1013-2406.92718)/2248863.79366*100)</f>
        <v>4.5942049621356597E-2</v>
      </c>
      <c r="I48" s="30"/>
      <c r="J48" s="31"/>
      <c r="K48" s="27"/>
    </row>
    <row r="49" spans="1:11" x14ac:dyDescent="0.25">
      <c r="A49" s="30" t="s">
        <v>264</v>
      </c>
      <c r="B49" s="31" t="s">
        <v>165</v>
      </c>
      <c r="C49" s="49">
        <v>4939.4944999999998</v>
      </c>
      <c r="D49" s="41" t="s">
        <v>105</v>
      </c>
      <c r="E49" s="41">
        <f>IF(2571.23145="","-",2571.23145/2248863.79366*100)</f>
        <v>0.1143346901332495</v>
      </c>
      <c r="F49" s="41">
        <f>IF(4939.4945="","-",4939.4945/2819483.68931*100)</f>
        <v>0.17519145504292033</v>
      </c>
      <c r="G49" s="41">
        <f>IF(OR(2560872.65018="",2052.2105="",2571.23145=""),"-",(2571.23145-2052.2105)/2560872.65018*100)</f>
        <v>2.0267347146821959E-2</v>
      </c>
      <c r="H49" s="41">
        <f>IF(OR(2248863.79366="",4939.4945="",2571.23145=""),"-",(4939.4945-2571.23145)/2248863.79366*100)</f>
        <v>0.10530931471601837</v>
      </c>
      <c r="I49" s="30"/>
      <c r="J49" s="31"/>
      <c r="K49" s="27"/>
    </row>
    <row r="50" spans="1:11" ht="25.5" x14ac:dyDescent="0.25">
      <c r="A50" s="28" t="s">
        <v>265</v>
      </c>
      <c r="B50" s="29" t="s">
        <v>378</v>
      </c>
      <c r="C50" s="79">
        <v>224075.18543000001</v>
      </c>
      <c r="D50" s="39">
        <f>IF(159615.21915="","-",224075.18543/159615.21915*100)</f>
        <v>140.38459905218883</v>
      </c>
      <c r="E50" s="39">
        <f>IF(159615.21915="","-",159615.21915/2248863.79366*100)</f>
        <v>7.0975938871881636</v>
      </c>
      <c r="F50" s="39">
        <f>IF(224075.18543="","-",224075.18543/2819483.68931*100)</f>
        <v>7.9473836390533252</v>
      </c>
      <c r="G50" s="39">
        <f>IF(2560872.65018="","-",(159615.21915-162068.45565)/2560872.65018*100)</f>
        <v>-9.5796895633508558E-2</v>
      </c>
      <c r="H50" s="39">
        <f>IF(2248863.79366="","-",(224075.18543-159615.21915)/2248863.79366*100)</f>
        <v>2.8663348336936036</v>
      </c>
      <c r="I50" s="30"/>
      <c r="J50" s="31"/>
      <c r="K50" s="27"/>
    </row>
    <row r="51" spans="1:11" x14ac:dyDescent="0.25">
      <c r="A51" s="30" t="s">
        <v>266</v>
      </c>
      <c r="B51" s="31" t="s">
        <v>166</v>
      </c>
      <c r="C51" s="49">
        <v>982.54169999999999</v>
      </c>
      <c r="D51" s="41">
        <f>IF(OR(702.17933="",982.5417=""),"-",982.5417/702.17933*100)</f>
        <v>139.92745984134848</v>
      </c>
      <c r="E51" s="41">
        <f>IF(702.17933="","-",702.17933/2248863.79366*100)</f>
        <v>3.1223737603832877E-2</v>
      </c>
      <c r="F51" s="41">
        <f>IF(982.5417="","-",982.5417/2819483.68931*100)</f>
        <v>3.4848284589312634E-2</v>
      </c>
      <c r="G51" s="41">
        <f>IF(OR(2560872.65018="",542.54648="",702.17933=""),"-",(702.17933-542.54648)/2560872.65018*100)</f>
        <v>6.2335333226656046E-3</v>
      </c>
      <c r="H51" s="41">
        <f>IF(OR(2248863.79366="",982.5417="",702.17933=""),"-",(982.5417-702.17933)/2248863.79366*100)</f>
        <v>1.2466845292738402E-2</v>
      </c>
      <c r="I51" s="28"/>
      <c r="J51" s="29"/>
      <c r="K51" s="26"/>
    </row>
    <row r="52" spans="1:11" x14ac:dyDescent="0.25">
      <c r="A52" s="30" t="s">
        <v>267</v>
      </c>
      <c r="B52" s="31" t="s">
        <v>29</v>
      </c>
      <c r="C52" s="49">
        <v>1254.86988</v>
      </c>
      <c r="D52" s="41">
        <f>IF(OR(2033.66742="",1254.86988=""),"-",1254.86988/2033.66742*100)</f>
        <v>61.704773733357044</v>
      </c>
      <c r="E52" s="41">
        <f>IF(2033.66742="","-",2033.66742/2248863.79366*100)</f>
        <v>9.0430884508582429E-2</v>
      </c>
      <c r="F52" s="41">
        <f>IF(1254.86988="","-",1254.86988/2819483.68931*100)</f>
        <v>4.4507080667208931E-2</v>
      </c>
      <c r="G52" s="41">
        <f>IF(OR(2560872.65018="",2321.82569="",2033.66742=""),"-",(2033.66742-2321.82569)/2560872.65018*100)</f>
        <v>-1.1252346733436584E-2</v>
      </c>
      <c r="H52" s="41">
        <f>IF(OR(2248863.79366="",1254.86988="",2033.66742=""),"-",(1254.86988-2033.66742)/2248863.79366*100)</f>
        <v>-3.4630711837488205E-2</v>
      </c>
      <c r="I52" s="30"/>
      <c r="J52" s="31"/>
      <c r="K52" s="27"/>
    </row>
    <row r="53" spans="1:11" x14ac:dyDescent="0.25">
      <c r="A53" s="30" t="s">
        <v>268</v>
      </c>
      <c r="B53" s="31" t="s">
        <v>167</v>
      </c>
      <c r="C53" s="49">
        <v>23684.312669999999</v>
      </c>
      <c r="D53" s="41">
        <f>IF(OR(17724.55759="",23684.31267=""),"-",23684.31267/17724.55759*100)</f>
        <v>133.62428116887062</v>
      </c>
      <c r="E53" s="41">
        <f>IF(17724.55759="","-",17724.55759/2248863.79366*100)</f>
        <v>0.7881561186573014</v>
      </c>
      <c r="F53" s="41">
        <f>IF(23684.31267="","-",23684.31267/2819483.68931*100)</f>
        <v>0.84002304250946591</v>
      </c>
      <c r="G53" s="41">
        <f>IF(OR(2560872.65018="",18909.4362="",17724.55759=""),"-",(17724.55759-18909.4362)/2560872.65018*100)</f>
        <v>-4.6268548727587698E-2</v>
      </c>
      <c r="H53" s="41">
        <f>IF(OR(2248863.79366="",23684.31267="",17724.55759=""),"-",(23684.31267-17724.55759)/2248863.79366*100)</f>
        <v>0.26501182938698864</v>
      </c>
      <c r="I53" s="30"/>
      <c r="J53" s="31"/>
      <c r="K53" s="27"/>
    </row>
    <row r="54" spans="1:11" ht="25.5" x14ac:dyDescent="0.25">
      <c r="A54" s="30" t="s">
        <v>269</v>
      </c>
      <c r="B54" s="31" t="s">
        <v>168</v>
      </c>
      <c r="C54" s="49">
        <v>10328.263080000001</v>
      </c>
      <c r="D54" s="41">
        <f>IF(OR(8470.6009="",10328.26308=""),"-",10328.26308/8470.6009*100)</f>
        <v>121.93070128000012</v>
      </c>
      <c r="E54" s="41">
        <f>IF(8470.6009="","-",8470.6009/2248863.79366*100)</f>
        <v>0.37666135778788962</v>
      </c>
      <c r="F54" s="41">
        <f>IF(10328.26308="","-",10328.26308/2819483.68931*100)</f>
        <v>0.36631753250282473</v>
      </c>
      <c r="G54" s="41">
        <f>IF(OR(2560872.65018="",9980.17483="",8470.6009=""),"-",(8470.6009-9980.17483)/2560872.65018*100)</f>
        <v>-5.8947637630238844E-2</v>
      </c>
      <c r="H54" s="41">
        <f>IF(OR(2248863.79366="",10328.26308="",8470.6009=""),"-",(10328.26308-8470.6009)/2248863.79366*100)</f>
        <v>8.260447721365452E-2</v>
      </c>
      <c r="I54" s="30"/>
      <c r="J54" s="31"/>
      <c r="K54" s="27"/>
    </row>
    <row r="55" spans="1:11" ht="26.25" customHeight="1" x14ac:dyDescent="0.25">
      <c r="A55" s="30" t="s">
        <v>270</v>
      </c>
      <c r="B55" s="31" t="s">
        <v>169</v>
      </c>
      <c r="C55" s="49">
        <v>74004.582630000004</v>
      </c>
      <c r="D55" s="41">
        <f>IF(OR(56327.77963="",74004.58263=""),"-",74004.58263/56327.77963*100)</f>
        <v>131.38203408001087</v>
      </c>
      <c r="E55" s="41">
        <f>IF(56327.77963="","-",56327.77963/2248863.79366*100)</f>
        <v>2.5047217083044049</v>
      </c>
      <c r="F55" s="41">
        <f>IF(74004.58263="","-",74004.58263/2819483.68931*100)</f>
        <v>2.6247565435681177</v>
      </c>
      <c r="G55" s="41">
        <f>IF(OR(2560872.65018="",58199.56812="",56327.77963=""),"-",(56327.77963-58199.56812)/2560872.65018*100)</f>
        <v>-7.3091822425001923E-2</v>
      </c>
      <c r="H55" s="41">
        <f>IF(OR(2248863.79366="",74004.58263="",56327.77963=""),"-",(74004.58263-56327.77963)/2248863.79366*100)</f>
        <v>0.78603262010951824</v>
      </c>
      <c r="I55" s="30"/>
      <c r="J55" s="31"/>
      <c r="K55" s="27"/>
    </row>
    <row r="56" spans="1:11" ht="14.25" customHeight="1" x14ac:dyDescent="0.25">
      <c r="A56" s="30" t="s">
        <v>271</v>
      </c>
      <c r="B56" s="31" t="s">
        <v>30</v>
      </c>
      <c r="C56" s="49">
        <v>61565.100480000001</v>
      </c>
      <c r="D56" s="41">
        <f>IF(OR(46969.68928="",61565.10048=""),"-",61565.10048/46969.68928*100)</f>
        <v>131.07410635184854</v>
      </c>
      <c r="E56" s="41">
        <f>IF(46969.68928="","-",46969.68928/2248863.79366*100)</f>
        <v>2.0885964464551838</v>
      </c>
      <c r="F56" s="41">
        <f>IF(61565.10048="","-",61565.10048/2819483.68931*100)</f>
        <v>2.183559376967581</v>
      </c>
      <c r="G56" s="41">
        <f>IF(OR(2560872.65018="",45277.87629="",46969.68928=""),"-",(46969.68928-45277.87629)/2560872.65018*100)</f>
        <v>6.6063925118692787E-2</v>
      </c>
      <c r="H56" s="41">
        <f>IF(OR(2248863.79366="",61565.10048="",46969.68928=""),"-",(61565.10048-46969.68928)/2248863.79366*100)</f>
        <v>0.64901268103241316</v>
      </c>
      <c r="I56" s="30"/>
      <c r="J56" s="31"/>
      <c r="K56" s="27"/>
    </row>
    <row r="57" spans="1:11" ht="15.75" customHeight="1" x14ac:dyDescent="0.25">
      <c r="A57" s="30" t="s">
        <v>272</v>
      </c>
      <c r="B57" s="31" t="s">
        <v>170</v>
      </c>
      <c r="C57" s="49">
        <v>11228.30971</v>
      </c>
      <c r="D57" s="41" t="s">
        <v>406</v>
      </c>
      <c r="E57" s="41">
        <f>IF(1204.56161="","-",1204.56161/2248863.79366*100)</f>
        <v>5.3563119891738294E-2</v>
      </c>
      <c r="F57" s="41">
        <f>IF(11228.30971="","-",11228.30971/2819483.68931*100)</f>
        <v>0.39823992430145455</v>
      </c>
      <c r="G57" s="41">
        <f>IF(OR(2560872.65018="",3311.11578="",1204.56161=""),"-",(1204.56161-3311.11578)/2560872.65018*100)</f>
        <v>-8.2259231822868414E-2</v>
      </c>
      <c r="H57" s="41">
        <f>IF(OR(2248863.79366="",11228.30971="",1204.56161=""),"-",(11228.30971-1204.56161)/2248863.79366*100)</f>
        <v>0.44572499803051496</v>
      </c>
      <c r="I57" s="30"/>
      <c r="J57" s="31"/>
      <c r="K57" s="27"/>
    </row>
    <row r="58" spans="1:11" x14ac:dyDescent="0.25">
      <c r="A58" s="30" t="s">
        <v>273</v>
      </c>
      <c r="B58" s="31" t="s">
        <v>31</v>
      </c>
      <c r="C58" s="49">
        <v>1819.9626800000001</v>
      </c>
      <c r="D58" s="41">
        <f>IF(OR(2127.72071="",1819.96268=""),"-",1819.96268/2127.72071*100)</f>
        <v>85.5357882003226</v>
      </c>
      <c r="E58" s="41">
        <f>IF(2127.72071="","-",2127.72071/2248863.79366*100)</f>
        <v>9.461314269003189E-2</v>
      </c>
      <c r="F58" s="41">
        <f>IF(1819.96268="","-",1819.96268/2819483.68931*100)</f>
        <v>6.4549501985074142E-2</v>
      </c>
      <c r="G58" s="41">
        <f>IF(OR(2560872.65018="",1572.06977="",2127.72071=""),"-",(2127.72071-1572.06977)/2560872.65018*100)</f>
        <v>2.1697718547657733E-2</v>
      </c>
      <c r="H58" s="41">
        <f>IF(OR(2248863.79366="",1819.96268="",2127.72071=""),"-",(1819.96268-2127.72071)/2248863.79366*100)</f>
        <v>-1.3685045349017216E-2</v>
      </c>
      <c r="I58" s="30"/>
      <c r="J58" s="31"/>
      <c r="K58" s="27"/>
    </row>
    <row r="59" spans="1:11" x14ac:dyDescent="0.25">
      <c r="A59" s="30" t="s">
        <v>274</v>
      </c>
      <c r="B59" s="31" t="s">
        <v>32</v>
      </c>
      <c r="C59" s="49">
        <v>39207.242599999903</v>
      </c>
      <c r="D59" s="41" t="s">
        <v>104</v>
      </c>
      <c r="E59" s="41">
        <f>IF(24054.46268="","-",24054.46268/2248863.79366*100)</f>
        <v>1.0696273712891984</v>
      </c>
      <c r="F59" s="41">
        <f>IF(39207.2425999999="","-",39207.2425999999/2819483.68931*100)</f>
        <v>1.3905823519622817</v>
      </c>
      <c r="G59" s="41">
        <f>IF(OR(2560872.65018="",21953.84249="",24054.46268=""),"-",(24054.46268-21953.84249)/2560872.65018*100)</f>
        <v>8.2027514716608491E-2</v>
      </c>
      <c r="H59" s="41">
        <f>IF(OR(2248863.79366="",39207.2425999999="",24054.46268=""),"-",(39207.2425999999-24054.46268)/2248863.79366*100)</f>
        <v>0.67379713981427602</v>
      </c>
      <c r="I59" s="30"/>
      <c r="J59" s="31"/>
      <c r="K59" s="27"/>
    </row>
    <row r="60" spans="1:11" ht="25.5" x14ac:dyDescent="0.25">
      <c r="A60" s="28" t="s">
        <v>275</v>
      </c>
      <c r="B60" s="29" t="s">
        <v>171</v>
      </c>
      <c r="C60" s="79">
        <v>583704.58050000004</v>
      </c>
      <c r="D60" s="39">
        <f>IF(503197.08209="","-",583704.5805/503197.08209*100)</f>
        <v>115.99919818207547</v>
      </c>
      <c r="E60" s="39">
        <f>IF(503197.08209="","-",503197.08209/2248863.79366*100)</f>
        <v>22.375614010444469</v>
      </c>
      <c r="F60" s="39">
        <f>IF(583704.5805="","-",583704.5805/2819483.68931*100)</f>
        <v>20.702534393552302</v>
      </c>
      <c r="G60" s="39">
        <f>IF(2560872.65018="","-",(503197.08209-604566.20919)/2560872.65018*100)</f>
        <v>-3.9583821980712282</v>
      </c>
      <c r="H60" s="39">
        <f>IF(2248863.79366="","-",(583704.5805-503197.08209)/2248863.79366*100)</f>
        <v>3.5799188299872546</v>
      </c>
      <c r="I60" s="30"/>
      <c r="J60" s="31"/>
      <c r="K60" s="27"/>
    </row>
    <row r="61" spans="1:11" ht="25.5" x14ac:dyDescent="0.25">
      <c r="A61" s="30" t="s">
        <v>276</v>
      </c>
      <c r="B61" s="31" t="s">
        <v>172</v>
      </c>
      <c r="C61" s="49">
        <v>2064.2847200000001</v>
      </c>
      <c r="D61" s="41">
        <f>IF(OR(1787.56803="",2064.28472=""),"-",2064.28472/1787.56803*100)</f>
        <v>115.48006483423181</v>
      </c>
      <c r="E61" s="41">
        <f>IF(1787.56803="","-",1787.56803/2248863.79366*100)</f>
        <v>7.9487607699475368E-2</v>
      </c>
      <c r="F61" s="41">
        <f>IF(2064.28472="","-",2064.28472/2819483.68931*100)</f>
        <v>7.3214990667499966E-2</v>
      </c>
      <c r="G61" s="41">
        <f>IF(OR(2560872.65018="",3978.77624="",1787.56803=""),"-",(1787.56803-3978.77624)/2560872.65018*100)</f>
        <v>-8.5564903426415345E-2</v>
      </c>
      <c r="H61" s="41">
        <f>IF(OR(2248863.79366="",2064.28472="",1787.56803=""),"-",(2064.28472-1787.56803)/2248863.79366*100)</f>
        <v>1.2304733207058617E-2</v>
      </c>
      <c r="I61" s="28"/>
      <c r="J61" s="29"/>
      <c r="K61" s="26"/>
    </row>
    <row r="62" spans="1:11" ht="25.5" x14ac:dyDescent="0.25">
      <c r="A62" s="30" t="s">
        <v>277</v>
      </c>
      <c r="B62" s="31" t="s">
        <v>173</v>
      </c>
      <c r="C62" s="49">
        <v>12266.267309999999</v>
      </c>
      <c r="D62" s="41">
        <f>IF(OR(13738.66755="",12266.26731=""),"-",12266.26731/13738.66755*100)</f>
        <v>89.2828017372034</v>
      </c>
      <c r="E62" s="41">
        <f>IF(13738.66755="","-",13738.66755/2248863.79366*100)</f>
        <v>0.61091594736560173</v>
      </c>
      <c r="F62" s="41">
        <f>IF(12266.26731="","-",12266.26731/2819483.68931*100)</f>
        <v>0.43505367158204311</v>
      </c>
      <c r="G62" s="41">
        <f>IF(OR(2560872.65018="",12925.32073="",13738.66755=""),"-",(13738.66755-12925.32073)/2560872.65018*100)</f>
        <v>3.1760533658041594E-2</v>
      </c>
      <c r="H62" s="41">
        <f>IF(OR(2248863.79366="",12266.26731="",13738.66755=""),"-",(12266.26731-13738.66755)/2248863.79366*100)</f>
        <v>-6.5473073298213683E-2</v>
      </c>
      <c r="I62" s="30"/>
      <c r="J62" s="31"/>
      <c r="K62" s="27"/>
    </row>
    <row r="63" spans="1:11" ht="25.5" x14ac:dyDescent="0.25">
      <c r="A63" s="30" t="s">
        <v>278</v>
      </c>
      <c r="B63" s="31" t="s">
        <v>174</v>
      </c>
      <c r="C63" s="49">
        <v>3809.0113999999999</v>
      </c>
      <c r="D63" s="41">
        <f>IF(OR(2808.38943="",3809.0114=""),"-",3809.0114/2808.38943*100)</f>
        <v>135.62974419826097</v>
      </c>
      <c r="E63" s="41">
        <f>IF(2808.38943="","-",2808.38943/2248863.79366*100)</f>
        <v>0.12488037016369848</v>
      </c>
      <c r="F63" s="41">
        <f>IF(3809.0114="","-",3809.0114/2819483.68931*100)</f>
        <v>0.1350960608299232</v>
      </c>
      <c r="G63" s="41">
        <f>IF(OR(2560872.65018="",2450.69577="",2808.38943=""),"-",(2808.38943-2450.69577)/2560872.65018*100)</f>
        <v>1.3967647316427806E-2</v>
      </c>
      <c r="H63" s="41">
        <f>IF(OR(2248863.79366="",3809.0114="",2808.38943=""),"-",(3809.0114-2808.38943)/2248863.79366*100)</f>
        <v>4.4494556443167195E-2</v>
      </c>
      <c r="I63" s="30"/>
      <c r="J63" s="31"/>
      <c r="K63" s="27"/>
    </row>
    <row r="64" spans="1:11" ht="38.25" x14ac:dyDescent="0.25">
      <c r="A64" s="30" t="s">
        <v>279</v>
      </c>
      <c r="B64" s="31" t="s">
        <v>175</v>
      </c>
      <c r="C64" s="49">
        <v>23336.631109999998</v>
      </c>
      <c r="D64" s="41">
        <f>IF(OR(18919.77674="",23336.63111=""),"-",23336.63111/18919.77674*100)</f>
        <v>123.34517172531918</v>
      </c>
      <c r="E64" s="41">
        <f>IF(18919.77674="","-",18919.77674/2248863.79366*100)</f>
        <v>0.84130380832039098</v>
      </c>
      <c r="F64" s="41">
        <f>IF(23336.63111="","-",23336.63111/2819483.68931*100)</f>
        <v>0.8276916514353404</v>
      </c>
      <c r="G64" s="41">
        <f>IF(OR(2560872.65018="",21543.59618="",18919.77674=""),"-",(18919.77674-21543.59618)/2560872.65018*100)</f>
        <v>-0.10245802108963033</v>
      </c>
      <c r="H64" s="41">
        <f>IF(OR(2248863.79366="",23336.63111="",18919.77674=""),"-",(23336.63111-18919.77674)/2248863.79366*100)</f>
        <v>0.1964038187840455</v>
      </c>
      <c r="I64" s="30"/>
      <c r="J64" s="31"/>
      <c r="K64" s="27"/>
    </row>
    <row r="65" spans="1:11" ht="26.25" customHeight="1" x14ac:dyDescent="0.25">
      <c r="A65" s="30" t="s">
        <v>280</v>
      </c>
      <c r="B65" s="31" t="s">
        <v>176</v>
      </c>
      <c r="C65" s="49">
        <v>1791.8897199999999</v>
      </c>
      <c r="D65" s="41">
        <f>IF(OR(1970.25607="",1791.88972=""),"-",1791.88972/1970.25607*100)</f>
        <v>90.947047304363835</v>
      </c>
      <c r="E65" s="41">
        <f>IF(1970.25607="","-",1970.25607/2248863.79366*100)</f>
        <v>8.7611178389484887E-2</v>
      </c>
      <c r="F65" s="41">
        <f>IF(1791.88972="","-",1791.88972/2819483.68931*100)</f>
        <v>6.355382465214833E-2</v>
      </c>
      <c r="G65" s="41">
        <f>IF(OR(2560872.65018="",1150.4835="",1970.25607=""),"-",(1970.25607-1150.4835)/2560872.65018*100)</f>
        <v>3.2011453983952672E-2</v>
      </c>
      <c r="H65" s="41">
        <f>IF(OR(2248863.79366="",1791.88972="",1970.25607=""),"-",(1791.88972-1970.25607)/2248863.79366*100)</f>
        <v>-7.9313985356894746E-3</v>
      </c>
      <c r="I65" s="30"/>
      <c r="J65" s="31"/>
      <c r="K65" s="27"/>
    </row>
    <row r="66" spans="1:11" ht="39.75" customHeight="1" x14ac:dyDescent="0.25">
      <c r="A66" s="30" t="s">
        <v>281</v>
      </c>
      <c r="B66" s="31" t="s">
        <v>177</v>
      </c>
      <c r="C66" s="49">
        <v>2446.20057</v>
      </c>
      <c r="D66" s="41">
        <f>IF(OR(2121.0894="",2446.20057=""),"-",2446.20057/2121.0894*100)</f>
        <v>115.3275562076733</v>
      </c>
      <c r="E66" s="41">
        <f>IF(2121.0894="","-",2121.0894/2248863.79366*100)</f>
        <v>9.4318268895598661E-2</v>
      </c>
      <c r="F66" s="41">
        <f>IF(2446.20057="","-",2446.20057/2819483.68931*100)</f>
        <v>8.6760585963831141E-2</v>
      </c>
      <c r="G66" s="41">
        <f>IF(OR(2560872.65018="",3970.17343="",2121.0894=""),"-",(2121.0894-3970.17343)/2560872.65018*100)</f>
        <v>-7.2205231676398696E-2</v>
      </c>
      <c r="H66" s="41">
        <f>IF(OR(2248863.79366="",2446.20057="",2121.0894=""),"-",(2446.20057-2121.0894)/2248863.79366*100)</f>
        <v>1.4456685679077321E-2</v>
      </c>
      <c r="I66" s="30"/>
      <c r="J66" s="31"/>
      <c r="K66" s="27"/>
    </row>
    <row r="67" spans="1:11" ht="51" x14ac:dyDescent="0.25">
      <c r="A67" s="30" t="s">
        <v>282</v>
      </c>
      <c r="B67" s="31" t="s">
        <v>178</v>
      </c>
      <c r="C67" s="49">
        <v>481177.60548999999</v>
      </c>
      <c r="D67" s="41">
        <f>IF(OR(436175.32534="",481177.60549=""),"-",481177.60549/436175.32534*100)</f>
        <v>110.31747500043029</v>
      </c>
      <c r="E67" s="41">
        <f>IF(436175.32534="","-",436175.32534/2248863.79366*100)</f>
        <v>19.395364297725195</v>
      </c>
      <c r="F67" s="41">
        <f>IF(481177.60549="","-",481177.60549/2819483.68931*100)</f>
        <v>17.066160280138259</v>
      </c>
      <c r="G67" s="41">
        <f>IF(OR(2560872.65018="",533771.9274="",436175.32534=""),"-",(436175.32534-533771.9274)/2560872.65018*100)</f>
        <v>-3.8110681549564811</v>
      </c>
      <c r="H67" s="41">
        <f>IF(OR(2248863.79366="",481177.60549="",436175.32534=""),"-",(481177.60549-436175.32534)/2248863.79366*100)</f>
        <v>2.0011118626601796</v>
      </c>
      <c r="I67" s="30"/>
      <c r="J67" s="31"/>
      <c r="K67" s="27"/>
    </row>
    <row r="68" spans="1:11" ht="25.5" x14ac:dyDescent="0.25">
      <c r="A68" s="30" t="s">
        <v>283</v>
      </c>
      <c r="B68" s="31" t="s">
        <v>179</v>
      </c>
      <c r="C68" s="49">
        <v>55880.631399999998</v>
      </c>
      <c r="D68" s="41" t="s">
        <v>208</v>
      </c>
      <c r="E68" s="41">
        <f>IF(25120.81291="","-",25120.81291/2248863.79366*100)</f>
        <v>1.1170446596552726</v>
      </c>
      <c r="F68" s="41">
        <f>IF(55880.6314="","-",55880.6314/2819483.68931*100)</f>
        <v>1.9819455459831166</v>
      </c>
      <c r="G68" s="41">
        <f>IF(OR(2560872.65018="",21732.37363="",25120.81291=""),"-",(25120.81291-21732.37363)/2560872.65018*100)</f>
        <v>0.13231580569857052</v>
      </c>
      <c r="H68" s="41">
        <f>IF(OR(2248863.79366="",55880.6314="",25120.81291=""),"-",(55880.6314-25120.81291)/2248863.79366*100)</f>
        <v>1.3677937533041407</v>
      </c>
      <c r="I68" s="30"/>
      <c r="J68" s="31"/>
      <c r="K68" s="27"/>
    </row>
    <row r="69" spans="1:11" x14ac:dyDescent="0.25">
      <c r="A69" s="30" t="s">
        <v>284</v>
      </c>
      <c r="B69" s="31" t="s">
        <v>33</v>
      </c>
      <c r="C69" s="49">
        <v>932.05877999999996</v>
      </c>
      <c r="D69" s="41" t="s">
        <v>103</v>
      </c>
      <c r="E69" s="41">
        <f>IF(555.19662="","-",555.19662/2248863.79366*100)</f>
        <v>2.4687872229754916E-2</v>
      </c>
      <c r="F69" s="41">
        <f>IF(932.05878="","-",932.05878/2819483.68931*100)</f>
        <v>3.3057782300138033E-2</v>
      </c>
      <c r="G69" s="41">
        <f>IF(OR(2560872.65018="",3042.86231="",555.19662=""),"-",(555.19662-3042.86231)/2560872.65018*100)</f>
        <v>-9.7141327579297845E-2</v>
      </c>
      <c r="H69" s="41">
        <f>IF(OR(2248863.79366="",932.05878="",555.19662=""),"-",(932.05878-555.19662)/2248863.79366*100)</f>
        <v>1.6757891743486211E-2</v>
      </c>
      <c r="I69" s="30"/>
      <c r="J69" s="31"/>
      <c r="K69" s="27"/>
    </row>
    <row r="70" spans="1:11" x14ac:dyDescent="0.25">
      <c r="A70" s="28" t="s">
        <v>285</v>
      </c>
      <c r="B70" s="29" t="s">
        <v>34</v>
      </c>
      <c r="C70" s="79">
        <v>541753.49915000005</v>
      </c>
      <c r="D70" s="39">
        <f>IF(470321.65019="","-",541753.49915/470321.65019*100)</f>
        <v>115.18787173228004</v>
      </c>
      <c r="E70" s="39">
        <f>IF(470321.65019="","-",470321.65019/2248863.79366*100)</f>
        <v>20.913745488540989</v>
      </c>
      <c r="F70" s="39">
        <f>IF(541753.49915="","-",541753.49915/2819483.68931*100)</f>
        <v>19.214634977462168</v>
      </c>
      <c r="G70" s="39">
        <f>IF(2560872.65018="","-",(470321.65019-537279.44416)/2560872.65018*100)</f>
        <v>-2.6146475485726937</v>
      </c>
      <c r="H70" s="39">
        <f>IF(2248863.79366="","-",(541753.49915-470321.65019)/2248863.79366*100)</f>
        <v>3.1763528392151095</v>
      </c>
      <c r="I70" s="30"/>
      <c r="J70" s="31"/>
      <c r="K70" s="27"/>
    </row>
    <row r="71" spans="1:11" ht="38.25" x14ac:dyDescent="0.25">
      <c r="A71" s="30" t="s">
        <v>286</v>
      </c>
      <c r="B71" s="31" t="s">
        <v>205</v>
      </c>
      <c r="C71" s="49">
        <v>13659.67813</v>
      </c>
      <c r="D71" s="41">
        <f>IF(OR(10429.33245="",13659.67813=""),"-",13659.67813/10429.33245*100)</f>
        <v>130.97365718742623</v>
      </c>
      <c r="E71" s="41">
        <f>IF(10429.33245="","-",10429.33245/2248863.79366*100)</f>
        <v>0.46376007650629569</v>
      </c>
      <c r="F71" s="41">
        <f>IF(13659.67813="","-",13659.67813/2819483.68931*100)</f>
        <v>0.48447445118375115</v>
      </c>
      <c r="G71" s="41">
        <f>IF(OR(2560872.65018="",8437.8486="",10429.33245=""),"-",(10429.33245-8437.8486)/2560872.65018*100)</f>
        <v>7.7765829154371358E-2</v>
      </c>
      <c r="H71" s="41">
        <f>IF(OR(2248863.79366="",13659.67813="",10429.33245=""),"-",(13659.67813-10429.33245)/2248863.79366*100)</f>
        <v>0.1436434562692056</v>
      </c>
      <c r="I71" s="28"/>
      <c r="J71" s="29"/>
      <c r="K71" s="26"/>
    </row>
    <row r="72" spans="1:11" x14ac:dyDescent="0.25">
      <c r="A72" s="30" t="s">
        <v>287</v>
      </c>
      <c r="B72" s="31" t="s">
        <v>180</v>
      </c>
      <c r="C72" s="49">
        <v>147295.97255999999</v>
      </c>
      <c r="D72" s="41">
        <f>IF(OR(126946.81909="",147295.97256=""),"-",147295.97256/126946.81909*100)</f>
        <v>116.0296678686949</v>
      </c>
      <c r="E72" s="41">
        <f>IF(126946.81909="","-",126946.81909/2248863.79366*100)</f>
        <v>5.644931429279473</v>
      </c>
      <c r="F72" s="41">
        <f>IF(147295.97256="","-",147295.97256/2819483.68931*100)</f>
        <v>5.2242179345980579</v>
      </c>
      <c r="G72" s="41">
        <f>IF(OR(2560872.65018="",135604.22472="",126946.81909=""),"-",(126946.81909-135604.22472)/2560872.65018*100)</f>
        <v>-0.33806466828373827</v>
      </c>
      <c r="H72" s="41">
        <f>IF(OR(2248863.79366="",147295.97256="",126946.81909=""),"-",(147295.97256-126946.81909)/2248863.79366*100)</f>
        <v>0.90486375952907216</v>
      </c>
      <c r="I72" s="30"/>
      <c r="J72" s="31"/>
      <c r="K72" s="27"/>
    </row>
    <row r="73" spans="1:11" x14ac:dyDescent="0.25">
      <c r="A73" s="30" t="s">
        <v>288</v>
      </c>
      <c r="B73" s="31" t="s">
        <v>181</v>
      </c>
      <c r="C73" s="49">
        <v>13289.08164</v>
      </c>
      <c r="D73" s="41">
        <f>IF(OR(11128.92417="",13289.08164=""),"-",13289.08164/11128.92417*100)</f>
        <v>119.41029911788858</v>
      </c>
      <c r="E73" s="41">
        <f>IF(11128.92417="","-",11128.92417/2248863.79366*100)</f>
        <v>0.49486875111666073</v>
      </c>
      <c r="F73" s="41">
        <f>IF(13289.08164="","-",13289.08164/2819483.68931*100)</f>
        <v>0.4713303251366629</v>
      </c>
      <c r="G73" s="41">
        <f>IF(OR(2560872.65018="",13153.30745="",11128.92417=""),"-",(11128.92417-13153.30745)/2560872.65018*100)</f>
        <v>-7.9050525212868705E-2</v>
      </c>
      <c r="H73" s="41">
        <f>IF(OR(2248863.79366="",13289.08164="",11128.92417=""),"-",(13289.08164-11128.92417)/2248863.79366*100)</f>
        <v>9.6055504832703489E-2</v>
      </c>
      <c r="I73" s="30"/>
      <c r="J73" s="31"/>
      <c r="K73" s="27"/>
    </row>
    <row r="74" spans="1:11" x14ac:dyDescent="0.25">
      <c r="A74" s="30" t="s">
        <v>289</v>
      </c>
      <c r="B74" s="31" t="s">
        <v>182</v>
      </c>
      <c r="C74" s="49">
        <v>251861.23472000001</v>
      </c>
      <c r="D74" s="41">
        <f>IF(OR(218709.41359="",251861.23472=""),"-",251861.23472/218709.41359*100)</f>
        <v>115.15793060107944</v>
      </c>
      <c r="E74" s="41">
        <f>IF(218709.41359="","-",218709.41359/2248863.79366*100)</f>
        <v>9.7253294844528124</v>
      </c>
      <c r="F74" s="41">
        <f>IF(251861.23472="","-",251861.23472/2819483.68931*100)</f>
        <v>8.9328849702137099</v>
      </c>
      <c r="G74" s="41">
        <f>IF(OR(2560872.65018="",256630.97594="",218709.41359=""),"-",(218709.41359-256630.97594)/2560872.65018*100)</f>
        <v>-1.4808062535766684</v>
      </c>
      <c r="H74" s="41">
        <f>IF(OR(2248863.79366="",251861.23472="",218709.41359=""),"-",(251861.23472-218709.41359)/2248863.79366*100)</f>
        <v>1.4741586939796736</v>
      </c>
      <c r="I74" s="30"/>
      <c r="J74" s="31"/>
      <c r="K74" s="27"/>
    </row>
    <row r="75" spans="1:11" x14ac:dyDescent="0.25">
      <c r="A75" s="30" t="s">
        <v>290</v>
      </c>
      <c r="B75" s="31" t="s">
        <v>183</v>
      </c>
      <c r="C75" s="49">
        <v>33772.105640000002</v>
      </c>
      <c r="D75" s="41">
        <f>IF(OR(30600.52013="",33772.10564=""),"-",33772.10564/30600.52013*100)</f>
        <v>110.36448235692129</v>
      </c>
      <c r="E75" s="41">
        <f>IF(30600.52013="","-",30600.52013/2248863.79366*100)</f>
        <v>1.3607102491608889</v>
      </c>
      <c r="F75" s="41">
        <f>IF(33772.10564="","-",33772.10564/2819483.68931*100)</f>
        <v>1.1978117046055659</v>
      </c>
      <c r="G75" s="41">
        <f>IF(OR(2560872.65018="",32756.20943="",30600.52013=""),"-",(30600.52013-32756.20943)/2560872.65018*100)</f>
        <v>-8.4177918798440762E-2</v>
      </c>
      <c r="H75" s="41">
        <f>IF(OR(2248863.79366="",33772.10564="",30600.52013=""),"-",(33772.10564-30600.52013)/2248863.79366*100)</f>
        <v>0.14103057370310018</v>
      </c>
      <c r="I75" s="30"/>
      <c r="J75" s="31"/>
      <c r="K75" s="27"/>
    </row>
    <row r="76" spans="1:11" ht="25.5" x14ac:dyDescent="0.25">
      <c r="A76" s="30" t="s">
        <v>291</v>
      </c>
      <c r="B76" s="31" t="s">
        <v>206</v>
      </c>
      <c r="C76" s="49">
        <v>20865.10053</v>
      </c>
      <c r="D76" s="41">
        <f>IF(OR(20552.60952="",20865.10053=""),"-",20865.10053/20552.60952*100)</f>
        <v>101.52044444621939</v>
      </c>
      <c r="E76" s="41">
        <f>IF(20552.60952="","-",20552.60952/2248863.79366*100)</f>
        <v>0.91391081922977935</v>
      </c>
      <c r="F76" s="41">
        <f>IF(20865.10053="","-",20865.10053/2819483.68931*100)</f>
        <v>0.74003267368098258</v>
      </c>
      <c r="G76" s="41">
        <f>IF(OR(2560872.65018="",25129.14159="",20552.60952=""),"-",(20552.60952-25129.14159)/2560872.65018*100)</f>
        <v>-0.17870986554830517</v>
      </c>
      <c r="H76" s="41">
        <f>IF(OR(2248863.79366="",20865.10053="",20552.60952=""),"-",(20865.10053-20552.60952)/2248863.79366*100)</f>
        <v>1.3895506294377323E-2</v>
      </c>
      <c r="I76" s="30"/>
      <c r="J76" s="31"/>
      <c r="K76" s="27"/>
    </row>
    <row r="77" spans="1:11" ht="25.5" x14ac:dyDescent="0.25">
      <c r="A77" s="30" t="s">
        <v>292</v>
      </c>
      <c r="B77" s="31" t="s">
        <v>184</v>
      </c>
      <c r="C77" s="49">
        <v>3469.1179699999998</v>
      </c>
      <c r="D77" s="41">
        <f>IF(OR(2556.24367="",3469.11797=""),"-",3469.11797/2556.24367*100)</f>
        <v>135.71155249061212</v>
      </c>
      <c r="E77" s="41">
        <f>IF(2556.24367="","-",2556.24367/2248863.79366*100)</f>
        <v>0.1136682300282732</v>
      </c>
      <c r="F77" s="41">
        <f>IF(3469.11797="","-",3469.11797/2819483.68931*100)</f>
        <v>0.12304089515229584</v>
      </c>
      <c r="G77" s="41">
        <f>IF(OR(2560872.65018="",3913.67998="",2556.24367=""),"-",(2556.24367-3913.67998)/2560872.65018*100)</f>
        <v>-5.3006786960085192E-2</v>
      </c>
      <c r="H77" s="41">
        <f>IF(OR(2248863.79366="",3469.11797="",2556.24367=""),"-",(3469.11797-2556.24367)/2248863.79366*100)</f>
        <v>4.0592689631696523E-2</v>
      </c>
      <c r="I77" s="30"/>
      <c r="J77" s="31"/>
      <c r="K77" s="27"/>
    </row>
    <row r="78" spans="1:11" ht="15.75" customHeight="1" x14ac:dyDescent="0.25">
      <c r="A78" s="30" t="s">
        <v>293</v>
      </c>
      <c r="B78" s="31" t="s">
        <v>35</v>
      </c>
      <c r="C78" s="49">
        <v>57541.20796</v>
      </c>
      <c r="D78" s="41">
        <f>IF(OR(49397.78757="",57541.20796=""),"-",57541.20796/49397.78757*100)</f>
        <v>116.48539497535234</v>
      </c>
      <c r="E78" s="41">
        <f>IF(49397.78757="","-",49397.78757/2248863.79366*100)</f>
        <v>2.1965664487668088</v>
      </c>
      <c r="F78" s="41">
        <f>IF(57541.20796="","-",57541.20796/2819483.68931*100)</f>
        <v>2.0408420228911419</v>
      </c>
      <c r="G78" s="41">
        <f>IF(OR(2560872.65018="",61654.05645="",49397.78757=""),"-",(49397.78757-61654.05645)/2560872.65018*100)</f>
        <v>-0.47859735934696013</v>
      </c>
      <c r="H78" s="41">
        <f>IF(OR(2248863.79366="",57541.20796="",49397.78757=""),"-",(57541.20796-49397.78757)/2248863.79366*100)</f>
        <v>0.36211265497527872</v>
      </c>
      <c r="I78" s="30"/>
      <c r="J78" s="31"/>
      <c r="K78" s="27"/>
    </row>
    <row r="79" spans="1:11" ht="25.5" x14ac:dyDescent="0.25">
      <c r="A79" s="34" t="s">
        <v>297</v>
      </c>
      <c r="B79" s="47" t="s">
        <v>185</v>
      </c>
      <c r="C79" s="48">
        <v>838.22920999999997</v>
      </c>
      <c r="D79" s="81">
        <f>IF(585.94278="","-",838.22921/585.94278*100)</f>
        <v>143.05649606263603</v>
      </c>
      <c r="E79" s="81">
        <f>IF(585.94278="","-",585.94278/2248863.79366*100)</f>
        <v>2.6055058632358734E-2</v>
      </c>
      <c r="F79" s="81">
        <f>IF(838.22921="","-",838.22921/2819483.68931*100)</f>
        <v>2.972988328246496E-2</v>
      </c>
      <c r="G79" s="81">
        <f>IF(2560872.65018="","-",(585.94278-879.32971)/2560872.65018*100)</f>
        <v>-1.1456521665744616E-2</v>
      </c>
      <c r="H79" s="81">
        <f>IF(2248863.79366="","-",(838.22921-585.94278)/2248863.79366*100)</f>
        <v>1.1218395294159045E-2</v>
      </c>
      <c r="I79" s="30"/>
      <c r="J79" s="31"/>
      <c r="K79" s="27"/>
    </row>
    <row r="80" spans="1:11" x14ac:dyDescent="0.25">
      <c r="A80" s="70" t="s">
        <v>300</v>
      </c>
      <c r="B80" s="71"/>
      <c r="C80" s="49"/>
      <c r="D80" s="67"/>
      <c r="E80" s="67"/>
      <c r="F80" s="67"/>
      <c r="G80" s="67"/>
      <c r="H80" s="67"/>
      <c r="I80" s="1"/>
      <c r="J80" s="1"/>
      <c r="K80" s="1"/>
    </row>
    <row r="81" spans="1:5" x14ac:dyDescent="0.25">
      <c r="A81" s="102" t="s">
        <v>347</v>
      </c>
      <c r="B81" s="102"/>
      <c r="C81" s="102"/>
      <c r="D81" s="102"/>
      <c r="E81" s="102"/>
    </row>
  </sheetData>
  <mergeCells count="12">
    <mergeCell ref="A81:E81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83"/>
  <sheetViews>
    <sheetView zoomScaleNormal="100" workbookViewId="0">
      <selection activeCell="D28" sqref="D28"/>
    </sheetView>
  </sheetViews>
  <sheetFormatPr defaultRowHeight="15.75" x14ac:dyDescent="0.25"/>
  <cols>
    <col min="1" max="1" width="5.25" customWidth="1"/>
    <col min="2" max="2" width="26.75" customWidth="1"/>
    <col min="3" max="3" width="11.625" customWidth="1"/>
    <col min="4" max="4" width="9.625" customWidth="1"/>
    <col min="5" max="7" width="8.375" customWidth="1"/>
    <col min="8" max="8" width="8.75" customWidth="1"/>
    <col min="9" max="9" width="11.375" bestFit="1" customWidth="1"/>
  </cols>
  <sheetData>
    <row r="1" spans="1:14" x14ac:dyDescent="0.25">
      <c r="B1" s="116" t="s">
        <v>138</v>
      </c>
      <c r="C1" s="116"/>
      <c r="D1" s="116"/>
      <c r="E1" s="116"/>
      <c r="F1" s="116"/>
      <c r="G1" s="116"/>
      <c r="H1" s="116"/>
    </row>
    <row r="2" spans="1:14" x14ac:dyDescent="0.25">
      <c r="B2" s="116" t="s">
        <v>299</v>
      </c>
      <c r="C2" s="116"/>
      <c r="D2" s="116"/>
      <c r="E2" s="116"/>
      <c r="F2" s="116"/>
      <c r="G2" s="116"/>
      <c r="H2" s="116"/>
    </row>
    <row r="3" spans="1:14" x14ac:dyDescent="0.25">
      <c r="B3" s="5"/>
    </row>
    <row r="4" spans="1:14" ht="57" customHeight="1" x14ac:dyDescent="0.25">
      <c r="A4" s="124" t="s">
        <v>224</v>
      </c>
      <c r="B4" s="127"/>
      <c r="C4" s="130" t="s">
        <v>369</v>
      </c>
      <c r="D4" s="122"/>
      <c r="E4" s="130" t="s">
        <v>0</v>
      </c>
      <c r="F4" s="122"/>
      <c r="G4" s="119" t="s">
        <v>119</v>
      </c>
      <c r="H4" s="131"/>
    </row>
    <row r="5" spans="1:14" ht="22.5" customHeight="1" x14ac:dyDescent="0.25">
      <c r="A5" s="125"/>
      <c r="B5" s="128"/>
      <c r="C5" s="132" t="s">
        <v>110</v>
      </c>
      <c r="D5" s="117" t="s">
        <v>370</v>
      </c>
      <c r="E5" s="134" t="s">
        <v>371</v>
      </c>
      <c r="F5" s="134"/>
      <c r="G5" s="134" t="s">
        <v>379</v>
      </c>
      <c r="H5" s="130"/>
    </row>
    <row r="6" spans="1:14" ht="31.5" customHeight="1" x14ac:dyDescent="0.25">
      <c r="A6" s="126"/>
      <c r="B6" s="129"/>
      <c r="C6" s="133"/>
      <c r="D6" s="118"/>
      <c r="E6" s="19">
        <v>2020</v>
      </c>
      <c r="F6" s="19">
        <v>2021</v>
      </c>
      <c r="G6" s="19">
        <v>2020</v>
      </c>
      <c r="H6" s="15">
        <v>2021</v>
      </c>
    </row>
    <row r="7" spans="1:14" x14ac:dyDescent="0.25">
      <c r="A7" s="33"/>
      <c r="B7" s="46" t="s">
        <v>123</v>
      </c>
      <c r="C7" s="36">
        <v>6419550.41866</v>
      </c>
      <c r="D7" s="37">
        <f>IF(4848686.17434="","-",6419550.41866/4848686.17434*100)</f>
        <v>132.39772977334059</v>
      </c>
      <c r="E7" s="37">
        <v>100</v>
      </c>
      <c r="F7" s="37">
        <v>100</v>
      </c>
      <c r="G7" s="37">
        <f>IF(5302814.4312="","-",(4848686.17434-5302814.4312)/5302814.4312*100)</f>
        <v>-8.5639100283815335</v>
      </c>
      <c r="H7" s="37">
        <f>IF(4848686.17434="","-",(6419550.41866-4848686.17434)/4848686.17434*100)</f>
        <v>32.3977297733406</v>
      </c>
      <c r="I7" s="13"/>
      <c r="J7" s="13"/>
      <c r="K7" s="13"/>
      <c r="L7" s="13"/>
      <c r="M7" s="13"/>
      <c r="N7" s="13"/>
    </row>
    <row r="8" spans="1:14" ht="12" customHeight="1" x14ac:dyDescent="0.25">
      <c r="A8" s="28" t="s">
        <v>225</v>
      </c>
      <c r="B8" s="29" t="s">
        <v>186</v>
      </c>
      <c r="C8" s="26">
        <v>685586.76499000005</v>
      </c>
      <c r="D8" s="60">
        <f>IF(584817.29964="","-",685586.76499/584817.29964*100)</f>
        <v>117.23093099537778</v>
      </c>
      <c r="E8" s="60">
        <f>IF(584817.29964="","-",584817.29964/4848686.17434*100)</f>
        <v>12.061355975871235</v>
      </c>
      <c r="F8" s="60">
        <f>IF(685586.76499="","-",685586.76499/6419550.41866*100)</f>
        <v>10.679669451573645</v>
      </c>
      <c r="G8" s="60">
        <f>IF(5302814.4312="","-",(584817.29964-538727.55944)/5302814.4312*100)</f>
        <v>0.86915619616676121</v>
      </c>
      <c r="H8" s="60">
        <f>IF(4848686.17434="","-",(685586.76499-584817.29964)/4848686.17434*100)</f>
        <v>2.078283925309246</v>
      </c>
    </row>
    <row r="9" spans="1:14" x14ac:dyDescent="0.25">
      <c r="A9" s="30" t="s">
        <v>226</v>
      </c>
      <c r="B9" s="31" t="s">
        <v>23</v>
      </c>
      <c r="C9" s="27">
        <v>5364.1159600000001</v>
      </c>
      <c r="D9" s="50">
        <f>IF(OR(5838.76201="",5364.11596=""),"-",5364.11596/5838.76201*100)</f>
        <v>91.870775873599953</v>
      </c>
      <c r="E9" s="50">
        <f>IF(5838.76201="","-",5838.76201/4848686.17434*100)</f>
        <v>0.12041946622364703</v>
      </c>
      <c r="F9" s="50">
        <f>IF(5364.11596="","-",5364.11596/6419550.41866*100)</f>
        <v>8.3559059594078111E-2</v>
      </c>
      <c r="G9" s="50">
        <f>IF(OR(5302814.4312="",5039.97461="",5838.76201=""),"-",(5838.76201-5039.97461)/5302814.4312*100)</f>
        <v>1.5063461306513013E-2</v>
      </c>
      <c r="H9" s="50">
        <f>IF(OR(4848686.17434="",5364.11596="",5838.76201=""),"-",(5364.11596-5838.76201)/4848686.17434*100)</f>
        <v>-9.7891683011348696E-3</v>
      </c>
    </row>
    <row r="10" spans="1:14" ht="14.25" customHeight="1" x14ac:dyDescent="0.25">
      <c r="A10" s="30" t="s">
        <v>227</v>
      </c>
      <c r="B10" s="31" t="s">
        <v>187</v>
      </c>
      <c r="C10" s="27">
        <v>58254.821880000003</v>
      </c>
      <c r="D10" s="50" t="s">
        <v>104</v>
      </c>
      <c r="E10" s="50">
        <f>IF(36980.56465="","-",36980.56465/4848686.17434*100)</f>
        <v>0.76269247627753034</v>
      </c>
      <c r="F10" s="50">
        <f>IF(58254.82188="","-",58254.82188/6419550.41866*100)</f>
        <v>0.90745952723835699</v>
      </c>
      <c r="G10" s="50">
        <f>IF(OR(5302814.4312="",41874.25306="",36980.56465=""),"-",(36980.56465-41874.25306)/5302814.4312*100)</f>
        <v>-9.2284738104489644E-2</v>
      </c>
      <c r="H10" s="50">
        <f>IF(OR(4848686.17434="",58254.82188="",36980.56465=""),"-",(58254.82188-36980.56465)/4848686.17434*100)</f>
        <v>0.43876333639794368</v>
      </c>
    </row>
    <row r="11" spans="1:14" s="7" customFormat="1" x14ac:dyDescent="0.25">
      <c r="A11" s="30" t="s">
        <v>228</v>
      </c>
      <c r="B11" s="31" t="s">
        <v>188</v>
      </c>
      <c r="C11" s="27">
        <v>85155.605330000006</v>
      </c>
      <c r="D11" s="50">
        <f>IF(OR(72051.46341="",85155.60533=""),"-",85155.60533/72051.46341*100)</f>
        <v>118.1871974555638</v>
      </c>
      <c r="E11" s="50">
        <f>IF(72051.46341="","-",72051.46341/4848686.17434*100)</f>
        <v>1.4859997289844726</v>
      </c>
      <c r="F11" s="50">
        <f>IF(85155.60533="","-",85155.60533/6419550.41866*100)</f>
        <v>1.3265041907370074</v>
      </c>
      <c r="G11" s="50">
        <f>IF(OR(5302814.4312="",60380.43142="",72051.46341=""),"-",(72051.46341-60380.43142)/5302814.4312*100)</f>
        <v>0.22009127683841842</v>
      </c>
      <c r="H11" s="50">
        <f>IF(OR(4848686.17434="",85155.60533="",72051.46341=""),"-",(85155.60533-72051.46341)/4848686.17434*100)</f>
        <v>0.27026170489954915</v>
      </c>
    </row>
    <row r="12" spans="1:14" s="7" customFormat="1" x14ac:dyDescent="0.25">
      <c r="A12" s="30" t="s">
        <v>229</v>
      </c>
      <c r="B12" s="31" t="s">
        <v>189</v>
      </c>
      <c r="C12" s="27">
        <v>67649.182920000007</v>
      </c>
      <c r="D12" s="50">
        <f>IF(OR(52511.17669="",67649.18292=""),"-",67649.18292/52511.17669*100)</f>
        <v>128.82816037310934</v>
      </c>
      <c r="E12" s="50">
        <f>IF(52511.17669="","-",52511.17669/4848686.17434*100)</f>
        <v>1.0829980494076372</v>
      </c>
      <c r="F12" s="50">
        <f>IF(67649.18292="","-",67649.18292/6419550.41866*100)</f>
        <v>1.0537993863769812</v>
      </c>
      <c r="G12" s="50">
        <f>IF(OR(5302814.4312="",51350.66568="",52511.17669=""),"-",(52511.17669-51350.66568)/5302814.4312*100)</f>
        <v>2.1884812773608299E-2</v>
      </c>
      <c r="H12" s="50">
        <f>IF(OR(4848686.17434="",67649.18292="",52511.17669=""),"-",(67649.18292-52511.17669)/4848686.17434*100)</f>
        <v>0.31220841452087955</v>
      </c>
    </row>
    <row r="13" spans="1:14" s="7" customFormat="1" ht="15" customHeight="1" x14ac:dyDescent="0.25">
      <c r="A13" s="30" t="s">
        <v>230</v>
      </c>
      <c r="B13" s="31" t="s">
        <v>190</v>
      </c>
      <c r="C13" s="27">
        <v>93233.575060000003</v>
      </c>
      <c r="D13" s="50">
        <f>IF(OR(89764.20146="",93233.57506=""),"-",93233.57506/89764.20146*100)</f>
        <v>103.86498575553642</v>
      </c>
      <c r="E13" s="50">
        <f>IF(89764.20146="","-",89764.20146/4848686.17434*100)</f>
        <v>1.8513097823292024</v>
      </c>
      <c r="F13" s="50">
        <f>IF(93233.57506="","-",93233.57506/6419550.41866*100)</f>
        <v>1.4523380763393294</v>
      </c>
      <c r="G13" s="50">
        <f>IF(OR(5302814.4312="",73201.345="",89764.20146=""),"-",(89764.20146-73201.345)/5302814.4312*100)</f>
        <v>0.31234086492919011</v>
      </c>
      <c r="H13" s="50">
        <f>IF(OR(4848686.17434="",93233.57506="",89764.20146=""),"-",(93233.57506-89764.20146)/4848686.17434*100)</f>
        <v>7.155285937787581E-2</v>
      </c>
    </row>
    <row r="14" spans="1:14" s="7" customFormat="1" ht="14.25" customHeight="1" x14ac:dyDescent="0.25">
      <c r="A14" s="30" t="s">
        <v>231</v>
      </c>
      <c r="B14" s="31" t="s">
        <v>191</v>
      </c>
      <c r="C14" s="27">
        <v>154412.05296999999</v>
      </c>
      <c r="D14" s="50">
        <f>IF(OR(150020.60171="",154412.05297=""),"-",154412.05297/150020.60171*100)</f>
        <v>102.92723213341657</v>
      </c>
      <c r="E14" s="50">
        <f>IF(150020.60171="","-",150020.60171/4848686.17434*100)</f>
        <v>3.0940464347627259</v>
      </c>
      <c r="F14" s="50">
        <f>IF(154412.05297="","-",154412.05297/6419550.41866*100)</f>
        <v>2.4053406064256997</v>
      </c>
      <c r="G14" s="50">
        <f>IF(OR(5302814.4312="",142937.28456="",150020.60171=""),"-",(150020.60171-142937.28456)/5302814.4312*100)</f>
        <v>0.13357656093571935</v>
      </c>
      <c r="H14" s="50">
        <f>IF(OR(4848686.17434="",154412.05297="",150020.60171=""),"-",(154412.05297-150020.60171)/4848686.17434*100)</f>
        <v>9.0569921461204128E-2</v>
      </c>
    </row>
    <row r="15" spans="1:14" s="7" customFormat="1" ht="25.5" x14ac:dyDescent="0.25">
      <c r="A15" s="30" t="s">
        <v>232</v>
      </c>
      <c r="B15" s="31" t="s">
        <v>149</v>
      </c>
      <c r="C15" s="27">
        <v>16844.163509999998</v>
      </c>
      <c r="D15" s="50">
        <f>IF(OR(15229.28451="",16844.16351=""),"-",16844.16351/15229.28451*100)</f>
        <v>110.60377458271017</v>
      </c>
      <c r="E15" s="50">
        <f>IF(15229.28451="","-",15229.28451/4848686.17434*100)</f>
        <v>0.31409095087646083</v>
      </c>
      <c r="F15" s="50">
        <f>IF(16844.16351="","-",16844.16351/6419550.41866*100)</f>
        <v>0.26238852273888685</v>
      </c>
      <c r="G15" s="50">
        <f>IF(OR(5302814.4312="",14405.09435="",15229.28451=""),"-",(15229.28451-14405.09435)/5302814.4312*100)</f>
        <v>1.5542504281325378E-2</v>
      </c>
      <c r="H15" s="50">
        <f>IF(OR(4848686.17434="",16844.16351="",15229.28451=""),"-",(16844.16351-15229.28451)/4848686.17434*100)</f>
        <v>3.3305496415630881E-2</v>
      </c>
    </row>
    <row r="16" spans="1:14" s="7" customFormat="1" ht="25.5" x14ac:dyDescent="0.25">
      <c r="A16" s="30" t="s">
        <v>233</v>
      </c>
      <c r="B16" s="31" t="s">
        <v>192</v>
      </c>
      <c r="C16" s="27">
        <v>61550.339540000001</v>
      </c>
      <c r="D16" s="50">
        <f>IF(OR(51808.0332="",61550.33954=""),"-",61550.33954/51808.0332*100)</f>
        <v>118.80462495534381</v>
      </c>
      <c r="E16" s="50">
        <f>IF(51808.0332="","-",51808.0332/4848686.17434*100)</f>
        <v>1.0684963170884547</v>
      </c>
      <c r="F16" s="50">
        <f>IF(61550.33954="","-",61550.33954/6419550.41866*100)</f>
        <v>0.95879517296240602</v>
      </c>
      <c r="G16" s="50">
        <f>IF(OR(5302814.4312="",49367.07489="",51808.0332=""),"-",(51808.0332-49367.07489)/5302814.4312*100)</f>
        <v>4.603137337105756E-2</v>
      </c>
      <c r="H16" s="50">
        <f>IF(OR(4848686.17434="",61550.33954="",51808.0332=""),"-",(61550.33954-51808.0332)/4848686.17434*100)</f>
        <v>0.200926725090145</v>
      </c>
    </row>
    <row r="17" spans="1:8" s="7" customFormat="1" ht="25.5" x14ac:dyDescent="0.25">
      <c r="A17" s="30" t="s">
        <v>234</v>
      </c>
      <c r="B17" s="31" t="s">
        <v>150</v>
      </c>
      <c r="C17" s="27">
        <v>43804.47537</v>
      </c>
      <c r="D17" s="50">
        <f>IF(OR(35373.35135="",43804.47537=""),"-",43804.47537/35373.35135*100)</f>
        <v>123.83467694813149</v>
      </c>
      <c r="E17" s="50">
        <f>IF(35373.35135="","-",35373.35135/4848686.17434*100)</f>
        <v>0.72954507835960314</v>
      </c>
      <c r="F17" s="50">
        <f>IF(43804.47537="","-",43804.47537/6419550.41866*100)</f>
        <v>0.68236048497526458</v>
      </c>
      <c r="G17" s="50">
        <f>IF(OR(5302814.4312="",28861.43293="",35373.35135=""),"-",(35373.35135-28861.43293)/5302814.4312*100)</f>
        <v>0.12280117481928146</v>
      </c>
      <c r="H17" s="50">
        <f>IF(OR(4848686.17434="",43804.47537="",35373.35135=""),"-",(43804.47537-35373.35135)/4848686.17434*100)</f>
        <v>0.17388471261800401</v>
      </c>
    </row>
    <row r="18" spans="1:8" s="7" customFormat="1" ht="15" customHeight="1" x14ac:dyDescent="0.25">
      <c r="A18" s="30" t="s">
        <v>235</v>
      </c>
      <c r="B18" s="31" t="s">
        <v>193</v>
      </c>
      <c r="C18" s="27">
        <v>99318.432449999993</v>
      </c>
      <c r="D18" s="50">
        <f>IF(OR(75239.86065="",99318.43245=""),"-",99318.43245/75239.86065*100)</f>
        <v>132.00241413525265</v>
      </c>
      <c r="E18" s="50">
        <f>IF(75239.86065="","-",75239.86065/4848686.17434*100)</f>
        <v>1.5517576915615001</v>
      </c>
      <c r="F18" s="50">
        <f>IF(99318.43245="","-",99318.43245/6419550.41866*100)</f>
        <v>1.5471244241856343</v>
      </c>
      <c r="G18" s="50">
        <f>IF(OR(5302814.4312="",71310.00294="",75239.86065=""),"-",(75239.86065-71310.00294)/5302814.4312*100)</f>
        <v>7.4108905016136678E-2</v>
      </c>
      <c r="H18" s="50">
        <f>IF(OR(4848686.17434="",99318.43245="",75239.86065=""),"-",(99318.43245-75239.86065)/4848686.17434*100)</f>
        <v>0.49659992282914756</v>
      </c>
    </row>
    <row r="19" spans="1:8" s="7" customFormat="1" x14ac:dyDescent="0.25">
      <c r="A19" s="28" t="s">
        <v>236</v>
      </c>
      <c r="B19" s="29" t="s">
        <v>194</v>
      </c>
      <c r="C19" s="26">
        <v>118675.99234</v>
      </c>
      <c r="D19" s="60">
        <f>IF(94588.41936="","-",118675.99234/94588.41936*100)</f>
        <v>125.46566814730626</v>
      </c>
      <c r="E19" s="60">
        <f>IF(94588.41936="","-",94588.41936/4848686.17434*100)</f>
        <v>1.9508051451252215</v>
      </c>
      <c r="F19" s="60">
        <f>IF(118675.99234="","-",118675.99234/6419550.41866*100)</f>
        <v>1.8486651650096724</v>
      </c>
      <c r="G19" s="60">
        <f>IF(5302814.4312="","-",(94588.41936-113578.93208)/5302814.4312*100)</f>
        <v>-0.35812138943173505</v>
      </c>
      <c r="H19" s="60">
        <f>IF(4848686.17434="","-",(118675.99234-94588.41936)/4848686.17434*100)</f>
        <v>0.49678556445816541</v>
      </c>
    </row>
    <row r="20" spans="1:8" s="7" customFormat="1" x14ac:dyDescent="0.25">
      <c r="A20" s="30" t="s">
        <v>237</v>
      </c>
      <c r="B20" s="31" t="s">
        <v>195</v>
      </c>
      <c r="C20" s="27">
        <v>71026.677779999998</v>
      </c>
      <c r="D20" s="50">
        <f>IF(OR(47954.08944="",71026.67778=""),"-",71026.67778/47954.08944*100)</f>
        <v>148.11391188830379</v>
      </c>
      <c r="E20" s="50">
        <f>IF(47954.08944="","-",47954.08944/4848686.17434*100)</f>
        <v>0.98901202750098538</v>
      </c>
      <c r="F20" s="50">
        <f>IF(71026.67778="","-",71026.67778/6419550.41866*100)</f>
        <v>1.1064120249533911</v>
      </c>
      <c r="G20" s="50">
        <f>IF(OR(5302814.4312="",56620.04357="",47954.08944=""),"-",(47954.08944-56620.04357)/5302814.4312*100)</f>
        <v>-0.16342178747595615</v>
      </c>
      <c r="H20" s="50">
        <f>IF(OR(4848686.17434="",71026.67778="",47954.08944=""),"-",(71026.67778-47954.08944)/4848686.17434*100)</f>
        <v>0.47585237547655101</v>
      </c>
    </row>
    <row r="21" spans="1:8" s="7" customFormat="1" x14ac:dyDescent="0.25">
      <c r="A21" s="30" t="s">
        <v>238</v>
      </c>
      <c r="B21" s="31" t="s">
        <v>196</v>
      </c>
      <c r="C21" s="27">
        <v>47649.314559999999</v>
      </c>
      <c r="D21" s="50">
        <f>IF(OR(46634.32992="",47649.31456=""),"-",47649.31456/46634.32992*100)</f>
        <v>102.17647523131819</v>
      </c>
      <c r="E21" s="50">
        <f>IF(46634.32992="","-",46634.32992/4848686.17434*100)</f>
        <v>0.96179311762423625</v>
      </c>
      <c r="F21" s="50">
        <f>IF(47649.31456="","-",47649.31456/6419550.41866*100)</f>
        <v>0.74225314005628129</v>
      </c>
      <c r="G21" s="50">
        <f>IF(OR(5302814.4312="",56958.88851="",46634.32992=""),"-",(46634.32992-56958.88851)/5302814.4312*100)</f>
        <v>-0.19469960195577887</v>
      </c>
      <c r="H21" s="50">
        <f>IF(OR(4848686.17434="",47649.31456="",46634.32992=""),"-",(47649.31456-46634.32992)/4848686.17434*100)</f>
        <v>2.0933188981614413E-2</v>
      </c>
    </row>
    <row r="22" spans="1:8" s="7" customFormat="1" ht="25.5" x14ac:dyDescent="0.25">
      <c r="A22" s="28" t="s">
        <v>239</v>
      </c>
      <c r="B22" s="29" t="s">
        <v>24</v>
      </c>
      <c r="C22" s="26">
        <v>172185.40914</v>
      </c>
      <c r="D22" s="60">
        <f>IF(127218.07768="","-",172185.40914/127218.07768*100)</f>
        <v>135.34665220544306</v>
      </c>
      <c r="E22" s="60">
        <f>IF(127218.07768="","-",127218.07768/4848686.17434*100)</f>
        <v>2.6237639044006977</v>
      </c>
      <c r="F22" s="60">
        <f>IF(172185.40914="","-",172185.40914/6419550.41866*100)</f>
        <v>2.6822035487018034</v>
      </c>
      <c r="G22" s="60">
        <f>IF(5302814.4312="","-",(127218.07768-129519.93164)/5302814.4312*100)</f>
        <v>-4.3408155987066946E-2</v>
      </c>
      <c r="H22" s="60">
        <f>IF(4848686.17434="","-",(172185.40914-127218.07768)/4848686.17434*100)</f>
        <v>0.92741270198046843</v>
      </c>
    </row>
    <row r="23" spans="1:8" s="7" customFormat="1" ht="15.75" customHeight="1" x14ac:dyDescent="0.25">
      <c r="A23" s="30" t="s">
        <v>240</v>
      </c>
      <c r="B23" s="31" t="s">
        <v>203</v>
      </c>
      <c r="C23" s="27">
        <v>15.41886</v>
      </c>
      <c r="D23" s="50" t="s">
        <v>20</v>
      </c>
      <c r="E23" s="50">
        <f>IF(7.6099="","-",7.6099/4848686.17434*100)</f>
        <v>1.5694767049005502E-4</v>
      </c>
      <c r="F23" s="50">
        <f>IF(15.41886="","-",15.41886/6419550.41866*100)</f>
        <v>2.4018597868133098E-4</v>
      </c>
      <c r="G23" s="50">
        <f>IF(OR(5302814.4312="",18.14="",7.6099=""),"-",(7.6099-18.14)/5302814.4312*100)</f>
        <v>-1.985756834718633E-4</v>
      </c>
      <c r="H23" s="50">
        <f>IF(OR(4848686.17434="",15.41886="",7.6099=""),"-",(15.41886-7.6099)/4848686.17434*100)</f>
        <v>1.61053112517907E-4</v>
      </c>
    </row>
    <row r="24" spans="1:8" s="7" customFormat="1" x14ac:dyDescent="0.25">
      <c r="A24" s="30" t="s">
        <v>241</v>
      </c>
      <c r="B24" s="31" t="s">
        <v>197</v>
      </c>
      <c r="C24" s="27">
        <v>45387.064359999997</v>
      </c>
      <c r="D24" s="50">
        <f>IF(OR(32952.16148="",45387.06436=""),"-",45387.06436/32952.16148*100)</f>
        <v>137.73622828216364</v>
      </c>
      <c r="E24" s="50">
        <f>IF(32952.16148="","-",32952.16148/4848686.17434*100)</f>
        <v>0.67961011076336419</v>
      </c>
      <c r="F24" s="50">
        <f>IF(45387.06436="","-",45387.06436/6419550.41866*100)</f>
        <v>0.70701313020412382</v>
      </c>
      <c r="G24" s="50">
        <f>IF(OR(5302814.4312="",30412.18229="",32952.16148=""),"-",(32952.16148-30412.18229)/5302814.4312*100)</f>
        <v>4.7898700264818003E-2</v>
      </c>
      <c r="H24" s="50">
        <f>IF(OR(4848686.17434="",45387.06436="",32952.16148=""),"-",(45387.06436-32952.16148)/4848686.17434*100)</f>
        <v>0.25645922282632827</v>
      </c>
    </row>
    <row r="25" spans="1:8" s="7" customFormat="1" ht="25.5" x14ac:dyDescent="0.25">
      <c r="A25" s="30" t="s">
        <v>295</v>
      </c>
      <c r="B25" s="31" t="s">
        <v>198</v>
      </c>
      <c r="C25" s="27">
        <v>2588.2993099999999</v>
      </c>
      <c r="D25" s="50" t="s">
        <v>20</v>
      </c>
      <c r="E25" s="50">
        <f>IF(1322.07269="","-",1322.07269/4848686.17434*100)</f>
        <v>2.7266617027033296E-2</v>
      </c>
      <c r="F25" s="50">
        <f>IF(2588.29931="","-",2588.29931/6419550.41866*100)</f>
        <v>4.0319012098985502E-2</v>
      </c>
      <c r="G25" s="50">
        <f>IF(OR(5302814.4312="",1444.9346="",1322.07269=""),"-",(1322.07269-1444.9346)/5302814.4312*100)</f>
        <v>-2.3169189039903295E-3</v>
      </c>
      <c r="H25" s="50">
        <f>IF(OR(4848686.17434="",2588.29931="",1322.07269=""),"-",(2588.29931-1322.07269)/4848686.17434*100)</f>
        <v>2.6114839659062031E-2</v>
      </c>
    </row>
    <row r="26" spans="1:8" s="7" customFormat="1" x14ac:dyDescent="0.25">
      <c r="A26" s="30" t="s">
        <v>242</v>
      </c>
      <c r="B26" s="31" t="s">
        <v>199</v>
      </c>
      <c r="C26" s="27">
        <v>52509.651180000001</v>
      </c>
      <c r="D26" s="50">
        <f>IF(OR(36620.01221="",52509.65118=""),"-",52509.65118/36620.01221*100)</f>
        <v>143.39058894595601</v>
      </c>
      <c r="E26" s="50">
        <f>IF(36620.01221="","-",36620.01221/4848686.17434*100)</f>
        <v>0.75525639097450326</v>
      </c>
      <c r="F26" s="50">
        <f>IF(52509.65118="","-",52509.65118/6419550.41866*100)</f>
        <v>0.81796461988004332</v>
      </c>
      <c r="G26" s="50">
        <f>IF(OR(5302814.4312="",36038.86028="",36620.01221=""),"-",(36620.01221-36038.86028)/5302814.4312*100)</f>
        <v>1.0959311089233951E-2</v>
      </c>
      <c r="H26" s="50">
        <f>IF(OR(4848686.17434="",52509.65118="",36620.01221=""),"-",(52509.65118-36620.01221)/4848686.17434*100)</f>
        <v>0.32771019609580909</v>
      </c>
    </row>
    <row r="27" spans="1:8" s="7" customFormat="1" ht="14.25" customHeight="1" x14ac:dyDescent="0.25">
      <c r="A27" s="30" t="s">
        <v>243</v>
      </c>
      <c r="B27" s="31" t="s">
        <v>151</v>
      </c>
      <c r="C27" s="27">
        <v>560.63589999999999</v>
      </c>
      <c r="D27" s="50">
        <f>IF(OR(456.59706="",560.6359=""),"-",560.6359/456.59706*100)</f>
        <v>122.7857008102505</v>
      </c>
      <c r="E27" s="50">
        <f>IF(456.59706="","-",456.59706/4848686.17434*100)</f>
        <v>9.416923339282764E-3</v>
      </c>
      <c r="F27" s="50">
        <f>IF(560.6359="","-",560.6359/6419550.41866*100)</f>
        <v>8.7332579921854669E-3</v>
      </c>
      <c r="G27" s="50">
        <f>IF(OR(5302814.4312="",429.1599="",456.59706=""),"-",(456.59706-429.1599)/5302814.4312*100)</f>
        <v>5.174075079559425E-4</v>
      </c>
      <c r="H27" s="50">
        <f>IF(OR(4848686.17434="",560.6359="",456.59706=""),"-",(560.6359-456.59706)/4848686.17434*100)</f>
        <v>2.1457119776196218E-3</v>
      </c>
    </row>
    <row r="28" spans="1:8" s="7" customFormat="1" ht="38.25" x14ac:dyDescent="0.25">
      <c r="A28" s="30" t="s">
        <v>244</v>
      </c>
      <c r="B28" s="31" t="s">
        <v>152</v>
      </c>
      <c r="C28" s="27">
        <v>9625.8695200000002</v>
      </c>
      <c r="D28" s="50">
        <f>IF(OR(7148.94516="",9625.86952=""),"-",9625.86952/7148.94516*100)</f>
        <v>134.64741027611967</v>
      </c>
      <c r="E28" s="50">
        <f>IF(7148.94516="","-",7148.94516/4848686.17434*100)</f>
        <v>0.14744087167021303</v>
      </c>
      <c r="F28" s="50">
        <f>IF(9625.86952="","-",9625.86952/6419550.41866*100)</f>
        <v>0.1499461627720852</v>
      </c>
      <c r="G28" s="50">
        <f>IF(OR(5302814.4312="",7427.75588="",7148.94516=""),"-",(7148.94516-7427.75588)/5302814.4312*100)</f>
        <v>-5.2577876072669961E-3</v>
      </c>
      <c r="H28" s="50">
        <f>IF(OR(4848686.17434="",9625.86952="",7148.94516=""),"-",(9625.86952-7148.94516)/4848686.17434*100)</f>
        <v>5.1084443722265803E-2</v>
      </c>
    </row>
    <row r="29" spans="1:8" s="7" customFormat="1" ht="38.25" x14ac:dyDescent="0.25">
      <c r="A29" s="30" t="s">
        <v>245</v>
      </c>
      <c r="B29" s="31" t="s">
        <v>153</v>
      </c>
      <c r="C29" s="27">
        <v>18014.706890000001</v>
      </c>
      <c r="D29" s="50">
        <f>IF(OR(16558.60145="",18014.70689=""),"-",18014.70689/16558.60145*100)</f>
        <v>108.79364990090998</v>
      </c>
      <c r="E29" s="50">
        <f>IF(16558.60145="","-",16558.60145/4848686.17434*100)</f>
        <v>0.34150697435587163</v>
      </c>
      <c r="F29" s="50">
        <f>IF(18014.70689="","-",18014.70689/6419550.41866*100)</f>
        <v>0.28062256256506424</v>
      </c>
      <c r="G29" s="50">
        <f>IF(OR(5302814.4312="",22431.01508="",16558.60145=""),"-",(16558.60145-22431.01508)/5302814.4312*100)</f>
        <v>-0.11074145071810677</v>
      </c>
      <c r="H29" s="50">
        <f>IF(OR(4848686.17434="",18014.70689="",16558.60145=""),"-",(18014.70689-16558.60145)/4848686.17434*100)</f>
        <v>3.0030927712045768E-2</v>
      </c>
    </row>
    <row r="30" spans="1:8" s="7" customFormat="1" ht="25.5" x14ac:dyDescent="0.25">
      <c r="A30" s="30" t="s">
        <v>246</v>
      </c>
      <c r="B30" s="31" t="s">
        <v>154</v>
      </c>
      <c r="C30" s="27">
        <v>1214.34265</v>
      </c>
      <c r="D30" s="50">
        <f>IF(OR(1503.00056="",1214.34265=""),"-",1214.34265/1503.00056*100)</f>
        <v>80.794557388588075</v>
      </c>
      <c r="E30" s="50">
        <f>IF(1503.00056="","-",1503.00056/4848686.17434*100)</f>
        <v>3.099809940173303E-2</v>
      </c>
      <c r="F30" s="50">
        <f>IF(1214.34265="","-",1214.34265/6419550.41866*100)</f>
        <v>1.891631922494471E-2</v>
      </c>
      <c r="G30" s="50">
        <f>IF(OR(5302814.4312="",1377.58838="",1503.00056=""),"-",(1503.00056-1377.58838)/5302814.4312*100)</f>
        <v>2.3650116674292124E-3</v>
      </c>
      <c r="H30" s="50">
        <f>IF(OR(4848686.17434="",1214.34265="",1503.00056=""),"-",(1214.34265-1503.00056)/4848686.17434*100)</f>
        <v>-5.953322191228262E-3</v>
      </c>
    </row>
    <row r="31" spans="1:8" s="7" customFormat="1" ht="25.5" x14ac:dyDescent="0.25">
      <c r="A31" s="30" t="s">
        <v>247</v>
      </c>
      <c r="B31" s="31" t="s">
        <v>155</v>
      </c>
      <c r="C31" s="27">
        <v>42269.420469999997</v>
      </c>
      <c r="D31" s="50">
        <f>IF(OR(30649.07717="",42269.42047=""),"-",42269.42047/30649.07717*100)</f>
        <v>137.91417025558684</v>
      </c>
      <c r="E31" s="50">
        <f>IF(30649.07717="","-",30649.07717/4848686.17434*100)</f>
        <v>0.6321109691982062</v>
      </c>
      <c r="F31" s="50">
        <f>IF(42269.42047="","-",42269.42047/6419550.41866*100)</f>
        <v>0.65844829798568982</v>
      </c>
      <c r="G31" s="50">
        <f>IF(OR(5302814.4312="",29940.29523="",30649.07717=""),"-",(30649.07717-29940.29523)/5302814.4312*100)</f>
        <v>1.3366146396331786E-2</v>
      </c>
      <c r="H31" s="50">
        <f>IF(OR(4848686.17434="",42269.42047="",30649.07717=""),"-",(42269.42047-30649.07717)/4848686.17434*100)</f>
        <v>0.23965962906604796</v>
      </c>
    </row>
    <row r="32" spans="1:8" s="7" customFormat="1" ht="25.5" x14ac:dyDescent="0.25">
      <c r="A32" s="28" t="s">
        <v>248</v>
      </c>
      <c r="B32" s="29" t="s">
        <v>156</v>
      </c>
      <c r="C32" s="26">
        <v>925737.81743000005</v>
      </c>
      <c r="D32" s="60" t="s">
        <v>209</v>
      </c>
      <c r="E32" s="60">
        <f>IF(522828.27531="","-",522828.27531/4848686.17434*100)</f>
        <v>10.782885435582291</v>
      </c>
      <c r="F32" s="60">
        <f>IF(925737.81743="","-",925737.81743/6419550.41866*100)</f>
        <v>14.420602021274195</v>
      </c>
      <c r="G32" s="60">
        <f>IF(5302814.4312="","-",(522828.27531-828023.45022)/5302814.4312*100)</f>
        <v>-5.7553432968412563</v>
      </c>
      <c r="H32" s="60">
        <f>IF(4848686.17434="","-",(925737.81743-522828.27531)/4848686.17434*100)</f>
        <v>8.3096642602332125</v>
      </c>
    </row>
    <row r="33" spans="1:8" s="7" customFormat="1" x14ac:dyDescent="0.25">
      <c r="A33" s="30" t="s">
        <v>249</v>
      </c>
      <c r="B33" s="31" t="s">
        <v>200</v>
      </c>
      <c r="C33" s="27">
        <v>17460.31753</v>
      </c>
      <c r="D33" s="50">
        <f>IF(OR(13679.85516="",17460.31753=""),"-",17460.31753/13679.85516*100)</f>
        <v>127.63525143931422</v>
      </c>
      <c r="E33" s="50">
        <f>IF(13679.85516="","-",13679.85516/4848686.17434*100)</f>
        <v>0.28213529744193211</v>
      </c>
      <c r="F33" s="50">
        <f>IF(17460.31753="","-",17460.31753/6419550.41866*100)</f>
        <v>0.2719866095178145</v>
      </c>
      <c r="G33" s="50">
        <f>IF(OR(5302814.4312="",17331.08281="",13679.85516=""),"-",(13679.85516-17331.08281)/5302814.4312*100)</f>
        <v>-6.8854524278982657E-2</v>
      </c>
      <c r="H33" s="50">
        <f>IF(OR(4848686.17434="",17460.31753="",13679.85516=""),"-",(17460.31753-13679.85516)/4848686.17434*100)</f>
        <v>7.7968798847135021E-2</v>
      </c>
    </row>
    <row r="34" spans="1:8" s="7" customFormat="1" ht="25.5" x14ac:dyDescent="0.25">
      <c r="A34" s="30" t="s">
        <v>250</v>
      </c>
      <c r="B34" s="31" t="s">
        <v>157</v>
      </c>
      <c r="C34" s="27">
        <v>574529.46687999996</v>
      </c>
      <c r="D34" s="50" t="s">
        <v>103</v>
      </c>
      <c r="E34" s="50">
        <f>IF(337998.26198="","-",337998.26198/4848686.17434*100)</f>
        <v>6.9709246964412594</v>
      </c>
      <c r="F34" s="50">
        <f>IF(574529.46688="","-",574529.46688/6419550.41866*100)</f>
        <v>8.9496838471739224</v>
      </c>
      <c r="G34" s="50">
        <f>IF(OR(5302814.4312="",537734.91433="",337998.26198=""),"-",(337998.26198-537734.91433)/5302814.4312*100)</f>
        <v>-3.7666159157826806</v>
      </c>
      <c r="H34" s="50">
        <f>IF(OR(4848686.17434="",574529.46688="",337998.26198=""),"-",(574529.46688-337998.26198)/4848686.17434*100)</f>
        <v>4.8782535391083837</v>
      </c>
    </row>
    <row r="35" spans="1:8" s="7" customFormat="1" ht="25.5" x14ac:dyDescent="0.25">
      <c r="A35" s="30" t="s">
        <v>296</v>
      </c>
      <c r="B35" s="31" t="s">
        <v>201</v>
      </c>
      <c r="C35" s="27">
        <v>326026.78236999997</v>
      </c>
      <c r="D35" s="50" t="s">
        <v>20</v>
      </c>
      <c r="E35" s="50">
        <f>IF(162035.15635="","-",162035.15635/4848686.17434*100)</f>
        <v>3.3418363351192992</v>
      </c>
      <c r="F35" s="50">
        <f>IF(326026.78237="","-",326026.78237/6419550.41866*100)</f>
        <v>5.0786544400729845</v>
      </c>
      <c r="G35" s="50">
        <f>IF(OR(5302814.4312="",236027.07626="",162035.15635=""),"-",(162035.15635-236027.07626)/5302814.4312*100)</f>
        <v>-1.3953330041997341</v>
      </c>
      <c r="H35" s="50">
        <f>IF(OR(4848686.17434="",326026.78237="",162035.15635=""),"-",(326026.78237-162035.15635)/4848686.17434*100)</f>
        <v>3.3821868465702956</v>
      </c>
    </row>
    <row r="36" spans="1:8" s="7" customFormat="1" x14ac:dyDescent="0.25">
      <c r="A36" s="30" t="s">
        <v>305</v>
      </c>
      <c r="B36" s="31" t="s">
        <v>308</v>
      </c>
      <c r="C36" s="27">
        <v>7721.25065</v>
      </c>
      <c r="D36" s="50">
        <f>IF(OR(9115.00182="",7721.25065=""),"-",7721.25065/9115.00182*100)</f>
        <v>84.70926065048225</v>
      </c>
      <c r="E36" s="50">
        <f>IF(9115.00182="","-",9115.00182/4848686.17434*100)</f>
        <v>0.18798910657979895</v>
      </c>
      <c r="F36" s="50">
        <f>IF(7721.25065="","-",7721.25065/6419550.41866*100)</f>
        <v>0.12027712450947169</v>
      </c>
      <c r="G36" s="50">
        <f>IF(OR(5302814.4312="",36930.37682="",9115.00182=""),"-",(9115.00182-36930.37682)/5302814.4312*100)</f>
        <v>-0.52453985257985958</v>
      </c>
      <c r="H36" s="50">
        <f>IF(OR(4848686.17434="",7721.25065="",9115.00182=""),"-",(7721.25065-9115.00182)/4848686.17434*100)</f>
        <v>-2.8744924292604192E-2</v>
      </c>
    </row>
    <row r="37" spans="1:8" s="7" customFormat="1" ht="25.5" x14ac:dyDescent="0.25">
      <c r="A37" s="28" t="s">
        <v>251</v>
      </c>
      <c r="B37" s="29" t="s">
        <v>158</v>
      </c>
      <c r="C37" s="26">
        <v>12938.08304</v>
      </c>
      <c r="D37" s="60">
        <f>IF(10607.9755="","-",12938.08304/10607.9755*100)</f>
        <v>121.9656195472925</v>
      </c>
      <c r="E37" s="60">
        <f>IF(10607.9755="","-",10607.9755/4848686.17434*100)</f>
        <v>0.21878041016840918</v>
      </c>
      <c r="F37" s="60">
        <f>IF(12938.08304="","-",12938.08304/6419550.41866*100)</f>
        <v>0.20154188683357455</v>
      </c>
      <c r="G37" s="60">
        <f>IF(5302814.4312="","-",(10607.9755-10414.19056)/5302814.4312*100)</f>
        <v>3.6543790568992025E-3</v>
      </c>
      <c r="H37" s="60">
        <f>IF(4848686.17434="","-",(12938.08304-10607.9755)/4848686.17434*100)</f>
        <v>4.805647254159879E-2</v>
      </c>
    </row>
    <row r="38" spans="1:8" s="7" customFormat="1" x14ac:dyDescent="0.25">
      <c r="A38" s="30" t="s">
        <v>252</v>
      </c>
      <c r="B38" s="31" t="s">
        <v>204</v>
      </c>
      <c r="C38" s="27">
        <v>1886.5325</v>
      </c>
      <c r="D38" s="50">
        <f>IF(OR(1538.71262="",1886.5325=""),"-",1886.5325/1538.71262*100)</f>
        <v>122.60460306096664</v>
      </c>
      <c r="E38" s="50">
        <f>IF(1538.71262="","-",1538.71262/4848686.17434*100)</f>
        <v>3.1734630055933626E-2</v>
      </c>
      <c r="F38" s="50">
        <f>IF(1886.5325="","-",1886.5325/6419550.41866*100)</f>
        <v>2.9387299374054762E-2</v>
      </c>
      <c r="G38" s="50">
        <f>IF(OR(5302814.4312="",1673.43429="",1538.71262=""),"-",(1538.71262-1673.43429)/5302814.4312*100)</f>
        <v>-2.5405691967522433E-3</v>
      </c>
      <c r="H38" s="50">
        <f>IF(OR(4848686.17434="",1886.5325="",1538.71262=""),"-",(1886.5325-1538.71262)/4848686.17434*100)</f>
        <v>7.1734871570100127E-3</v>
      </c>
    </row>
    <row r="39" spans="1:8" s="7" customFormat="1" ht="25.5" x14ac:dyDescent="0.25">
      <c r="A39" s="30" t="s">
        <v>253</v>
      </c>
      <c r="B39" s="31" t="s">
        <v>159</v>
      </c>
      <c r="C39" s="27">
        <v>9063.0309699999998</v>
      </c>
      <c r="D39" s="50">
        <f>IF(OR(7492.63144="",9063.03097=""),"-",9063.03097/7492.63144*100)</f>
        <v>120.95925233445087</v>
      </c>
      <c r="E39" s="50">
        <f>IF(7492.63144="","-",7492.63144/4848686.17434*100)</f>
        <v>0.15452910686717916</v>
      </c>
      <c r="F39" s="50">
        <f>IF(9063.03097="","-",9063.03097/6419550.41866*100)</f>
        <v>0.14117859318708792</v>
      </c>
      <c r="G39" s="50">
        <f>IF(OR(5302814.4312="",6408.50662="",7492.63144=""),"-",(7492.63144-6408.50662)/5302814.4312*100)</f>
        <v>2.0444328838312147E-2</v>
      </c>
      <c r="H39" s="50">
        <f>IF(OR(4848686.17434="",9063.03097="",7492.63144=""),"-",(9063.03097-7492.63144)/4848686.17434*100)</f>
        <v>3.2388145438465327E-2</v>
      </c>
    </row>
    <row r="40" spans="1:8" s="7" customFormat="1" ht="63.75" x14ac:dyDescent="0.25">
      <c r="A40" s="30" t="s">
        <v>254</v>
      </c>
      <c r="B40" s="31" t="s">
        <v>202</v>
      </c>
      <c r="C40" s="27">
        <v>1988.5195699999999</v>
      </c>
      <c r="D40" s="50">
        <f>IF(OR(1576.63144="",1988.51957=""),"-",1988.51957/1576.63144*100)</f>
        <v>126.12456656325462</v>
      </c>
      <c r="E40" s="50">
        <f>IF(1576.63144="","-",1576.63144/4848686.17434*100)</f>
        <v>3.2516673245296397E-2</v>
      </c>
      <c r="F40" s="50">
        <f>IF(1988.51957="","-",1988.51957/6419550.41866*100)</f>
        <v>3.0975994272431903E-2</v>
      </c>
      <c r="G40" s="50">
        <f>IF(OR(5302814.4312="",2332.24965="",1576.63144=""),"-",(1576.63144-2332.24965)/5302814.4312*100)</f>
        <v>-1.4249380584660729E-2</v>
      </c>
      <c r="H40" s="50">
        <f>IF(OR(4848686.17434="",1988.51957="",1576.63144=""),"-",(1988.51957-1576.63144)/4848686.17434*100)</f>
        <v>8.4948399461234614E-3</v>
      </c>
    </row>
    <row r="41" spans="1:8" s="7" customFormat="1" ht="25.5" x14ac:dyDescent="0.25">
      <c r="A41" s="28" t="s">
        <v>255</v>
      </c>
      <c r="B41" s="29" t="s">
        <v>160</v>
      </c>
      <c r="C41" s="26">
        <v>935446.66558000003</v>
      </c>
      <c r="D41" s="60">
        <f>IF(745490.96155="","-",935446.66558/745490.96155*100)</f>
        <v>125.48061798563599</v>
      </c>
      <c r="E41" s="60">
        <f>IF(745490.96155="","-",745490.96155/4848686.17434*100)</f>
        <v>15.375112654129975</v>
      </c>
      <c r="F41" s="60">
        <f>IF(935446.66558="","-",935446.66558/6419550.41866*100)</f>
        <v>14.571840776589193</v>
      </c>
      <c r="G41" s="60">
        <f>IF(5302814.4312="","-",(745490.96155-778843.39546)/5302814.4312*100)</f>
        <v>-0.62895721399876581</v>
      </c>
      <c r="H41" s="60">
        <f>IF(4848686.17434="","-",(935446.66558-745490.96155)/4848686.17434*100)</f>
        <v>3.9176737202600385</v>
      </c>
    </row>
    <row r="42" spans="1:8" s="7" customFormat="1" x14ac:dyDescent="0.25">
      <c r="A42" s="30" t="s">
        <v>256</v>
      </c>
      <c r="B42" s="31" t="s">
        <v>25</v>
      </c>
      <c r="C42" s="27">
        <v>13719.98199</v>
      </c>
      <c r="D42" s="50">
        <f>IF(OR(11364.53551="",13719.98199=""),"-",13719.98199/11364.53551*100)</f>
        <v>120.72628905886538</v>
      </c>
      <c r="E42" s="50">
        <f>IF(11364.53551="","-",11364.53551/4848686.17434*100)</f>
        <v>0.234383812467445</v>
      </c>
      <c r="F42" s="50">
        <f>IF(13719.98199="","-",13719.98199/6419550.41866*100)</f>
        <v>0.21372185114582951</v>
      </c>
      <c r="G42" s="50">
        <f>IF(OR(5302814.4312="",21368.42751="",11364.53551=""),"-",(11364.53551-21368.42751)/5302814.4312*100)</f>
        <v>-0.18865250009769191</v>
      </c>
      <c r="H42" s="50">
        <f>IF(OR(4848686.17434="",13719.98199="",11364.53551=""),"-",(13719.98199-11364.53551)/4848686.17434*100)</f>
        <v>4.8579066479191593E-2</v>
      </c>
    </row>
    <row r="43" spans="1:8" s="7" customFormat="1" x14ac:dyDescent="0.25">
      <c r="A43" s="30" t="s">
        <v>257</v>
      </c>
      <c r="B43" s="31" t="s">
        <v>26</v>
      </c>
      <c r="C43" s="27">
        <v>14801.757869999999</v>
      </c>
      <c r="D43" s="50">
        <f>IF(OR(14391.37153="",14801.75787=""),"-",14801.75787/14391.37153*100)</f>
        <v>102.85161382391188</v>
      </c>
      <c r="E43" s="50">
        <f>IF(14391.37153="","-",14391.37153/4848686.17434*100)</f>
        <v>0.29680971324069955</v>
      </c>
      <c r="F43" s="50">
        <f>IF(14801.75787="","-",14801.75787/6419550.41866*100)</f>
        <v>0.23057312279961312</v>
      </c>
      <c r="G43" s="50">
        <f>IF(OR(5302814.4312="",16112.7216="",14391.37153=""),"-",(14391.37153-16112.7216)/5302814.4312*100)</f>
        <v>-3.2461065578160676E-2</v>
      </c>
      <c r="H43" s="50">
        <f>IF(OR(4848686.17434="",14801.75787="",14391.37153=""),"-",(14801.75787-14391.37153)/4848686.17434*100)</f>
        <v>8.4638668134850072E-3</v>
      </c>
    </row>
    <row r="44" spans="1:8" s="7" customFormat="1" x14ac:dyDescent="0.25">
      <c r="A44" s="30" t="s">
        <v>258</v>
      </c>
      <c r="B44" s="31" t="s">
        <v>161</v>
      </c>
      <c r="C44" s="27">
        <v>47623.662129999997</v>
      </c>
      <c r="D44" s="50">
        <f>IF(OR(39958.08071="",47623.66213=""),"-",47623.66213/39958.08071*100)</f>
        <v>119.18405810237425</v>
      </c>
      <c r="E44" s="50">
        <f>IF(39958.08071="","-",39958.08071/4848686.17434*100)</f>
        <v>0.82410119511269597</v>
      </c>
      <c r="F44" s="50">
        <f>IF(47623.66213="","-",47623.66213/6419550.41866*100)</f>
        <v>0.74185354151234839</v>
      </c>
      <c r="G44" s="50">
        <f>IF(OR(5302814.4312="",36276.32151="",39958.08071=""),"-",(39958.08071-36276.32151)/5302814.4312*100)</f>
        <v>6.9430285516644721E-2</v>
      </c>
      <c r="H44" s="50">
        <f>IF(OR(4848686.17434="",47623.66213="",39958.08071=""),"-",(47623.66213-39958.08071)/4848686.17434*100)</f>
        <v>0.15809605209278013</v>
      </c>
    </row>
    <row r="45" spans="1:8" s="7" customFormat="1" x14ac:dyDescent="0.25">
      <c r="A45" s="30" t="s">
        <v>259</v>
      </c>
      <c r="B45" s="31" t="s">
        <v>162</v>
      </c>
      <c r="C45" s="27">
        <v>294907.54493999999</v>
      </c>
      <c r="D45" s="50">
        <f>IF(OR(227846.23952="",294907.54494=""),"-",294907.54494/227846.23952*100)</f>
        <v>129.43270231770205</v>
      </c>
      <c r="E45" s="50">
        <f>IF(227846.23952="","-",227846.23952/4848686.17434*100)</f>
        <v>4.6991335658265045</v>
      </c>
      <c r="F45" s="50">
        <f>IF(294907.54494="","-",294907.54494/6419550.41866*100)</f>
        <v>4.5938971689166701</v>
      </c>
      <c r="G45" s="50">
        <f>IF(OR(5302814.4312="",249313.10468="",227846.23952=""),"-",(227846.23952-249313.10468)/5302814.4312*100)</f>
        <v>-0.40482022213894708</v>
      </c>
      <c r="H45" s="50">
        <f>IF(OR(4848686.17434="",294907.54494="",227846.23952=""),"-",(294907.54494-227846.23952)/4848686.17434*100)</f>
        <v>1.3830819939409325</v>
      </c>
    </row>
    <row r="46" spans="1:8" s="7" customFormat="1" ht="39.75" customHeight="1" x14ac:dyDescent="0.25">
      <c r="A46" s="30" t="s">
        <v>260</v>
      </c>
      <c r="B46" s="31" t="s">
        <v>163</v>
      </c>
      <c r="C46" s="27">
        <v>126996.13202999999</v>
      </c>
      <c r="D46" s="50">
        <f>IF(OR(102910.77095="",126996.13203=""),"-",126996.13203/102910.77095*100)</f>
        <v>123.40412073261217</v>
      </c>
      <c r="E46" s="50">
        <f>IF(102910.77095="","-",102910.77095/4848686.17434*100)</f>
        <v>2.122446519525635</v>
      </c>
      <c r="F46" s="50">
        <f>IF(126996.13203="","-",126996.13203/6419550.41866*100)</f>
        <v>1.9782714325422939</v>
      </c>
      <c r="G46" s="50">
        <f>IF(OR(5302814.4312="",105122.8873="",102910.77095=""),"-",(102910.77095-105122.8873)/5302814.4312*100)</f>
        <v>-4.1715892168216147E-2</v>
      </c>
      <c r="H46" s="50">
        <f>IF(OR(4848686.17434="",126996.13203="",102910.77095=""),"-",(126996.13203-102910.77095)/4848686.17434*100)</f>
        <v>0.49673994591490483</v>
      </c>
    </row>
    <row r="47" spans="1:8" s="7" customFormat="1" x14ac:dyDescent="0.25">
      <c r="A47" s="30" t="s">
        <v>261</v>
      </c>
      <c r="B47" s="31" t="s">
        <v>164</v>
      </c>
      <c r="C47" s="27">
        <v>80274.051479999995</v>
      </c>
      <c r="D47" s="50">
        <f>IF(OR(69213.24585="",80274.05148=""),"-",80274.05148/69213.24585*100)</f>
        <v>115.98076422245987</v>
      </c>
      <c r="E47" s="50">
        <f>IF(69213.24585="","-",69213.24585/4848686.17434*100)</f>
        <v>1.4274639224185564</v>
      </c>
      <c r="F47" s="50">
        <f>IF(80274.05148="","-",80274.05148/6419550.41866*100)</f>
        <v>1.2504622013196398</v>
      </c>
      <c r="G47" s="50">
        <f>IF(OR(5302814.4312="",79752.86115="",69213.24585=""),"-",(69213.24585-79752.86115)/5302814.4312*100)</f>
        <v>-0.1987551221477484</v>
      </c>
      <c r="H47" s="50">
        <f>IF(OR(4848686.17434="",80274.05148="",69213.24585=""),"-",(80274.05148-69213.24585)/4848686.17434*100)</f>
        <v>0.22811964380238686</v>
      </c>
    </row>
    <row r="48" spans="1:8" s="7" customFormat="1" x14ac:dyDescent="0.25">
      <c r="A48" s="30" t="s">
        <v>262</v>
      </c>
      <c r="B48" s="31" t="s">
        <v>27</v>
      </c>
      <c r="C48" s="27">
        <v>66370.991899999994</v>
      </c>
      <c r="D48" s="50" t="s">
        <v>219</v>
      </c>
      <c r="E48" s="50">
        <f>IF(43467.86913="","-",43467.86913/4848686.17434*100)</f>
        <v>0.89648757554239544</v>
      </c>
      <c r="F48" s="50">
        <f>IF(66370.9919="","-",66370.9919/6419550.41866*100)</f>
        <v>1.0338884746052686</v>
      </c>
      <c r="G48" s="50">
        <f>IF(OR(5302814.4312="",49032.21466="",43467.86913=""),"-",(43467.86913-49032.21466)/5302814.4312*100)</f>
        <v>-0.10493193005701343</v>
      </c>
      <c r="H48" s="50">
        <f>IF(OR(4848686.17434="",66370.9919="",43467.86913=""),"-",(66370.9919-43467.86913)/4848686.17434*100)</f>
        <v>0.4723572932232008</v>
      </c>
    </row>
    <row r="49" spans="1:8" s="7" customFormat="1" x14ac:dyDescent="0.25">
      <c r="A49" s="30" t="s">
        <v>263</v>
      </c>
      <c r="B49" s="31" t="s">
        <v>28</v>
      </c>
      <c r="C49" s="27">
        <v>145074.29414000001</v>
      </c>
      <c r="D49" s="50">
        <f>IF(OR(111688.93483="",145074.29414=""),"-",145074.29414/111688.93483*100)</f>
        <v>129.89137586531319</v>
      </c>
      <c r="E49" s="50">
        <f>IF(111688.93483="","-",111688.93483/4848686.17434*100)</f>
        <v>2.3034886320561472</v>
      </c>
      <c r="F49" s="50">
        <f>IF(145074.29414="","-",145074.29414/6419550.41866*100)</f>
        <v>2.2598824633934789</v>
      </c>
      <c r="G49" s="50">
        <f>IF(OR(5302814.4312="",105699.60587="",111688.93483=""),"-",(111688.93483-105699.60587)/5302814.4312*100)</f>
        <v>0.11294622954861053</v>
      </c>
      <c r="H49" s="50">
        <f>IF(OR(4848686.17434="",145074.29414="",111688.93483=""),"-",(145074.29414-111688.93483)/4848686.17434*100)</f>
        <v>0.68854444502266443</v>
      </c>
    </row>
    <row r="50" spans="1:8" s="7" customFormat="1" x14ac:dyDescent="0.25">
      <c r="A50" s="30" t="s">
        <v>264</v>
      </c>
      <c r="B50" s="31" t="s">
        <v>165</v>
      </c>
      <c r="C50" s="27">
        <v>145678.24909999999</v>
      </c>
      <c r="D50" s="50">
        <f>IF(OR(124649.91352="",145678.2491=""),"-",145678.2491/124649.91352*100)</f>
        <v>116.86991589980205</v>
      </c>
      <c r="E50" s="50">
        <f>IF(124649.91352="","-",124649.91352/4848686.17434*100)</f>
        <v>2.5707977179398966</v>
      </c>
      <c r="F50" s="50">
        <f>IF(145678.2491="","-",145678.2491/6419550.41866*100)</f>
        <v>2.2692905203540481</v>
      </c>
      <c r="G50" s="50">
        <f>IF(OR(5302814.4312="",116165.25118="",124649.91352=""),"-",(124649.91352-116165.25118)/5302814.4312*100)</f>
        <v>0.1600030031237574</v>
      </c>
      <c r="H50" s="50">
        <f>IF(OR(4848686.17434="",145678.2491="",124649.91352=""),"-",(145678.2491-124649.91352)/4848686.17434*100)</f>
        <v>0.4336914129704908</v>
      </c>
    </row>
    <row r="51" spans="1:8" s="7" customFormat="1" ht="25.5" x14ac:dyDescent="0.25">
      <c r="A51" s="28" t="s">
        <v>265</v>
      </c>
      <c r="B51" s="29" t="s">
        <v>378</v>
      </c>
      <c r="C51" s="26">
        <v>1198117.7777799999</v>
      </c>
      <c r="D51" s="60">
        <f>IF(967270.54766="","-",1198117.77778/967270.54766*100)</f>
        <v>123.86583884710028</v>
      </c>
      <c r="E51" s="60">
        <f>IF(967270.54766="","-",967270.54766/4848686.17434*100)</f>
        <v>19.949126688770782</v>
      </c>
      <c r="F51" s="60">
        <f>IF(1198117.77778="","-",1198117.77778/6419550.41866*100)</f>
        <v>18.663577659541023</v>
      </c>
      <c r="G51" s="60">
        <f>IF(5302814.4312="","-",(967270.54766-1041713.17262)/5302814.4312*100)</f>
        <v>-1.4038323596994875</v>
      </c>
      <c r="H51" s="60">
        <f>IF(4848686.17434="","-",(1198117.77778-967270.54766)/4848686.17434*100)</f>
        <v>4.7610264269459055</v>
      </c>
    </row>
    <row r="52" spans="1:8" s="7" customFormat="1" x14ac:dyDescent="0.25">
      <c r="A52" s="30" t="s">
        <v>266</v>
      </c>
      <c r="B52" s="31" t="s">
        <v>166</v>
      </c>
      <c r="C52" s="27">
        <v>50244.237359999999</v>
      </c>
      <c r="D52" s="50">
        <f>IF(OR(43574.64585="",50244.23736=""),"-",50244.23736/43574.64585*100)</f>
        <v>115.30612901125849</v>
      </c>
      <c r="E52" s="50">
        <f>IF(43574.64585="","-",43574.64585/4848686.17434*100)</f>
        <v>0.89868975395033379</v>
      </c>
      <c r="F52" s="50">
        <f>IF(50244.23736="","-",50244.23736/6419550.41866*100)</f>
        <v>0.78267532900672898</v>
      </c>
      <c r="G52" s="50">
        <f>IF(OR(5302814.4312="",50482.6897="",43574.64585=""),"-",(43574.64585-50482.6897)/5302814.4312*100)</f>
        <v>-0.13027127272935224</v>
      </c>
      <c r="H52" s="50">
        <f>IF(OR(4848686.17434="",50244.23736="",43574.64585=""),"-",(50244.23736-43574.64585)/4848686.17434*100)</f>
        <v>0.13755461315059966</v>
      </c>
    </row>
    <row r="53" spans="1:8" s="7" customFormat="1" x14ac:dyDescent="0.25">
      <c r="A53" s="30" t="s">
        <v>267</v>
      </c>
      <c r="B53" s="31" t="s">
        <v>29</v>
      </c>
      <c r="C53" s="27">
        <v>68161.655469999998</v>
      </c>
      <c r="D53" s="50">
        <f>IF(OR(55414.89438="",68161.65547=""),"-",68161.65547/55414.89438*100)</f>
        <v>123.00240979003017</v>
      </c>
      <c r="E53" s="50">
        <f>IF(55414.89438="","-",55414.89438/4848686.17434*100)</f>
        <v>1.1428847400614255</v>
      </c>
      <c r="F53" s="50">
        <f>IF(68161.65547="","-",68161.65547/6419550.41866*100)</f>
        <v>1.0617823838858156</v>
      </c>
      <c r="G53" s="50">
        <f>IF(OR(5302814.4312="",62872.72823="",55414.89438=""),"-",(55414.89438-62872.72823)/5302814.4312*100)</f>
        <v>-0.14063916334919402</v>
      </c>
      <c r="H53" s="50">
        <f>IF(OR(4848686.17434="",68161.65547="",55414.89438=""),"-",(68161.65547-55414.89438)/4848686.17434*100)</f>
        <v>0.26289103133665026</v>
      </c>
    </row>
    <row r="54" spans="1:8" s="7" customFormat="1" x14ac:dyDescent="0.25">
      <c r="A54" s="30" t="s">
        <v>268</v>
      </c>
      <c r="B54" s="31" t="s">
        <v>167</v>
      </c>
      <c r="C54" s="27">
        <v>105359.97526000001</v>
      </c>
      <c r="D54" s="50">
        <f>IF(OR(82588.77788="",105359.97526=""),"-",105359.97526/82588.77788*100)</f>
        <v>127.57178149928087</v>
      </c>
      <c r="E54" s="50">
        <f>IF(82588.77788="","-",82588.77788/4848686.17434*100)</f>
        <v>1.7033228159222309</v>
      </c>
      <c r="F54" s="50">
        <f>IF(105359.97526="","-",105359.97526/6419550.41866*100)</f>
        <v>1.6412360428503741</v>
      </c>
      <c r="G54" s="50">
        <f>IF(OR(5302814.4312="",84469.87456="",82588.77788=""),"-",(82588.77788-84469.87456)/5302814.4312*100)</f>
        <v>-3.5473552853976062E-2</v>
      </c>
      <c r="H54" s="50">
        <f>IF(OR(4848686.17434="",105359.97526="",82588.77788=""),"-",(105359.97526-82588.77788)/4848686.17434*100)</f>
        <v>0.46963644503347568</v>
      </c>
    </row>
    <row r="55" spans="1:8" s="7" customFormat="1" ht="25.5" x14ac:dyDescent="0.25">
      <c r="A55" s="30" t="s">
        <v>269</v>
      </c>
      <c r="B55" s="31" t="s">
        <v>168</v>
      </c>
      <c r="C55" s="27">
        <v>102314.28498</v>
      </c>
      <c r="D55" s="50">
        <f>IF(OR(84670.73672="",102314.28498=""),"-",102314.28498/84670.73672*100)</f>
        <v>120.83783482166446</v>
      </c>
      <c r="E55" s="50">
        <f>IF(84670.73672="","-",84670.73672/4848686.17434*100)</f>
        <v>1.7462614340373415</v>
      </c>
      <c r="F55" s="50">
        <f>IF(102314.28498="","-",102314.28498/6419550.41866*100)</f>
        <v>1.5937920618646191</v>
      </c>
      <c r="G55" s="50">
        <f>IF(OR(5302814.4312="",95849.16131="",84670.73672=""),"-",(84670.73672-95849.16131)/5302814.4312*100)</f>
        <v>-0.21080173057216284</v>
      </c>
      <c r="H55" s="50">
        <f>IF(OR(4848686.17434="",102314.28498="",84670.73672=""),"-",(102314.28498-84670.73672)/4848686.17434*100)</f>
        <v>0.36388307317913027</v>
      </c>
    </row>
    <row r="56" spans="1:8" s="7" customFormat="1" ht="27" customHeight="1" x14ac:dyDescent="0.25">
      <c r="A56" s="30" t="s">
        <v>270</v>
      </c>
      <c r="B56" s="31" t="s">
        <v>169</v>
      </c>
      <c r="C56" s="27">
        <v>291389.47826</v>
      </c>
      <c r="D56" s="50">
        <f>IF(OR(236507.90338="",291389.47826=""),"-",291389.47826/236507.90338*100)</f>
        <v>123.20496444121834</v>
      </c>
      <c r="E56" s="50">
        <f>IF(236507.90338="","-",236507.90338/4848686.17434*100)</f>
        <v>4.8777729652134738</v>
      </c>
      <c r="F56" s="50">
        <f>IF(291389.47826="","-",291389.47826/6419550.41866*100)</f>
        <v>4.5390947847843819</v>
      </c>
      <c r="G56" s="50">
        <f>IF(OR(5302814.4312="",250369.91469="",236507.90338=""),"-",(236507.90338-250369.91469)/5302814.4312*100)</f>
        <v>-0.26140856878642649</v>
      </c>
      <c r="H56" s="50">
        <f>IF(OR(4848686.17434="",291389.47826="",236507.90338=""),"-",(291389.47826-236507.90338)/4848686.17434*100)</f>
        <v>1.1318854821011475</v>
      </c>
    </row>
    <row r="57" spans="1:8" s="7" customFormat="1" ht="16.5" customHeight="1" x14ac:dyDescent="0.25">
      <c r="A57" s="30" t="s">
        <v>271</v>
      </c>
      <c r="B57" s="31" t="s">
        <v>30</v>
      </c>
      <c r="C57" s="27">
        <v>150985.98345999999</v>
      </c>
      <c r="D57" s="50">
        <f>IF(OR(128150.39761="",150985.98346=""),"-",150985.98346/128150.39761*100)</f>
        <v>117.81936402530371</v>
      </c>
      <c r="E57" s="50">
        <f>IF(128150.39761="","-",128150.39761/4848686.17434*100)</f>
        <v>2.6429922045314416</v>
      </c>
      <c r="F57" s="50">
        <f>IF(150985.98346="","-",150985.98346/6419550.41866*100)</f>
        <v>2.3519713003752125</v>
      </c>
      <c r="G57" s="50">
        <f>IF(OR(5302814.4312="",120154.64881="",128150.39761=""),"-",(128150.39761-120154.64881)/5302814.4312*100)</f>
        <v>0.15078311533882213</v>
      </c>
      <c r="H57" s="50">
        <f>IF(OR(4848686.17434="",150985.98346="",128150.39761=""),"-",(150985.98346-128150.39761)/4848686.17434*100)</f>
        <v>0.47096440208585683</v>
      </c>
    </row>
    <row r="58" spans="1:8" s="7" customFormat="1" ht="16.5" customHeight="1" x14ac:dyDescent="0.25">
      <c r="A58" s="30" t="s">
        <v>272</v>
      </c>
      <c r="B58" s="31" t="s">
        <v>170</v>
      </c>
      <c r="C58" s="27">
        <v>163704.47198999999</v>
      </c>
      <c r="D58" s="50">
        <f>IF(OR(121855.11786="",163704.47199=""),"-",163704.47199/121855.11786*100)</f>
        <v>134.34353424374095</v>
      </c>
      <c r="E58" s="50">
        <f>IF(121855.11786="","-",121855.11786/4848686.17434*100)</f>
        <v>2.5131574508755832</v>
      </c>
      <c r="F58" s="50">
        <f>IF(163704.47199="","-",163704.47199/6419550.41866*100)</f>
        <v>2.5500924724284855</v>
      </c>
      <c r="G58" s="50">
        <f>IF(OR(5302814.4312="",133691.26137="",121855.11786=""),"-",(121855.11786-133691.26137)/5302814.4312*100)</f>
        <v>-0.22320493510691328</v>
      </c>
      <c r="H58" s="50">
        <f>IF(OR(4848686.17434="",163704.47199="",121855.11786=""),"-",(163704.47199-121855.11786)/4848686.17434*100)</f>
        <v>0.86310708974058314</v>
      </c>
    </row>
    <row r="59" spans="1:8" s="7" customFormat="1" ht="15.75" customHeight="1" x14ac:dyDescent="0.25">
      <c r="A59" s="30" t="s">
        <v>273</v>
      </c>
      <c r="B59" s="31" t="s">
        <v>31</v>
      </c>
      <c r="C59" s="27">
        <v>69255.732279999997</v>
      </c>
      <c r="D59" s="50">
        <f>IF(OR(59490.04563="",69255.73228=""),"-",69255.73228/59490.04563*100)</f>
        <v>116.41566508578252</v>
      </c>
      <c r="E59" s="50">
        <f>IF(59490.04563="","-",59490.04563/4848686.17434*100)</f>
        <v>1.2269312446912022</v>
      </c>
      <c r="F59" s="50">
        <f>IF(69255.73228="","-",69255.73228/6419550.41866*100)</f>
        <v>1.0788252722292078</v>
      </c>
      <c r="G59" s="50">
        <f>IF(OR(5302814.4312="",85447.37585="",59490.04563=""),"-",(59490.04563-85447.37585)/5302814.4312*100)</f>
        <v>-0.48950101039319194</v>
      </c>
      <c r="H59" s="50">
        <f>IF(OR(4848686.17434="",69255.73228="",59490.04563=""),"-",(69255.73228-59490.04563)/4848686.17434*100)</f>
        <v>0.2014089239613305</v>
      </c>
    </row>
    <row r="60" spans="1:8" s="7" customFormat="1" x14ac:dyDescent="0.25">
      <c r="A60" s="30" t="s">
        <v>274</v>
      </c>
      <c r="B60" s="31" t="s">
        <v>32</v>
      </c>
      <c r="C60" s="27">
        <v>196701.95872</v>
      </c>
      <c r="D60" s="50">
        <f>IF(OR(155018.02835="",196701.95872=""),"-",196701.95872/155018.02835*100)</f>
        <v>126.88973070660268</v>
      </c>
      <c r="E60" s="50">
        <f>IF(155018.02835="","-",155018.02835/4848686.17434*100)</f>
        <v>3.197114079487748</v>
      </c>
      <c r="F60" s="50">
        <f>IF(196701.95872="","-",196701.95872/6419550.41866*100)</f>
        <v>3.0641080121161979</v>
      </c>
      <c r="G60" s="50">
        <f>IF(OR(5302814.4312="",158375.5181="",155018.02835=""),"-",(155018.02835-158375.5181)/5302814.4312*100)</f>
        <v>-6.3315241247093687E-2</v>
      </c>
      <c r="H60" s="50">
        <f>IF(OR(4848686.17434="",196701.95872="",155018.02835=""),"-",(196701.95872-155018.02835)/4848686.17434*100)</f>
        <v>0.85969536635713428</v>
      </c>
    </row>
    <row r="61" spans="1:8" s="7" customFormat="1" ht="25.5" x14ac:dyDescent="0.25">
      <c r="A61" s="28" t="s">
        <v>275</v>
      </c>
      <c r="B61" s="29" t="s">
        <v>171</v>
      </c>
      <c r="C61" s="26">
        <v>1624547.47682</v>
      </c>
      <c r="D61" s="60">
        <f>IF(1262205.55038="","-",1624547.47682/1262205.55038*100)</f>
        <v>128.70704587940637</v>
      </c>
      <c r="E61" s="60">
        <f>IF(1262205.55038="","-",1262205.55038/4848686.17434*100)</f>
        <v>26.031908541736264</v>
      </c>
      <c r="F61" s="60">
        <f>IF(1624547.47682="","-",1624547.47682/6419550.41866*100)</f>
        <v>25.306249984389151</v>
      </c>
      <c r="G61" s="60">
        <f>IF(5302814.4312="","-",(1262205.55038-1288358.44726)/5302814.4312*100)</f>
        <v>-0.49318898896640934</v>
      </c>
      <c r="H61" s="60">
        <f>IF(4848686.17434="","-",(1624547.47682-1262205.55038)/4848686.17434*100)</f>
        <v>7.4729919283613322</v>
      </c>
    </row>
    <row r="62" spans="1:8" s="7" customFormat="1" ht="25.5" x14ac:dyDescent="0.25">
      <c r="A62" s="30" t="s">
        <v>276</v>
      </c>
      <c r="B62" s="31" t="s">
        <v>172</v>
      </c>
      <c r="C62" s="27">
        <v>24816.99408</v>
      </c>
      <c r="D62" s="50">
        <f>IF(OR(18737.13946="",24816.99408=""),"-",24816.99408/18737.13946*100)</f>
        <v>132.44814734383155</v>
      </c>
      <c r="E62" s="50">
        <f>IF(18737.13946="","-",18737.13946/4848686.17434*100)</f>
        <v>0.3864374551432066</v>
      </c>
      <c r="F62" s="50">
        <f>IF(24816.99408="","-",24816.99408/6419550.41866*100)</f>
        <v>0.38658461202926786</v>
      </c>
      <c r="G62" s="50">
        <f>IF(OR(5302814.4312="",19597.05334="",18737.13946=""),"-",(18737.13946-19597.05334)/5302814.4312*100)</f>
        <v>-1.6216178996205338E-2</v>
      </c>
      <c r="H62" s="50">
        <f>IF(OR(4848686.17434="",24816.99408="",18737.13946=""),"-",(24816.99408-18737.13946)/4848686.17434*100)</f>
        <v>0.12539179483662061</v>
      </c>
    </row>
    <row r="63" spans="1:8" s="7" customFormat="1" ht="27" customHeight="1" x14ac:dyDescent="0.25">
      <c r="A63" s="30" t="s">
        <v>277</v>
      </c>
      <c r="B63" s="31" t="s">
        <v>173</v>
      </c>
      <c r="C63" s="27">
        <v>221245.44081999999</v>
      </c>
      <c r="D63" s="50">
        <f>IF(OR(150243.85397="",221245.44082=""),"-",221245.44082/150243.85397*100)</f>
        <v>147.25756493452121</v>
      </c>
      <c r="E63" s="50">
        <f>IF(150243.85397="","-",150243.85397/4848686.17434*100)</f>
        <v>3.0986508214351711</v>
      </c>
      <c r="F63" s="50">
        <f>IF(221245.44082="","-",221245.44082/6419550.41866*100)</f>
        <v>3.4464320145674963</v>
      </c>
      <c r="G63" s="50">
        <f>IF(OR(5302814.4312="",176347.88623="",150243.85397=""),"-",(150243.85397-176347.88623)/5302814.4312*100)</f>
        <v>-0.49226750433529304</v>
      </c>
      <c r="H63" s="50">
        <f>IF(OR(4848686.17434="",221245.44082="",150243.85397=""),"-",(221245.44082-150243.85397)/4848686.17434*100)</f>
        <v>1.4643469240338012</v>
      </c>
    </row>
    <row r="64" spans="1:8" s="7" customFormat="1" ht="25.5" x14ac:dyDescent="0.25">
      <c r="A64" s="30" t="s">
        <v>278</v>
      </c>
      <c r="B64" s="31" t="s">
        <v>174</v>
      </c>
      <c r="C64" s="27">
        <v>15953.523810000001</v>
      </c>
      <c r="D64" s="50">
        <f>IF(OR(13480.70041="",15953.52381=""),"-",15953.52381/13480.70041*100)</f>
        <v>118.3434341302152</v>
      </c>
      <c r="E64" s="50">
        <f>IF(13480.70041="","-",13480.70041/4848686.17434*100)</f>
        <v>0.27802790127647276</v>
      </c>
      <c r="F64" s="50">
        <f>IF(15953.52381="","-",15953.52381/6419550.41866*100)</f>
        <v>0.24851465865315375</v>
      </c>
      <c r="G64" s="50">
        <f>IF(OR(5302814.4312="",10062.61638="",13480.70041=""),"-",(13480.70041-10062.61638)/5302814.4312*100)</f>
        <v>6.4457922756812461E-2</v>
      </c>
      <c r="H64" s="50">
        <f>IF(OR(4848686.17434="",15953.52381="",13480.70041=""),"-",(15953.52381-13480.70041)/4848686.17434*100)</f>
        <v>5.0999864934269543E-2</v>
      </c>
    </row>
    <row r="65" spans="1:8" s="7" customFormat="1" ht="27.75" customHeight="1" x14ac:dyDescent="0.25">
      <c r="A65" s="30" t="s">
        <v>279</v>
      </c>
      <c r="B65" s="31" t="s">
        <v>175</v>
      </c>
      <c r="C65" s="27">
        <v>225649.36081000001</v>
      </c>
      <c r="D65" s="50">
        <f>IF(OR(183423.60887="",225649.36081=""),"-",225649.36081/183423.60887*100)</f>
        <v>123.02089256673996</v>
      </c>
      <c r="E65" s="50">
        <f>IF(183423.60887="","-",183423.60887/4848686.17434*100)</f>
        <v>3.7829548515782725</v>
      </c>
      <c r="F65" s="50">
        <f>IF(225649.36081="","-",225649.36081/6419550.41866*100)</f>
        <v>3.5150337032028709</v>
      </c>
      <c r="G65" s="50">
        <f>IF(OR(5302814.4312="",172687.64315="",183423.60887=""),"-",(183423.60887-172687.64315)/5302814.4312*100)</f>
        <v>0.20245788079690566</v>
      </c>
      <c r="H65" s="50">
        <f>IF(OR(4848686.17434="",225649.36081="",183423.60887=""),"-",(225649.36081-183423.60887)/4848686.17434*100)</f>
        <v>0.87086997223011153</v>
      </c>
    </row>
    <row r="66" spans="1:8" s="7" customFormat="1" ht="27" customHeight="1" x14ac:dyDescent="0.25">
      <c r="A66" s="30" t="s">
        <v>280</v>
      </c>
      <c r="B66" s="31" t="s">
        <v>176</v>
      </c>
      <c r="C66" s="27">
        <v>69102.191640000005</v>
      </c>
      <c r="D66" s="50">
        <f>IF(OR(52740.38391="",69102.19164=""),"-",69102.19164/52740.38391*100)</f>
        <v>131.02330039523599</v>
      </c>
      <c r="E66" s="50">
        <f>IF(52740.38391="","-",52740.38391/4848686.17434*100)</f>
        <v>1.0877252520303395</v>
      </c>
      <c r="F66" s="50">
        <f>IF(69102.19164="","-",69102.19164/6419550.41866*100)</f>
        <v>1.0764335059841186</v>
      </c>
      <c r="G66" s="50">
        <f>IF(OR(5302814.4312="",42790.16723="",52740.38391=""),"-",(52740.38391-42790.16723)/5302814.4312*100)</f>
        <v>0.18764029571648264</v>
      </c>
      <c r="H66" s="50">
        <f>IF(OR(4848686.17434="",69102.19164="",52740.38391=""),"-",(69102.19164-52740.38391)/4848686.17434*100)</f>
        <v>0.33744827241220998</v>
      </c>
    </row>
    <row r="67" spans="1:8" s="7" customFormat="1" ht="41.25" customHeight="1" x14ac:dyDescent="0.25">
      <c r="A67" s="30" t="s">
        <v>281</v>
      </c>
      <c r="B67" s="31" t="s">
        <v>177</v>
      </c>
      <c r="C67" s="27">
        <v>172434.57508000001</v>
      </c>
      <c r="D67" s="50">
        <f>IF(OR(150293.77429="",172434.57508=""),"-",172434.57508/150293.77429*100)</f>
        <v>114.73168193066876</v>
      </c>
      <c r="E67" s="50">
        <f>IF(150293.77429="","-",150293.77429/4848686.17434*100)</f>
        <v>3.0996803852841204</v>
      </c>
      <c r="F67" s="50">
        <f>IF(172434.57508="","-",172434.57508/6419550.41866*100)</f>
        <v>2.6860849099148218</v>
      </c>
      <c r="G67" s="50">
        <f>IF(OR(5302814.4312="",150082.78118="",150293.77429=""),"-",(150293.77429-150082.78118)/5302814.4312*100)</f>
        <v>3.9788891868174176E-3</v>
      </c>
      <c r="H67" s="50">
        <f>IF(OR(4848686.17434="",172434.57508="",150293.77429=""),"-",(172434.57508-150293.77429)/4848686.17434*100)</f>
        <v>0.45663505522738435</v>
      </c>
    </row>
    <row r="68" spans="1:8" s="7" customFormat="1" ht="51" x14ac:dyDescent="0.25">
      <c r="A68" s="30" t="s">
        <v>282</v>
      </c>
      <c r="B68" s="31" t="s">
        <v>178</v>
      </c>
      <c r="C68" s="27">
        <v>484476.96710000001</v>
      </c>
      <c r="D68" s="50">
        <f>IF(OR(379057.32881="",484476.9671=""),"-",484476.9671/379057.32881*100)</f>
        <v>127.81100120684937</v>
      </c>
      <c r="E68" s="50">
        <f>IF(379057.32881="","-",379057.32881/4848686.17434*100)</f>
        <v>7.8177327874101268</v>
      </c>
      <c r="F68" s="50">
        <f>IF(484476.9671="","-",484476.9671/6419550.41866*100)</f>
        <v>7.5468987001293533</v>
      </c>
      <c r="G68" s="50">
        <f>IF(OR(5302814.4312="",406963.35774="",379057.32881=""),"-",(379057.32881-406963.35774)/5302814.4312*100)</f>
        <v>-0.52624939627927037</v>
      </c>
      <c r="H68" s="50">
        <f>IF(OR(4848686.17434="",484476.9671="",379057.32881=""),"-",(484476.9671-379057.32881)/4848686.17434*100)</f>
        <v>2.1741897598548885</v>
      </c>
    </row>
    <row r="69" spans="1:8" s="7" customFormat="1" ht="25.5" x14ac:dyDescent="0.25">
      <c r="A69" s="30" t="s">
        <v>283</v>
      </c>
      <c r="B69" s="31" t="s">
        <v>179</v>
      </c>
      <c r="C69" s="27">
        <v>407453.40726000001</v>
      </c>
      <c r="D69" s="50" t="s">
        <v>104</v>
      </c>
      <c r="E69" s="50">
        <f>IF(261807.44382="","-",261807.44382/4848686.17434*100)</f>
        <v>5.3995543206224728</v>
      </c>
      <c r="F69" s="50">
        <f>IF(407453.40726="","-",407453.40726/6419550.41866*100)</f>
        <v>6.347070755541333</v>
      </c>
      <c r="G69" s="50">
        <f>IF(OR(5302814.4312="",301083.92975="",261807.44382=""),"-",(261807.44382-301083.92975)/5302814.4312*100)</f>
        <v>-0.74067245685442462</v>
      </c>
      <c r="H69" s="50">
        <f>IF(OR(4848686.17434="",407453.40726="",261807.44382=""),"-",(407453.40726-261807.44382)/4848686.17434*100)</f>
        <v>3.0038232668218674</v>
      </c>
    </row>
    <row r="70" spans="1:8" s="7" customFormat="1" x14ac:dyDescent="0.25">
      <c r="A70" s="30" t="s">
        <v>284</v>
      </c>
      <c r="B70" s="31" t="s">
        <v>33</v>
      </c>
      <c r="C70" s="27">
        <v>3415.01622</v>
      </c>
      <c r="D70" s="50">
        <f>IF(OR(52421.31684="",3415.01622=""),"-",3415.01622/52421.31684*100)</f>
        <v>6.5145563405499525</v>
      </c>
      <c r="E70" s="50">
        <f>IF(52421.31684="","-",52421.31684/4848686.17434*100)</f>
        <v>1.0811447669560827</v>
      </c>
      <c r="F70" s="50">
        <f>IF(3415.01622="","-",3415.01622/6419550.41866*100)</f>
        <v>5.319712436673784E-2</v>
      </c>
      <c r="G70" s="50">
        <f>IF(OR(5302814.4312="",8743.01226="",52421.31684=""),"-",(52421.31684-8743.01226)/5302814.4312*100)</f>
        <v>0.82368155904176743</v>
      </c>
      <c r="H70" s="50">
        <f>IF(OR(4848686.17434="",3415.01622="",52421.31684=""),"-",(3415.01622-52421.31684)/4848686.17434*100)</f>
        <v>-1.0107129819898213</v>
      </c>
    </row>
    <row r="71" spans="1:8" s="7" customFormat="1" x14ac:dyDescent="0.25">
      <c r="A71" s="28" t="s">
        <v>285</v>
      </c>
      <c r="B71" s="29" t="s">
        <v>34</v>
      </c>
      <c r="C71" s="26">
        <v>745845.82816999999</v>
      </c>
      <c r="D71" s="60">
        <f>IF(533302.97825="","-",745845.82817/533302.97825*100)</f>
        <v>139.85405268454451</v>
      </c>
      <c r="E71" s="60">
        <f>IF(533302.97825="","-",533302.97825/4848686.17434*100)</f>
        <v>10.998917213333421</v>
      </c>
      <c r="F71" s="60">
        <f>IF(745845.82817="","-",745845.82817/6419550.41866*100)</f>
        <v>11.618349876994749</v>
      </c>
      <c r="G71" s="60">
        <f>IF(5302814.4312="","-",(533302.97825-573423.05061)/5302814.4312*100)</f>
        <v>-0.75658073425965644</v>
      </c>
      <c r="H71" s="60">
        <f>IF(4848686.17434="","-",(745845.82817-533302.97825)/4848686.17434*100)</f>
        <v>4.383514260931336</v>
      </c>
    </row>
    <row r="72" spans="1:8" ht="38.25" x14ac:dyDescent="0.25">
      <c r="A72" s="30" t="s">
        <v>286</v>
      </c>
      <c r="B72" s="31" t="s">
        <v>205</v>
      </c>
      <c r="C72" s="27">
        <v>69429.909660000005</v>
      </c>
      <c r="D72" s="50">
        <f>IF(OR(49527.77733="",69429.90966=""),"-",69429.90966/49527.77733*100)</f>
        <v>140.18377848332167</v>
      </c>
      <c r="E72" s="50">
        <f>IF(49527.77733="","-",49527.77733/4848686.17434*100)</f>
        <v>1.0214679925483461</v>
      </c>
      <c r="F72" s="50">
        <f>IF(69429.90966="","-",69429.90966/6419550.41866*100)</f>
        <v>1.0815385055343583</v>
      </c>
      <c r="G72" s="50">
        <f>IF(OR(5302814.4312="",47270.61657="",49527.77733=""),"-",(49527.77733-47270.61657)/5302814.4312*100)</f>
        <v>4.2565335621016907E-2</v>
      </c>
      <c r="H72" s="50">
        <f>IF(OR(4848686.17434="",69429.90966="",49527.77733=""),"-",(69429.90966-49527.77733)/4848686.17434*100)</f>
        <v>0.41046443540366007</v>
      </c>
    </row>
    <row r="73" spans="1:8" x14ac:dyDescent="0.25">
      <c r="A73" s="30" t="s">
        <v>287</v>
      </c>
      <c r="B73" s="31" t="s">
        <v>180</v>
      </c>
      <c r="C73" s="27">
        <v>69117.812749999997</v>
      </c>
      <c r="D73" s="50">
        <f>IF(OR(50065.81967="",69117.81275=""),"-",69117.81275/50065.81967*100)</f>
        <v>138.05389226737492</v>
      </c>
      <c r="E73" s="50">
        <f>IF(50065.81967="","-",50065.81967/4848686.17434*100)</f>
        <v>1.0325646550390513</v>
      </c>
      <c r="F73" s="50">
        <f>IF(69117.81275="","-",69117.81275/6419550.41866*100)</f>
        <v>1.0766768424949527</v>
      </c>
      <c r="G73" s="50">
        <f>IF(OR(5302814.4312="",52234.87992="",50065.81967=""),"-",(50065.81967-52234.87992)/5302814.4312*100)</f>
        <v>-4.0903944087463659E-2</v>
      </c>
      <c r="H73" s="50">
        <f>IF(OR(4848686.17434="",69117.81275="",50065.81967=""),"-",(69117.81275-50065.81967)/4848686.17434*100)</f>
        <v>0.39293104141955199</v>
      </c>
    </row>
    <row r="74" spans="1:8" x14ac:dyDescent="0.25">
      <c r="A74" s="30" t="s">
        <v>288</v>
      </c>
      <c r="B74" s="31" t="s">
        <v>181</v>
      </c>
      <c r="C74" s="27">
        <v>11047.47784</v>
      </c>
      <c r="D74" s="50">
        <f>IF(OR(8202.63394="",11047.47784=""),"-",11047.47784/8202.63394*100)</f>
        <v>134.68207798628157</v>
      </c>
      <c r="E74" s="50">
        <f>IF(8202.63394="","-",8202.63394/4848686.17434*100)</f>
        <v>0.16917230039365325</v>
      </c>
      <c r="F74" s="50">
        <f>IF(11047.47784="","-",11047.47784/6419550.41866*100)</f>
        <v>0.17209114532207415</v>
      </c>
      <c r="G74" s="50">
        <f>IF(OR(5302814.4312="",8517.45631="",8202.63394=""),"-",(8202.63394-8517.45631)/5302814.4312*100)</f>
        <v>-5.9368920803203953E-3</v>
      </c>
      <c r="H74" s="50">
        <f>IF(OR(4848686.17434="",11047.47784="",8202.63394=""),"-",(11047.47784-8202.63394)/4848686.17434*100)</f>
        <v>5.8672469153713339E-2</v>
      </c>
    </row>
    <row r="75" spans="1:8" x14ac:dyDescent="0.25">
      <c r="A75" s="30" t="s">
        <v>289</v>
      </c>
      <c r="B75" s="31" t="s">
        <v>182</v>
      </c>
      <c r="C75" s="27">
        <v>183971.32922000001</v>
      </c>
      <c r="D75" s="50">
        <f>IF(OR(124326.76127="",183971.32922=""),"-",183971.32922/124326.76127*100)</f>
        <v>147.97403820442977</v>
      </c>
      <c r="E75" s="50">
        <f>IF(124326.76127="","-",124326.76127/4848686.17434*100)</f>
        <v>2.5641329795266294</v>
      </c>
      <c r="F75" s="50">
        <f>IF(183971.32922="","-",183971.32922/6419550.41866*100)</f>
        <v>2.8657977151365954</v>
      </c>
      <c r="G75" s="50">
        <f>IF(OR(5302814.4312="",131110.46523="",124326.76127=""),"-",(124326.76127-131110.46523)/5302814.4312*100)</f>
        <v>-0.12792648221078481</v>
      </c>
      <c r="H75" s="50">
        <f>IF(OR(4848686.17434="",183971.32922="",124326.76127=""),"-",(183971.32922-124326.76127)/4848686.17434*100)</f>
        <v>1.2301181352104891</v>
      </c>
    </row>
    <row r="76" spans="1:8" x14ac:dyDescent="0.25">
      <c r="A76" s="30" t="s">
        <v>290</v>
      </c>
      <c r="B76" s="31" t="s">
        <v>183</v>
      </c>
      <c r="C76" s="27">
        <v>47521.000749999999</v>
      </c>
      <c r="D76" s="50">
        <f>IF(OR(35874.6431="",47521.00075=""),"-",47521.00075/35874.6431*100)</f>
        <v>132.46403767010577</v>
      </c>
      <c r="E76" s="50">
        <f>IF(35874.6431="","-",35874.6431/4848686.17434*100)</f>
        <v>0.73988379140424021</v>
      </c>
      <c r="F76" s="50">
        <f>IF(47521.00075="","-",47521.00075/6419550.41866*100)</f>
        <v>0.74025434260736611</v>
      </c>
      <c r="G76" s="50">
        <f>IF(OR(5302814.4312="",43181.15048="",35874.6431=""),"-",(35874.6431-43181.15048)/5302814.4312*100)</f>
        <v>-0.13778546231998862</v>
      </c>
      <c r="H76" s="50">
        <f>IF(OR(4848686.17434="",47521.00075="",35874.6431=""),"-",(47521.00075-35874.6431)/4848686.17434*100)</f>
        <v>0.24019615275647929</v>
      </c>
    </row>
    <row r="77" spans="1:8" ht="25.5" x14ac:dyDescent="0.25">
      <c r="A77" s="30" t="s">
        <v>291</v>
      </c>
      <c r="B77" s="31" t="s">
        <v>206</v>
      </c>
      <c r="C77" s="27">
        <v>81952.893880000003</v>
      </c>
      <c r="D77" s="50" t="s">
        <v>219</v>
      </c>
      <c r="E77" s="50">
        <f>IF(53291.13927="","-",53291.13927/4848686.17434*100)</f>
        <v>1.0990841096712956</v>
      </c>
      <c r="F77" s="50">
        <f>IF(81952.89388="","-",81952.89388/6419550.41866*100)</f>
        <v>1.2766142258464672</v>
      </c>
      <c r="G77" s="50">
        <f>IF(OR(5302814.4312="",57452.42451="",53291.13927=""),"-",(53291.13927-57452.42451)/5302814.4312*100)</f>
        <v>-7.8473144666658071E-2</v>
      </c>
      <c r="H77" s="50">
        <f>IF(OR(4848686.17434="",81952.89388="",53291.13927=""),"-",(81952.89388-53291.13927)/4848686.17434*100)</f>
        <v>0.59112414331293406</v>
      </c>
    </row>
    <row r="78" spans="1:8" ht="25.5" x14ac:dyDescent="0.25">
      <c r="A78" s="30" t="s">
        <v>292</v>
      </c>
      <c r="B78" s="31" t="s">
        <v>184</v>
      </c>
      <c r="C78" s="27">
        <v>14958.646280000001</v>
      </c>
      <c r="D78" s="50" t="s">
        <v>219</v>
      </c>
      <c r="E78" s="50">
        <f>IF(9660.67549="","-",9660.67549/4848686.17434*100)</f>
        <v>0.19924315871639192</v>
      </c>
      <c r="F78" s="50">
        <f>IF(14958.64628="","-",14958.64628/6419550.41866*100)</f>
        <v>0.23301703864680337</v>
      </c>
      <c r="G78" s="50">
        <f>IF(OR(5302814.4312="",10693.54932="",9660.67549=""),"-",(9660.67549-10693.54932)/5302814.4312*100)</f>
        <v>-1.9477842255292088E-2</v>
      </c>
      <c r="H78" s="50">
        <f>IF(OR(4848686.17434="",14958.64628="",9660.67549=""),"-",(14958.64628-9660.67549)/4848686.17434*100)</f>
        <v>0.10926611043704344</v>
      </c>
    </row>
    <row r="79" spans="1:8" x14ac:dyDescent="0.25">
      <c r="A79" s="30" t="s">
        <v>293</v>
      </c>
      <c r="B79" s="31" t="s">
        <v>35</v>
      </c>
      <c r="C79" s="27">
        <v>267846.75779</v>
      </c>
      <c r="D79" s="50">
        <f>IF(OR(202353.52818="",267846.75779=""),"-",267846.75779/202353.52818*100)</f>
        <v>132.3657463247894</v>
      </c>
      <c r="E79" s="50">
        <f>IF(202353.52818="","-",202353.52818/4848686.17434*100)</f>
        <v>4.1733682260338121</v>
      </c>
      <c r="F79" s="50">
        <f>IF(267846.75779="","-",267846.75779/6419550.41866*100)</f>
        <v>4.172360061406132</v>
      </c>
      <c r="G79" s="50">
        <f>IF(OR(5302814.4312="",222962.50827="",202353.52818=""),"-",(202353.52818-222962.50827)/5302814.4312*100)</f>
        <v>-0.38864230226016577</v>
      </c>
      <c r="H79" s="50">
        <f>IF(OR(4848686.17434="",267846.75779="",202353.52818=""),"-",(267846.75779-202353.52818)/4848686.17434*100)</f>
        <v>1.3507417732374667</v>
      </c>
    </row>
    <row r="80" spans="1:8" ht="25.5" x14ac:dyDescent="0.25">
      <c r="A80" s="34" t="s">
        <v>297</v>
      </c>
      <c r="B80" s="47" t="s">
        <v>185</v>
      </c>
      <c r="C80" s="48">
        <v>468.60336999999998</v>
      </c>
      <c r="D80" s="81">
        <f>IF(356.08901="","-",468.60337/356.08901*100)</f>
        <v>131.59725710153199</v>
      </c>
      <c r="E80" s="81">
        <f>IF(356.08901="","-",356.08901/4848686.17434*100)</f>
        <v>7.344030881694886E-3</v>
      </c>
      <c r="F80" s="81">
        <f>IF(468.60337="","-",468.60337/6419550.41866*100)</f>
        <v>7.2996290929951916E-3</v>
      </c>
      <c r="G80" s="81">
        <f>IF(5302814.4312="","-",(356.08901-212.30131)/5302814.4312*100)</f>
        <v>2.7115355791822709E-3</v>
      </c>
      <c r="H80" s="81">
        <f>IF(4848686.17434="","-",(468.60337-356.08901)/4848686.17434*100)</f>
        <v>2.320512319305041E-3</v>
      </c>
    </row>
    <row r="82" spans="1:11" x14ac:dyDescent="0.25">
      <c r="A82" s="70" t="s">
        <v>300</v>
      </c>
      <c r="B82" s="85"/>
      <c r="C82" s="49"/>
      <c r="D82" s="67"/>
      <c r="E82" s="67"/>
      <c r="F82" s="67"/>
      <c r="G82" s="67"/>
      <c r="H82" s="67"/>
      <c r="I82" s="1"/>
      <c r="J82" s="1"/>
      <c r="K82" s="1"/>
    </row>
    <row r="83" spans="1:11" x14ac:dyDescent="0.25">
      <c r="A83" s="102" t="s">
        <v>347</v>
      </c>
      <c r="B83" s="102"/>
      <c r="C83" s="102"/>
      <c r="D83" s="102"/>
      <c r="E83" s="102"/>
    </row>
  </sheetData>
  <mergeCells count="12">
    <mergeCell ref="A83:E83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3"/>
  <sheetViews>
    <sheetView zoomScale="99" zoomScaleNormal="99" workbookViewId="0">
      <selection activeCell="I18" sqref="I18"/>
    </sheetView>
  </sheetViews>
  <sheetFormatPr defaultRowHeight="15.75" x14ac:dyDescent="0.25"/>
  <cols>
    <col min="1" max="1" width="7" customWidth="1"/>
    <col min="2" max="2" width="35.625" customWidth="1"/>
    <col min="3" max="3" width="14.5" customWidth="1"/>
    <col min="4" max="4" width="14.25" customWidth="1"/>
    <col min="5" max="5" width="15.375" customWidth="1"/>
    <col min="6" max="6" width="12.25" bestFit="1" customWidth="1"/>
    <col min="7" max="7" width="12.125" bestFit="1" customWidth="1"/>
  </cols>
  <sheetData>
    <row r="1" spans="1:7" x14ac:dyDescent="0.25">
      <c r="B1" s="116" t="s">
        <v>139</v>
      </c>
      <c r="C1" s="116"/>
      <c r="D1" s="116"/>
      <c r="E1" s="116"/>
    </row>
    <row r="2" spans="1:7" x14ac:dyDescent="0.25">
      <c r="B2" s="116" t="s">
        <v>299</v>
      </c>
      <c r="C2" s="116"/>
      <c r="D2" s="116"/>
      <c r="E2" s="116"/>
    </row>
    <row r="3" spans="1:7" x14ac:dyDescent="0.25">
      <c r="B3" s="5"/>
    </row>
    <row r="4" spans="1:7" ht="21" customHeight="1" x14ac:dyDescent="0.25">
      <c r="A4" s="117" t="s">
        <v>298</v>
      </c>
      <c r="B4" s="117"/>
      <c r="C4" s="121" t="s">
        <v>375</v>
      </c>
      <c r="D4" s="122"/>
      <c r="E4" s="119" t="s">
        <v>380</v>
      </c>
      <c r="F4" s="1"/>
    </row>
    <row r="5" spans="1:7" ht="27" customHeight="1" x14ac:dyDescent="0.25">
      <c r="A5" s="118"/>
      <c r="B5" s="118"/>
      <c r="C5" s="16">
        <v>2020</v>
      </c>
      <c r="D5" s="15">
        <v>2021</v>
      </c>
      <c r="E5" s="120"/>
      <c r="F5" s="1"/>
    </row>
    <row r="6" spans="1:7" ht="28.5" x14ac:dyDescent="0.25">
      <c r="A6" s="32"/>
      <c r="B6" s="46" t="s">
        <v>309</v>
      </c>
      <c r="C6" s="87">
        <v>-2599822.3806799999</v>
      </c>
      <c r="D6" s="37">
        <v>-3600066.7293500002</v>
      </c>
      <c r="E6" s="37">
        <f>IF(-2599822.38068="","-",-3600066.72935/-2599822.38068*100)</f>
        <v>138.47356481362317</v>
      </c>
      <c r="G6" s="13"/>
    </row>
    <row r="7" spans="1:7" x14ac:dyDescent="0.25">
      <c r="A7" s="32"/>
      <c r="B7" s="35" t="s">
        <v>127</v>
      </c>
      <c r="C7" s="100"/>
      <c r="D7" s="60"/>
      <c r="E7" s="101"/>
    </row>
    <row r="8" spans="1:7" x14ac:dyDescent="0.25">
      <c r="A8" s="28" t="s">
        <v>225</v>
      </c>
      <c r="B8" s="29" t="s">
        <v>186</v>
      </c>
      <c r="C8" s="39">
        <v>-96116.133919999993</v>
      </c>
      <c r="D8" s="39">
        <v>23204.500619999999</v>
      </c>
      <c r="E8" s="39" t="s">
        <v>22</v>
      </c>
      <c r="F8" s="13"/>
    </row>
    <row r="9" spans="1:7" x14ac:dyDescent="0.25">
      <c r="A9" s="30" t="s">
        <v>226</v>
      </c>
      <c r="B9" s="31" t="s">
        <v>23</v>
      </c>
      <c r="C9" s="41">
        <v>3617.1675599999999</v>
      </c>
      <c r="D9" s="41">
        <v>1552.74611</v>
      </c>
      <c r="E9" s="41">
        <f>IF(OR(3617.16756="",1552.74611="",3617.16756=0,1552.74611=0),"-",1552.74611/3617.16756*100)</f>
        <v>42.927126936856638</v>
      </c>
    </row>
    <row r="10" spans="1:7" x14ac:dyDescent="0.25">
      <c r="A10" s="30" t="s">
        <v>227</v>
      </c>
      <c r="B10" s="31" t="s">
        <v>187</v>
      </c>
      <c r="C10" s="41">
        <v>-31739.212940000001</v>
      </c>
      <c r="D10" s="41">
        <v>-50960.508459999997</v>
      </c>
      <c r="E10" s="41" t="s">
        <v>104</v>
      </c>
    </row>
    <row r="11" spans="1:7" x14ac:dyDescent="0.25">
      <c r="A11" s="30" t="s">
        <v>228</v>
      </c>
      <c r="B11" s="31" t="s">
        <v>188</v>
      </c>
      <c r="C11" s="41">
        <v>-61040.362430000001</v>
      </c>
      <c r="D11" s="41">
        <v>-73928.114199999996</v>
      </c>
      <c r="E11" s="41">
        <f>IF(OR(-61040.36243="",-73928.1142="",-61040.36243=0,-73928.1142=0),"-",-73928.1142/-61040.36243*100)</f>
        <v>121.11349156024333</v>
      </c>
    </row>
    <row r="12" spans="1:7" x14ac:dyDescent="0.25">
      <c r="A12" s="30" t="s">
        <v>229</v>
      </c>
      <c r="B12" s="31" t="s">
        <v>189</v>
      </c>
      <c r="C12" s="41">
        <v>-52496.863660000003</v>
      </c>
      <c r="D12" s="41">
        <v>-67609.535999999993</v>
      </c>
      <c r="E12" s="41">
        <f>IF(OR(-52496.86366="",-67609.536="",-52496.86366=0,-67609.536=0),"-",-67609.536/-52496.86366*100)</f>
        <v>128.78776232781902</v>
      </c>
    </row>
    <row r="13" spans="1:7" x14ac:dyDescent="0.25">
      <c r="A13" s="30" t="s">
        <v>230</v>
      </c>
      <c r="B13" s="31" t="s">
        <v>190</v>
      </c>
      <c r="C13" s="41">
        <v>39834.263010000002</v>
      </c>
      <c r="D13" s="41">
        <v>238092.54293</v>
      </c>
      <c r="E13" s="41" t="s">
        <v>384</v>
      </c>
    </row>
    <row r="14" spans="1:7" x14ac:dyDescent="0.25">
      <c r="A14" s="30" t="s">
        <v>231</v>
      </c>
      <c r="B14" s="31" t="s">
        <v>191</v>
      </c>
      <c r="C14" s="41">
        <v>128386.22783</v>
      </c>
      <c r="D14" s="41">
        <v>128212.59129</v>
      </c>
      <c r="E14" s="41">
        <f>IF(OR(128386.22783="",128212.59129="",128386.22783=0,128212.59129=0),"-",128212.59129/128386.22783*100)</f>
        <v>99.864754543431317</v>
      </c>
    </row>
    <row r="15" spans="1:7" x14ac:dyDescent="0.25">
      <c r="A15" s="30" t="s">
        <v>232</v>
      </c>
      <c r="B15" s="31" t="s">
        <v>149</v>
      </c>
      <c r="C15" s="41">
        <v>2118.4477000000002</v>
      </c>
      <c r="D15" s="41">
        <v>12944.66743</v>
      </c>
      <c r="E15" s="41" t="s">
        <v>367</v>
      </c>
    </row>
    <row r="16" spans="1:7" ht="25.5" x14ac:dyDescent="0.25">
      <c r="A16" s="30" t="s">
        <v>233</v>
      </c>
      <c r="B16" s="31" t="s">
        <v>192</v>
      </c>
      <c r="C16" s="41">
        <v>-44487.346100000002</v>
      </c>
      <c r="D16" s="41">
        <v>-51762.366710000002</v>
      </c>
      <c r="E16" s="41">
        <f>IF(OR(-44487.3461="",-51762.36671="",-44487.3461=0,-51762.36671=0),"-",-51762.36671/-44487.3461*100)</f>
        <v>116.35301101946381</v>
      </c>
    </row>
    <row r="17" spans="1:5" ht="25.5" x14ac:dyDescent="0.25">
      <c r="A17" s="30" t="s">
        <v>234</v>
      </c>
      <c r="B17" s="31" t="s">
        <v>150</v>
      </c>
      <c r="C17" s="41">
        <v>-8536.5528799999993</v>
      </c>
      <c r="D17" s="41">
        <v>-19174.166840000002</v>
      </c>
      <c r="E17" s="41" t="s">
        <v>208</v>
      </c>
    </row>
    <row r="18" spans="1:5" x14ac:dyDescent="0.25">
      <c r="A18" s="30" t="s">
        <v>235</v>
      </c>
      <c r="B18" s="31" t="s">
        <v>193</v>
      </c>
      <c r="C18" s="41">
        <v>-71771.902010000005</v>
      </c>
      <c r="D18" s="41">
        <v>-94163.354930000001</v>
      </c>
      <c r="E18" s="41">
        <f>IF(OR(-71771.90201="",-94163.35493="",-71771.90201=0,-94163.35493=0),"-",-94163.35493/-71771.90201*100)</f>
        <v>131.19807653541099</v>
      </c>
    </row>
    <row r="19" spans="1:5" x14ac:dyDescent="0.25">
      <c r="A19" s="28" t="s">
        <v>236</v>
      </c>
      <c r="B19" s="29" t="s">
        <v>194</v>
      </c>
      <c r="C19" s="39">
        <v>75404.534440000003</v>
      </c>
      <c r="D19" s="39">
        <v>70523.078850000005</v>
      </c>
      <c r="E19" s="39">
        <f>IF(75404.53444="","-",70523.07885/75404.53444*100)</f>
        <v>93.526310285909645</v>
      </c>
    </row>
    <row r="20" spans="1:5" x14ac:dyDescent="0.25">
      <c r="A20" s="30" t="s">
        <v>237</v>
      </c>
      <c r="B20" s="31" t="s">
        <v>195</v>
      </c>
      <c r="C20" s="41">
        <v>114083.98003000001</v>
      </c>
      <c r="D20" s="41">
        <v>106483.19898</v>
      </c>
      <c r="E20" s="41">
        <f>IF(OR(114083.98003="",106483.19898="",114083.98003=0,106483.19898=0),"-",106483.19898/114083.98003*100)</f>
        <v>93.337556203770873</v>
      </c>
    </row>
    <row r="21" spans="1:5" x14ac:dyDescent="0.25">
      <c r="A21" s="30" t="s">
        <v>238</v>
      </c>
      <c r="B21" s="31" t="s">
        <v>196</v>
      </c>
      <c r="C21" s="41">
        <v>-38679.445590000003</v>
      </c>
      <c r="D21" s="41">
        <v>-35960.120130000003</v>
      </c>
      <c r="E21" s="41">
        <f>IF(OR(-38679.44559="",-35960.12013="",-38679.44559=0,-35960.12013=0),"-",-35960.12013/-38679.44559*100)</f>
        <v>92.969585218917814</v>
      </c>
    </row>
    <row r="22" spans="1:5" ht="25.5" x14ac:dyDescent="0.25">
      <c r="A22" s="28" t="s">
        <v>239</v>
      </c>
      <c r="B22" s="29" t="s">
        <v>24</v>
      </c>
      <c r="C22" s="39">
        <v>109934.88724</v>
      </c>
      <c r="D22" s="39">
        <v>146061.67159000001</v>
      </c>
      <c r="E22" s="39">
        <f>IF(109934.88724="","-",146061.67159/109934.88724*100)</f>
        <v>132.861983358505</v>
      </c>
    </row>
    <row r="23" spans="1:5" x14ac:dyDescent="0.25">
      <c r="A23" s="30" t="s">
        <v>240</v>
      </c>
      <c r="B23" s="31" t="s">
        <v>203</v>
      </c>
      <c r="C23" s="41">
        <v>1161.5085999999999</v>
      </c>
      <c r="D23" s="41">
        <v>1091.27207</v>
      </c>
      <c r="E23" s="41">
        <f>IF(OR(1161.5086="",1091.27207="",1161.5086=0,1091.27207=0),"-",1091.27207/1161.5086*100)</f>
        <v>93.952990963648489</v>
      </c>
    </row>
    <row r="24" spans="1:5" x14ac:dyDescent="0.25">
      <c r="A24" s="30" t="s">
        <v>241</v>
      </c>
      <c r="B24" s="31" t="s">
        <v>197</v>
      </c>
      <c r="C24" s="41">
        <v>165070.77309</v>
      </c>
      <c r="D24" s="41">
        <v>173998.17207</v>
      </c>
      <c r="E24" s="41">
        <f>IF(OR(165070.77309="",173998.17207="",165070.77309=0,173998.17207=0),"-",173998.17207/165070.77309*100)</f>
        <v>105.40822509817205</v>
      </c>
    </row>
    <row r="25" spans="1:5" ht="17.25" customHeight="1" x14ac:dyDescent="0.25">
      <c r="A25" s="30" t="s">
        <v>295</v>
      </c>
      <c r="B25" s="31" t="s">
        <v>198</v>
      </c>
      <c r="C25" s="41">
        <v>-1321.9047800000001</v>
      </c>
      <c r="D25" s="41">
        <v>-2587.5092500000001</v>
      </c>
      <c r="E25" s="41" t="s">
        <v>20</v>
      </c>
    </row>
    <row r="26" spans="1:5" x14ac:dyDescent="0.25">
      <c r="A26" s="30" t="s">
        <v>242</v>
      </c>
      <c r="B26" s="31" t="s">
        <v>199</v>
      </c>
      <c r="C26" s="41">
        <v>-35153.880559999998</v>
      </c>
      <c r="D26" s="41">
        <v>-50280.179400000001</v>
      </c>
      <c r="E26" s="41">
        <f>IF(OR(-35153.88056="",-50280.1794="",-35153.88056=0,-50280.1794=0),"-",-50280.1794/-35153.88056*100)</f>
        <v>143.02881673100845</v>
      </c>
    </row>
    <row r="27" spans="1:5" x14ac:dyDescent="0.25">
      <c r="A27" s="30" t="s">
        <v>243</v>
      </c>
      <c r="B27" s="31" t="s">
        <v>151</v>
      </c>
      <c r="C27" s="41">
        <v>1379.17066</v>
      </c>
      <c r="D27" s="41">
        <v>4240.1912300000004</v>
      </c>
      <c r="E27" s="41" t="s">
        <v>407</v>
      </c>
    </row>
    <row r="28" spans="1:5" ht="38.25" x14ac:dyDescent="0.25">
      <c r="A28" s="30" t="s">
        <v>244</v>
      </c>
      <c r="B28" s="31" t="s">
        <v>152</v>
      </c>
      <c r="C28" s="41">
        <v>-6974.5876500000004</v>
      </c>
      <c r="D28" s="41">
        <v>-9338.7050299999992</v>
      </c>
      <c r="E28" s="41">
        <f>IF(OR(-6974.58765="",-9338.70503="",-6974.58765=0,-9338.70503=0),"-",-9338.70503/-6974.58765*100)</f>
        <v>133.89615986831851</v>
      </c>
    </row>
    <row r="29" spans="1:5" ht="25.5" x14ac:dyDescent="0.25">
      <c r="A29" s="30" t="s">
        <v>245</v>
      </c>
      <c r="B29" s="31" t="s">
        <v>153</v>
      </c>
      <c r="C29" s="41">
        <v>-8740.9798800000008</v>
      </c>
      <c r="D29" s="41">
        <v>-10828.948560000001</v>
      </c>
      <c r="E29" s="41">
        <f>IF(OR(-8740.97988="",-10828.94856="",-8740.97988=0,-10828.94856=0),"-",-10828.94856/-8740.97988*100)</f>
        <v>123.88712373972423</v>
      </c>
    </row>
    <row r="30" spans="1:5" x14ac:dyDescent="0.25">
      <c r="A30" s="30" t="s">
        <v>246</v>
      </c>
      <c r="B30" s="31" t="s">
        <v>154</v>
      </c>
      <c r="C30" s="41">
        <v>21315.468099999998</v>
      </c>
      <c r="D30" s="41">
        <v>77988.455919999993</v>
      </c>
      <c r="E30" s="41" t="s">
        <v>342</v>
      </c>
    </row>
    <row r="31" spans="1:5" x14ac:dyDescent="0.25">
      <c r="A31" s="30" t="s">
        <v>247</v>
      </c>
      <c r="B31" s="31" t="s">
        <v>155</v>
      </c>
      <c r="C31" s="41">
        <v>-26800.680339999999</v>
      </c>
      <c r="D31" s="41">
        <v>-38221.07746</v>
      </c>
      <c r="E31" s="41">
        <f>IF(OR(-26800.68034="",-38221.07746="",-26800.68034=0,-38221.07746=0),"-",-38221.07746/-26800.68034*100)</f>
        <v>142.61234034031241</v>
      </c>
    </row>
    <row r="32" spans="1:5" ht="15.75" customHeight="1" x14ac:dyDescent="0.25">
      <c r="A32" s="28" t="s">
        <v>248</v>
      </c>
      <c r="B32" s="29" t="s">
        <v>156</v>
      </c>
      <c r="C32" s="39">
        <v>-511673.91950999998</v>
      </c>
      <c r="D32" s="39">
        <v>-910663.86242999998</v>
      </c>
      <c r="E32" s="39" t="s">
        <v>209</v>
      </c>
    </row>
    <row r="33" spans="1:5" x14ac:dyDescent="0.25">
      <c r="A33" s="30" t="s">
        <v>249</v>
      </c>
      <c r="B33" s="31" t="s">
        <v>200</v>
      </c>
      <c r="C33" s="41">
        <v>-13612.35584</v>
      </c>
      <c r="D33" s="41">
        <v>-17074.96356</v>
      </c>
      <c r="E33" s="41">
        <f>IF(OR(-13612.35584="",-17074.96356="",-13612.35584=0,-17074.96356=0),"-",-17074.96356/-13612.35584*100)</f>
        <v>125.43724070028426</v>
      </c>
    </row>
    <row r="34" spans="1:5" x14ac:dyDescent="0.25">
      <c r="A34" s="30" t="s">
        <v>250</v>
      </c>
      <c r="B34" s="31" t="s">
        <v>157</v>
      </c>
      <c r="C34" s="41">
        <v>-327443.36966999999</v>
      </c>
      <c r="D34" s="41">
        <v>-559846.55981999997</v>
      </c>
      <c r="E34" s="41" t="s">
        <v>103</v>
      </c>
    </row>
    <row r="35" spans="1:5" x14ac:dyDescent="0.25">
      <c r="A35" s="30" t="s">
        <v>296</v>
      </c>
      <c r="B35" s="31" t="s">
        <v>201</v>
      </c>
      <c r="C35" s="41">
        <v>-161509.77871000001</v>
      </c>
      <c r="D35" s="41">
        <v>-326026.78236999997</v>
      </c>
      <c r="E35" s="41" t="s">
        <v>20</v>
      </c>
    </row>
    <row r="36" spans="1:5" x14ac:dyDescent="0.25">
      <c r="A36" s="30" t="s">
        <v>305</v>
      </c>
      <c r="B36" s="31" t="s">
        <v>308</v>
      </c>
      <c r="C36" s="41">
        <v>-9108.4152900000008</v>
      </c>
      <c r="D36" s="41">
        <v>-7715.5566799999997</v>
      </c>
      <c r="E36" s="41">
        <f>IF(OR(-9108.41529="",-7715.55668="",-9108.41529=0,-7715.55668=0),"-",-7715.55668/-9108.41529*100)</f>
        <v>84.708002812199396</v>
      </c>
    </row>
    <row r="37" spans="1:5" ht="25.5" x14ac:dyDescent="0.25">
      <c r="A37" s="28" t="s">
        <v>251</v>
      </c>
      <c r="B37" s="29" t="s">
        <v>158</v>
      </c>
      <c r="C37" s="39">
        <v>84021.545989999999</v>
      </c>
      <c r="D37" s="39">
        <v>86950.734049999999</v>
      </c>
      <c r="E37" s="39">
        <f>IF(84021.54599="","-",86950.73405/84021.54599*100)</f>
        <v>103.48623442414238</v>
      </c>
    </row>
    <row r="38" spans="1:5" x14ac:dyDescent="0.25">
      <c r="A38" s="30" t="s">
        <v>252</v>
      </c>
      <c r="B38" s="31" t="s">
        <v>204</v>
      </c>
      <c r="C38" s="41">
        <v>-1534.3927900000001</v>
      </c>
      <c r="D38" s="41">
        <v>-1876.4951799999999</v>
      </c>
      <c r="E38" s="41">
        <f>IF(OR(-1534.39279="",-1876.49518="",-1534.39279=0,-1876.49518=0),"-",-1876.49518/-1534.39279*100)</f>
        <v>122.29562027595293</v>
      </c>
    </row>
    <row r="39" spans="1:5" ht="14.25" customHeight="1" x14ac:dyDescent="0.25">
      <c r="A39" s="30" t="s">
        <v>253</v>
      </c>
      <c r="B39" s="31" t="s">
        <v>159</v>
      </c>
      <c r="C39" s="41">
        <v>87097.259550000002</v>
      </c>
      <c r="D39" s="41">
        <v>90812.186470000001</v>
      </c>
      <c r="E39" s="41">
        <f>IF(OR(87097.25955="",90812.18647="",87097.25955=0,90812.18647=0),"-",90812.18647/87097.25955*100)</f>
        <v>104.26526269505341</v>
      </c>
    </row>
    <row r="40" spans="1:5" ht="51" x14ac:dyDescent="0.25">
      <c r="A40" s="30" t="s">
        <v>254</v>
      </c>
      <c r="B40" s="31" t="s">
        <v>202</v>
      </c>
      <c r="C40" s="41">
        <v>-1541.32077</v>
      </c>
      <c r="D40" s="41">
        <v>-1984.95724</v>
      </c>
      <c r="E40" s="41">
        <f>IF(OR(-1541.32077="",-1984.95724="",-1541.32077=0,-1984.95724=0),"-",-1984.95724/-1541.32077*100)</f>
        <v>128.78287755766763</v>
      </c>
    </row>
    <row r="41" spans="1:5" ht="15" customHeight="1" x14ac:dyDescent="0.25">
      <c r="A41" s="28" t="s">
        <v>255</v>
      </c>
      <c r="B41" s="29" t="s">
        <v>160</v>
      </c>
      <c r="C41" s="39">
        <v>-631978.02382999996</v>
      </c>
      <c r="D41" s="39">
        <v>-797534.66018000001</v>
      </c>
      <c r="E41" s="39">
        <f>IF(-631978.02383="","-",-797534.66018/-631978.02383*100)</f>
        <v>126.19658122709252</v>
      </c>
    </row>
    <row r="42" spans="1:5" x14ac:dyDescent="0.25">
      <c r="A42" s="30" t="s">
        <v>256</v>
      </c>
      <c r="B42" s="31" t="s">
        <v>25</v>
      </c>
      <c r="C42" s="41">
        <v>34671.822820000001</v>
      </c>
      <c r="D42" s="41">
        <v>18836.001479999999</v>
      </c>
      <c r="E42" s="41">
        <f>IF(OR(34671.82282="",18836.00148="",34671.82282=0,18836.00148=0),"-",18836.00148/34671.82282*100)</f>
        <v>54.326539385563223</v>
      </c>
    </row>
    <row r="43" spans="1:5" x14ac:dyDescent="0.25">
      <c r="A43" s="30" t="s">
        <v>257</v>
      </c>
      <c r="B43" s="31" t="s">
        <v>26</v>
      </c>
      <c r="C43" s="41">
        <v>-12918.72329</v>
      </c>
      <c r="D43" s="41">
        <v>-13522.35577</v>
      </c>
      <c r="E43" s="41">
        <f>IF(OR(-12918.72329="",-13522.35577="",-12918.72329=0,-13522.35577=0),"-",-13522.35577/-12918.72329*100)</f>
        <v>104.67253974289592</v>
      </c>
    </row>
    <row r="44" spans="1:5" x14ac:dyDescent="0.25">
      <c r="A44" s="30" t="s">
        <v>258</v>
      </c>
      <c r="B44" s="31" t="s">
        <v>161</v>
      </c>
      <c r="C44" s="41">
        <v>-39127.106209999998</v>
      </c>
      <c r="D44" s="41">
        <v>-44861.050360000001</v>
      </c>
      <c r="E44" s="41">
        <f>IF(OR(-39127.10621="",-44861.05036="",-39127.10621=0,-44861.05036=0),"-",-44861.05036/-39127.10621*100)</f>
        <v>114.65465940472373</v>
      </c>
    </row>
    <row r="45" spans="1:5" x14ac:dyDescent="0.25">
      <c r="A45" s="30" t="s">
        <v>259</v>
      </c>
      <c r="B45" s="31" t="s">
        <v>162</v>
      </c>
      <c r="C45" s="41">
        <v>-180031.86575999999</v>
      </c>
      <c r="D45" s="41">
        <v>-216843.75737000001</v>
      </c>
      <c r="E45" s="41">
        <f>IF(OR(-180031.86576="",-216843.75737="",-180031.86576=0,-216843.75737=0),"-",-216843.75737/-180031.86576*100)</f>
        <v>120.44743104483173</v>
      </c>
    </row>
    <row r="46" spans="1:5" ht="38.25" x14ac:dyDescent="0.25">
      <c r="A46" s="30" t="s">
        <v>260</v>
      </c>
      <c r="B46" s="31" t="s">
        <v>163</v>
      </c>
      <c r="C46" s="41">
        <v>-92449.709279999995</v>
      </c>
      <c r="D46" s="41">
        <v>-115064.00348</v>
      </c>
      <c r="E46" s="41">
        <f>IF(OR(-92449.70928="",-115064.00348="",-92449.70928=0,-115064.00348=0),"-",-115064.00348/-92449.70928*100)</f>
        <v>124.46118476317616</v>
      </c>
    </row>
    <row r="47" spans="1:5" x14ac:dyDescent="0.25">
      <c r="A47" s="30" t="s">
        <v>261</v>
      </c>
      <c r="B47" s="31" t="s">
        <v>164</v>
      </c>
      <c r="C47" s="41">
        <v>-69175.937460000001</v>
      </c>
      <c r="D47" s="41">
        <v>-80120.760890000005</v>
      </c>
      <c r="E47" s="41">
        <f>IF(OR(-69175.93746="",-80120.76089="",-69175.93746=0,-80120.76089=0),"-",-80120.76089/-69175.93746*100)</f>
        <v>115.8217204303573</v>
      </c>
    </row>
    <row r="48" spans="1:5" x14ac:dyDescent="0.25">
      <c r="A48" s="30" t="s">
        <v>262</v>
      </c>
      <c r="B48" s="31" t="s">
        <v>27</v>
      </c>
      <c r="C48" s="41">
        <v>-41585.81493</v>
      </c>
      <c r="D48" s="41">
        <v>-63585.786350000002</v>
      </c>
      <c r="E48" s="41" t="s">
        <v>219</v>
      </c>
    </row>
    <row r="49" spans="1:5" x14ac:dyDescent="0.25">
      <c r="A49" s="30" t="s">
        <v>263</v>
      </c>
      <c r="B49" s="31" t="s">
        <v>28</v>
      </c>
      <c r="C49" s="41">
        <v>-109282.00765</v>
      </c>
      <c r="D49" s="41">
        <v>-141634.19284</v>
      </c>
      <c r="E49" s="41">
        <f>IF(OR(-109282.00765="",-141634.19284="",-109282.00765=0,-141634.19284=0),"-",-141634.19284/-109282.00765*100)</f>
        <v>129.60431079708482</v>
      </c>
    </row>
    <row r="50" spans="1:5" x14ac:dyDescent="0.25">
      <c r="A50" s="30" t="s">
        <v>264</v>
      </c>
      <c r="B50" s="31" t="s">
        <v>165</v>
      </c>
      <c r="C50" s="41">
        <v>-122078.68207</v>
      </c>
      <c r="D50" s="41">
        <v>-140738.75459999999</v>
      </c>
      <c r="E50" s="41">
        <f>IF(OR(-122078.68207="",-140738.7546="",-122078.68207=0,-140738.7546=0),"-",-140738.7546/-122078.68207*100)</f>
        <v>115.28528340378077</v>
      </c>
    </row>
    <row r="51" spans="1:5" ht="25.5" x14ac:dyDescent="0.25">
      <c r="A51" s="28" t="s">
        <v>265</v>
      </c>
      <c r="B51" s="29" t="s">
        <v>378</v>
      </c>
      <c r="C51" s="39">
        <v>-807655.32851000002</v>
      </c>
      <c r="D51" s="39">
        <v>-974042.59235000005</v>
      </c>
      <c r="E51" s="39">
        <f>IF(-807655.32851="","-",-974042.59235/-807655.32851*100)</f>
        <v>120.60127110743626</v>
      </c>
    </row>
    <row r="52" spans="1:5" x14ac:dyDescent="0.25">
      <c r="A52" s="30" t="s">
        <v>266</v>
      </c>
      <c r="B52" s="31" t="s">
        <v>166</v>
      </c>
      <c r="C52" s="41">
        <v>-42872.466520000002</v>
      </c>
      <c r="D52" s="41">
        <v>-49261.695659999998</v>
      </c>
      <c r="E52" s="41">
        <f>IF(OR(-42872.46652="",-49261.69566="",-42872.46652=0,-49261.69566=0),"-",-49261.69566/-42872.46652*100)</f>
        <v>114.90287277271398</v>
      </c>
    </row>
    <row r="53" spans="1:5" x14ac:dyDescent="0.25">
      <c r="A53" s="30" t="s">
        <v>267</v>
      </c>
      <c r="B53" s="31" t="s">
        <v>29</v>
      </c>
      <c r="C53" s="41">
        <v>-53381.22696</v>
      </c>
      <c r="D53" s="41">
        <v>-66906.78559</v>
      </c>
      <c r="E53" s="41">
        <f>IF(OR(-53381.22696="",-66906.78559="",-53381.22696=0,-66906.78559=0),"-",-66906.78559/-53381.22696*100)</f>
        <v>125.33766906507238</v>
      </c>
    </row>
    <row r="54" spans="1:5" x14ac:dyDescent="0.25">
      <c r="A54" s="30" t="s">
        <v>268</v>
      </c>
      <c r="B54" s="31" t="s">
        <v>167</v>
      </c>
      <c r="C54" s="41">
        <v>-64864.220289999997</v>
      </c>
      <c r="D54" s="41">
        <v>-81675.662590000007</v>
      </c>
      <c r="E54" s="41">
        <f>IF(OR(-64864.22029="",-81675.66259="",-64864.22029=0,-81675.66259=0),"-",-81675.66259/-64864.22029*100)</f>
        <v>125.91789776372568</v>
      </c>
    </row>
    <row r="55" spans="1:5" ht="25.5" x14ac:dyDescent="0.25">
      <c r="A55" s="30" t="s">
        <v>269</v>
      </c>
      <c r="B55" s="31" t="s">
        <v>168</v>
      </c>
      <c r="C55" s="41">
        <v>-76200.135819999996</v>
      </c>
      <c r="D55" s="41">
        <v>-91986.021900000007</v>
      </c>
      <c r="E55" s="41">
        <f>IF(OR(-76200.13582="",-91986.0219="",-76200.13582=0,-91986.0219=0),"-",-91986.0219/-76200.13582*100)</f>
        <v>120.71634900663359</v>
      </c>
    </row>
    <row r="56" spans="1:5" ht="25.5" x14ac:dyDescent="0.25">
      <c r="A56" s="30" t="s">
        <v>270</v>
      </c>
      <c r="B56" s="31" t="s">
        <v>169</v>
      </c>
      <c r="C56" s="41">
        <v>-180180.12375</v>
      </c>
      <c r="D56" s="41">
        <v>-217384.89563000001</v>
      </c>
      <c r="E56" s="41">
        <f>IF(OR(-180180.12375="",-217384.89563="",-180180.12375=0,-217384.89563=0),"-",-217384.89563/-180180.12375*100)</f>
        <v>120.64865486030061</v>
      </c>
    </row>
    <row r="57" spans="1:5" x14ac:dyDescent="0.25">
      <c r="A57" s="30" t="s">
        <v>271</v>
      </c>
      <c r="B57" s="31" t="s">
        <v>30</v>
      </c>
      <c r="C57" s="41">
        <v>-81180.708329999994</v>
      </c>
      <c r="D57" s="41">
        <v>-89420.882979999995</v>
      </c>
      <c r="E57" s="41">
        <f>IF(OR(-81180.70833="",-89420.88298="",-81180.70833=0,-89420.88298=0),"-",-89420.88298/-81180.70833*100)</f>
        <v>110.1504098935718</v>
      </c>
    </row>
    <row r="58" spans="1:5" x14ac:dyDescent="0.25">
      <c r="A58" s="30" t="s">
        <v>272</v>
      </c>
      <c r="B58" s="31" t="s">
        <v>170</v>
      </c>
      <c r="C58" s="41">
        <v>-120650.55624999999</v>
      </c>
      <c r="D58" s="41">
        <v>-152476.16227999999</v>
      </c>
      <c r="E58" s="41">
        <f>IF(OR(-120650.55625="",-152476.16228="",-120650.55625=0,-152476.16228=0),"-",-152476.16228/-120650.55625*100)</f>
        <v>126.378333444277</v>
      </c>
    </row>
    <row r="59" spans="1:5" x14ac:dyDescent="0.25">
      <c r="A59" s="30" t="s">
        <v>273</v>
      </c>
      <c r="B59" s="31" t="s">
        <v>31</v>
      </c>
      <c r="C59" s="41">
        <v>-57362.324919999999</v>
      </c>
      <c r="D59" s="41">
        <v>-67435.7696</v>
      </c>
      <c r="E59" s="41">
        <f>IF(OR(-57362.32492="",-67435.7696="",-57362.32492=0,-67435.7696=0),"-",-67435.7696/-57362.32492*100)</f>
        <v>117.56108158804383</v>
      </c>
    </row>
    <row r="60" spans="1:5" x14ac:dyDescent="0.25">
      <c r="A60" s="30" t="s">
        <v>274</v>
      </c>
      <c r="B60" s="31" t="s">
        <v>32</v>
      </c>
      <c r="C60" s="41">
        <v>-130963.56567</v>
      </c>
      <c r="D60" s="41">
        <v>-157494.71612</v>
      </c>
      <c r="E60" s="41">
        <f>IF(OR(-130963.56567="",-157494.71612="",-130963.56567=0,-157494.71612=0),"-",-157494.71612/-130963.56567*100)</f>
        <v>120.25842096942657</v>
      </c>
    </row>
    <row r="61" spans="1:5" x14ac:dyDescent="0.25">
      <c r="A61" s="28" t="s">
        <v>275</v>
      </c>
      <c r="B61" s="29" t="s">
        <v>171</v>
      </c>
      <c r="C61" s="39">
        <v>-759008.46828999999</v>
      </c>
      <c r="D61" s="39">
        <v>-1040842.8963200001</v>
      </c>
      <c r="E61" s="39">
        <f>IF(-759008.46829="","-",-1040842.89632/-759008.46829*100)</f>
        <v>137.131921421767</v>
      </c>
    </row>
    <row r="62" spans="1:5" ht="16.5" customHeight="1" x14ac:dyDescent="0.25">
      <c r="A62" s="30" t="s">
        <v>276</v>
      </c>
      <c r="B62" s="31" t="s">
        <v>172</v>
      </c>
      <c r="C62" s="41">
        <v>-16949.57143</v>
      </c>
      <c r="D62" s="41">
        <v>-22752.709360000001</v>
      </c>
      <c r="E62" s="41">
        <f>IF(OR(-16949.57143="",-22752.70936="",-16949.57143=0,-22752.70936=0),"-",-22752.70936/-16949.57143*100)</f>
        <v>134.2376676246144</v>
      </c>
    </row>
    <row r="63" spans="1:5" ht="25.5" x14ac:dyDescent="0.25">
      <c r="A63" s="30" t="s">
        <v>277</v>
      </c>
      <c r="B63" s="31" t="s">
        <v>173</v>
      </c>
      <c r="C63" s="41">
        <v>-136505.18642000001</v>
      </c>
      <c r="D63" s="41">
        <v>-208979.17350999999</v>
      </c>
      <c r="E63" s="41" t="s">
        <v>219</v>
      </c>
    </row>
    <row r="64" spans="1:5" x14ac:dyDescent="0.25">
      <c r="A64" s="30" t="s">
        <v>278</v>
      </c>
      <c r="B64" s="31" t="s">
        <v>174</v>
      </c>
      <c r="C64" s="41">
        <v>-10672.31098</v>
      </c>
      <c r="D64" s="41">
        <v>-12144.512409999999</v>
      </c>
      <c r="E64" s="41">
        <f>IF(OR(-10672.31098="",-12144.51241="",-10672.31098=0,-12144.51241=0),"-",-12144.51241/-10672.31098*100)</f>
        <v>113.7945889391615</v>
      </c>
    </row>
    <row r="65" spans="1:5" ht="25.5" x14ac:dyDescent="0.25">
      <c r="A65" s="30" t="s">
        <v>279</v>
      </c>
      <c r="B65" s="31" t="s">
        <v>175</v>
      </c>
      <c r="C65" s="41">
        <v>-164503.83213</v>
      </c>
      <c r="D65" s="41">
        <v>-202312.7297</v>
      </c>
      <c r="E65" s="41">
        <f>IF(OR(-164503.83213="",-202312.7297="",-164503.83213=0,-202312.7297=0),"-",-202312.7297/-164503.83213*100)</f>
        <v>122.9835968441886</v>
      </c>
    </row>
    <row r="66" spans="1:5" ht="27.75" customHeight="1" x14ac:dyDescent="0.25">
      <c r="A66" s="30" t="s">
        <v>280</v>
      </c>
      <c r="B66" s="31" t="s">
        <v>176</v>
      </c>
      <c r="C66" s="41">
        <v>-50770.127840000001</v>
      </c>
      <c r="D66" s="41">
        <v>-67310.301919999998</v>
      </c>
      <c r="E66" s="41">
        <f>IF(OR(-50770.12784="",-67310.30192="",-50770.12784=0,-67310.30192=0),"-",-67310.30192/-50770.12784*100)</f>
        <v>132.57855511438871</v>
      </c>
    </row>
    <row r="67" spans="1:5" ht="29.25" customHeight="1" x14ac:dyDescent="0.25">
      <c r="A67" s="30" t="s">
        <v>281</v>
      </c>
      <c r="B67" s="31" t="s">
        <v>177</v>
      </c>
      <c r="C67" s="41">
        <v>-148172.68489</v>
      </c>
      <c r="D67" s="41">
        <v>-169988.37450999999</v>
      </c>
      <c r="E67" s="41">
        <f>IF(OR(-148172.68489="",-169988.37451="",-148172.68489=0,-169988.37451=0),"-",-169988.37451/-148172.68489*100)</f>
        <v>114.72315200078573</v>
      </c>
    </row>
    <row r="68" spans="1:5" ht="15" customHeight="1" x14ac:dyDescent="0.25">
      <c r="A68" s="30" t="s">
        <v>282</v>
      </c>
      <c r="B68" s="31" t="s">
        <v>178</v>
      </c>
      <c r="C68" s="41">
        <v>57117.996529999997</v>
      </c>
      <c r="D68" s="41">
        <v>-3299.3616099999999</v>
      </c>
      <c r="E68" s="41" t="s">
        <v>22</v>
      </c>
    </row>
    <row r="69" spans="1:5" x14ac:dyDescent="0.25">
      <c r="A69" s="30" t="s">
        <v>283</v>
      </c>
      <c r="B69" s="31" t="s">
        <v>179</v>
      </c>
      <c r="C69" s="41">
        <v>-236686.63091000001</v>
      </c>
      <c r="D69" s="41">
        <v>-351572.77585999999</v>
      </c>
      <c r="E69" s="41">
        <f>IF(OR(-236686.63091="",-351572.77586="",-236686.63091=0,-351572.77586=0),"-",-351572.77586/-236686.63091*100)</f>
        <v>148.53934694506907</v>
      </c>
    </row>
    <row r="70" spans="1:5" x14ac:dyDescent="0.25">
      <c r="A70" s="30" t="s">
        <v>284</v>
      </c>
      <c r="B70" s="31" t="s">
        <v>33</v>
      </c>
      <c r="C70" s="41">
        <v>-51866.120219999997</v>
      </c>
      <c r="D70" s="41">
        <v>-2482.9574400000001</v>
      </c>
      <c r="E70" s="41">
        <f>IF(OR(-51866.12022="",-2482.95744="",-51866.12022=0,-2482.95744=0),"-",-2482.95744/-51866.12022*100)</f>
        <v>4.7872434442138037</v>
      </c>
    </row>
    <row r="71" spans="1:5" x14ac:dyDescent="0.25">
      <c r="A71" s="28" t="s">
        <v>285</v>
      </c>
      <c r="B71" s="29" t="s">
        <v>34</v>
      </c>
      <c r="C71" s="39">
        <v>-62981.32806</v>
      </c>
      <c r="D71" s="39">
        <v>-204092.32902</v>
      </c>
      <c r="E71" s="39" t="s">
        <v>356</v>
      </c>
    </row>
    <row r="72" spans="1:5" ht="25.5" x14ac:dyDescent="0.25">
      <c r="A72" s="30" t="s">
        <v>286</v>
      </c>
      <c r="B72" s="31" t="s">
        <v>205</v>
      </c>
      <c r="C72" s="41">
        <v>-39098.444880000003</v>
      </c>
      <c r="D72" s="41">
        <v>-55770.231529999997</v>
      </c>
      <c r="E72" s="41">
        <f>IF(OR(-39098.44488="",-55770.23153="",-39098.44488=0,-55770.23153=0),"-",-55770.23153/-39098.44488*100)</f>
        <v>142.6405364744522</v>
      </c>
    </row>
    <row r="73" spans="1:5" x14ac:dyDescent="0.25">
      <c r="A73" s="30" t="s">
        <v>287</v>
      </c>
      <c r="B73" s="31" t="s">
        <v>180</v>
      </c>
      <c r="C73" s="41">
        <v>76880.999419999993</v>
      </c>
      <c r="D73" s="41">
        <v>78178.159809999997</v>
      </c>
      <c r="E73" s="41">
        <f>IF(OR(76880.99942="",78178.15981="",76880.99942=0,78178.15981=0),"-",78178.15981/76880.99942*100)</f>
        <v>101.68723143531686</v>
      </c>
    </row>
    <row r="74" spans="1:5" x14ac:dyDescent="0.25">
      <c r="A74" s="30" t="s">
        <v>288</v>
      </c>
      <c r="B74" s="31" t="s">
        <v>181</v>
      </c>
      <c r="C74" s="41">
        <v>2926.2902300000001</v>
      </c>
      <c r="D74" s="41">
        <v>2241.6037999999999</v>
      </c>
      <c r="E74" s="41">
        <f>IF(OR(2926.29023="",2241.6038="",2926.29023=0,2241.6038=0),"-",2241.6038/2926.29023*100)</f>
        <v>76.602237775984378</v>
      </c>
    </row>
    <row r="75" spans="1:5" x14ac:dyDescent="0.25">
      <c r="A75" s="30" t="s">
        <v>289</v>
      </c>
      <c r="B75" s="31" t="s">
        <v>182</v>
      </c>
      <c r="C75" s="41">
        <v>94382.652319999994</v>
      </c>
      <c r="D75" s="41">
        <v>67889.905499999993</v>
      </c>
      <c r="E75" s="41">
        <f>IF(OR(94382.65232="",67889.9055="",94382.65232=0,67889.9055=0),"-",67889.9055/94382.65232*100)</f>
        <v>71.930491283315945</v>
      </c>
    </row>
    <row r="76" spans="1:5" x14ac:dyDescent="0.25">
      <c r="A76" s="30" t="s">
        <v>290</v>
      </c>
      <c r="B76" s="31" t="s">
        <v>183</v>
      </c>
      <c r="C76" s="41">
        <v>-5274.1229700000004</v>
      </c>
      <c r="D76" s="41">
        <v>-13748.895109999999</v>
      </c>
      <c r="E76" s="41" t="s">
        <v>294</v>
      </c>
    </row>
    <row r="77" spans="1:5" ht="25.5" x14ac:dyDescent="0.25">
      <c r="A77" s="30" t="s">
        <v>291</v>
      </c>
      <c r="B77" s="31" t="s">
        <v>206</v>
      </c>
      <c r="C77" s="41">
        <v>-32738.529750000002</v>
      </c>
      <c r="D77" s="41">
        <v>-61087.79335</v>
      </c>
      <c r="E77" s="41" t="s">
        <v>105</v>
      </c>
    </row>
    <row r="78" spans="1:5" ht="25.5" x14ac:dyDescent="0.25">
      <c r="A78" s="30" t="s">
        <v>292</v>
      </c>
      <c r="B78" s="31" t="s">
        <v>184</v>
      </c>
      <c r="C78" s="41">
        <v>-7104.4318199999998</v>
      </c>
      <c r="D78" s="41">
        <v>-11489.52831</v>
      </c>
      <c r="E78" s="41" t="s">
        <v>104</v>
      </c>
    </row>
    <row r="79" spans="1:5" x14ac:dyDescent="0.25">
      <c r="A79" s="68" t="s">
        <v>293</v>
      </c>
      <c r="B79" s="69" t="s">
        <v>35</v>
      </c>
      <c r="C79" s="41">
        <v>-152955.74061000001</v>
      </c>
      <c r="D79" s="41">
        <v>-210305.54983</v>
      </c>
      <c r="E79" s="41">
        <f>IF(OR(-152955.74061="",-210305.54983="",-152955.74061=0,-210305.54983=0),"-",-210305.54983/-152955.74061*100)</f>
        <v>137.49438170236976</v>
      </c>
    </row>
    <row r="80" spans="1:5" x14ac:dyDescent="0.25">
      <c r="A80" s="34" t="s">
        <v>297</v>
      </c>
      <c r="B80" s="47" t="s">
        <v>185</v>
      </c>
      <c r="C80" s="81">
        <v>229.85377</v>
      </c>
      <c r="D80" s="81">
        <v>369.62583999999998</v>
      </c>
      <c r="E80" s="81" t="s">
        <v>104</v>
      </c>
    </row>
    <row r="81" spans="1:5" x14ac:dyDescent="0.25">
      <c r="A81" s="70" t="s">
        <v>300</v>
      </c>
      <c r="B81" s="71"/>
      <c r="C81" s="41"/>
      <c r="D81" s="41"/>
      <c r="E81" s="86"/>
    </row>
    <row r="82" spans="1:5" x14ac:dyDescent="0.25">
      <c r="C82" s="41"/>
      <c r="D82" s="41"/>
      <c r="E82" s="86"/>
    </row>
    <row r="83" spans="1:5" x14ac:dyDescent="0.25">
      <c r="C83" s="41"/>
      <c r="D83" s="41"/>
      <c r="E83" s="86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2022-01-12T07:55:37Z</cp:lastPrinted>
  <dcterms:created xsi:type="dcterms:W3CDTF">2016-09-01T07:59:47Z</dcterms:created>
  <dcterms:modified xsi:type="dcterms:W3CDTF">2022-01-12T07:56:25Z</dcterms:modified>
</cp:coreProperties>
</file>