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8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tables/table1.xml" ContentType="application/vnd.openxmlformats-officedocument.spreadsheetml.tab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Doina Vudvud\Desktop\Nota informativa\"/>
    </mc:Choice>
  </mc:AlternateContent>
  <xr:revisionPtr revIDLastSave="0" documentId="13_ncr:1_{00E79409-E3A2-48CA-849F-0926C3F56226}" xr6:coauthVersionLast="37" xr6:coauthVersionMax="37" xr10:uidLastSave="{00000000-0000-0000-0000-000000000000}"/>
  <bookViews>
    <workbookView xWindow="0" yWindow="0" windowWidth="20400" windowHeight="6855" tabRatio="857" xr2:uid="{00000000-000D-0000-FFFF-FFFF00000000}"/>
  </bookViews>
  <sheets>
    <sheet name="Figura 1" sheetId="1" r:id="rId1"/>
    <sheet name="Figura 2" sheetId="2" r:id="rId2"/>
    <sheet name="Figura 3" sheetId="3" r:id="rId3"/>
    <sheet name="Figura 4" sheetId="4" r:id="rId4"/>
    <sheet name="Figura 5" sheetId="5" r:id="rId5"/>
    <sheet name="Figura 6" sheetId="17" r:id="rId6"/>
    <sheet name="Figura 7" sheetId="7" r:id="rId7"/>
    <sheet name="Figura 8" sheetId="8" r:id="rId8"/>
    <sheet name="Figura 9" sheetId="9" r:id="rId9"/>
    <sheet name="Figura 10" sheetId="10" r:id="rId10"/>
    <sheet name="Figura 11" sheetId="16" r:id="rId11"/>
    <sheet name="Figura 12" sheetId="12" r:id="rId12"/>
    <sheet name="Figura 13" sheetId="13" r:id="rId13"/>
    <sheet name="Figura 14" sheetId="14" r:id="rId14"/>
  </sheets>
  <calcPr calcId="17902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6" l="1"/>
  <c r="F40" i="16"/>
  <c r="E40" i="16"/>
  <c r="D40" i="16"/>
  <c r="C40" i="16"/>
  <c r="B40" i="16"/>
  <c r="G39" i="16"/>
  <c r="F39" i="16"/>
  <c r="E39" i="16"/>
  <c r="D39" i="16"/>
  <c r="C39" i="16"/>
  <c r="B39" i="16"/>
  <c r="G38" i="16"/>
  <c r="F38" i="16"/>
  <c r="E38" i="16"/>
  <c r="D38" i="16"/>
  <c r="C38" i="16"/>
  <c r="B38" i="16"/>
  <c r="G37" i="16"/>
  <c r="F37" i="16"/>
  <c r="E37" i="16"/>
  <c r="D37" i="16"/>
  <c r="C37" i="16"/>
  <c r="B37" i="16"/>
  <c r="G36" i="16"/>
  <c r="F36" i="16"/>
  <c r="E36" i="16"/>
  <c r="D36" i="16"/>
  <c r="C36" i="16"/>
  <c r="B36" i="16"/>
  <c r="G35" i="16"/>
  <c r="F35" i="16"/>
  <c r="E35" i="16"/>
  <c r="D35" i="16"/>
  <c r="C35" i="16"/>
  <c r="B35" i="16"/>
  <c r="G34" i="16"/>
  <c r="F34" i="16"/>
  <c r="E34" i="16"/>
  <c r="D34" i="16"/>
  <c r="C34" i="16"/>
  <c r="B34" i="16"/>
  <c r="G33" i="16"/>
  <c r="F33" i="16"/>
  <c r="E33" i="16"/>
  <c r="D33" i="16"/>
  <c r="C33" i="16"/>
  <c r="B33" i="16"/>
  <c r="G32" i="16"/>
  <c r="F32" i="16"/>
  <c r="E32" i="16"/>
  <c r="D32" i="16"/>
  <c r="C32" i="16"/>
  <c r="B32" i="16"/>
  <c r="G31" i="16"/>
  <c r="F31" i="16"/>
  <c r="E31" i="16"/>
  <c r="D31" i="16"/>
  <c r="C31" i="16"/>
  <c r="B31" i="16"/>
  <c r="G30" i="16"/>
  <c r="F30" i="16"/>
  <c r="E30" i="16"/>
  <c r="D30" i="16"/>
  <c r="C30" i="16"/>
  <c r="B30" i="16"/>
  <c r="G29" i="16"/>
  <c r="F29" i="16"/>
  <c r="E29" i="16"/>
  <c r="D29" i="16"/>
  <c r="C29" i="16"/>
  <c r="B29" i="16"/>
  <c r="G28" i="16"/>
  <c r="F28" i="16"/>
  <c r="E28" i="16"/>
  <c r="D28" i="16"/>
  <c r="C28" i="16"/>
  <c r="B28" i="16"/>
  <c r="G27" i="16"/>
  <c r="F27" i="16"/>
  <c r="E27" i="16"/>
  <c r="D27" i="16"/>
  <c r="C27" i="16"/>
  <c r="B27" i="16"/>
  <c r="G26" i="16"/>
  <c r="F26" i="16"/>
  <c r="E26" i="16"/>
  <c r="D26" i="16"/>
  <c r="C26" i="16"/>
  <c r="B26" i="16"/>
  <c r="G25" i="16"/>
  <c r="F25" i="16"/>
  <c r="E25" i="16"/>
  <c r="D25" i="16"/>
  <c r="C25" i="16"/>
  <c r="B25" i="16"/>
  <c r="G24" i="16"/>
  <c r="F24" i="16"/>
  <c r="E24" i="16"/>
  <c r="D24" i="16"/>
  <c r="C24" i="16"/>
  <c r="B24" i="16"/>
  <c r="G40" i="5"/>
  <c r="F40" i="5"/>
  <c r="E40" i="5"/>
  <c r="D40" i="5"/>
  <c r="C40" i="5"/>
  <c r="B40" i="5"/>
  <c r="G39" i="5"/>
  <c r="F39" i="5"/>
  <c r="E39" i="5"/>
  <c r="D39" i="5"/>
  <c r="C39" i="5"/>
  <c r="B39" i="5"/>
  <c r="G38" i="5"/>
  <c r="F38" i="5"/>
  <c r="E38" i="5"/>
  <c r="D38" i="5"/>
  <c r="C38" i="5"/>
  <c r="B38" i="5"/>
  <c r="G37" i="5"/>
  <c r="F37" i="5"/>
  <c r="E37" i="5"/>
  <c r="D37" i="5"/>
  <c r="C37" i="5"/>
  <c r="B37" i="5"/>
  <c r="G36" i="5"/>
  <c r="F36" i="5"/>
  <c r="E36" i="5"/>
  <c r="D36" i="5"/>
  <c r="C36" i="5"/>
  <c r="B36" i="5"/>
  <c r="G35" i="5"/>
  <c r="F35" i="5"/>
  <c r="E35" i="5"/>
  <c r="D35" i="5"/>
  <c r="C35" i="5"/>
  <c r="B35" i="5"/>
  <c r="G34" i="5"/>
  <c r="F34" i="5"/>
  <c r="E34" i="5"/>
  <c r="D34" i="5"/>
  <c r="C34" i="5"/>
  <c r="B34" i="5"/>
  <c r="G33" i="5"/>
  <c r="F33" i="5"/>
  <c r="E33" i="5"/>
  <c r="D33" i="5"/>
  <c r="C33" i="5"/>
  <c r="B33" i="5"/>
  <c r="G32" i="5"/>
  <c r="F32" i="5"/>
  <c r="E32" i="5"/>
  <c r="D32" i="5"/>
  <c r="C32" i="5"/>
  <c r="B32" i="5"/>
  <c r="G31" i="5"/>
  <c r="F31" i="5"/>
  <c r="E31" i="5"/>
  <c r="D31" i="5"/>
  <c r="C31" i="5"/>
  <c r="B31" i="5"/>
  <c r="G30" i="5"/>
  <c r="F30" i="5"/>
  <c r="E30" i="5"/>
  <c r="D30" i="5"/>
  <c r="C30" i="5"/>
  <c r="B30" i="5"/>
  <c r="G29" i="5"/>
  <c r="F29" i="5"/>
  <c r="E29" i="5"/>
  <c r="D29" i="5"/>
  <c r="C29" i="5"/>
  <c r="B29" i="5"/>
  <c r="G28" i="5"/>
  <c r="F28" i="5"/>
  <c r="E28" i="5"/>
  <c r="D28" i="5"/>
  <c r="C28" i="5"/>
  <c r="B28" i="5"/>
  <c r="G27" i="5"/>
  <c r="F27" i="5"/>
  <c r="E27" i="5"/>
  <c r="D27" i="5"/>
  <c r="C27" i="5"/>
  <c r="B27" i="5"/>
  <c r="G26" i="5"/>
  <c r="F26" i="5"/>
  <c r="E26" i="5"/>
  <c r="D26" i="5"/>
  <c r="C26" i="5"/>
  <c r="B26" i="5"/>
  <c r="G25" i="5"/>
  <c r="F25" i="5"/>
  <c r="E25" i="5"/>
  <c r="D25" i="5"/>
  <c r="C25" i="5"/>
  <c r="B25" i="5"/>
  <c r="G25" i="10" l="1"/>
  <c r="F25" i="10"/>
  <c r="E25" i="10"/>
  <c r="D25" i="10"/>
  <c r="C25" i="10"/>
  <c r="B25" i="10"/>
  <c r="G24" i="10"/>
  <c r="F24" i="10"/>
  <c r="E24" i="10"/>
  <c r="D24" i="10"/>
  <c r="C24" i="10"/>
  <c r="B24" i="10"/>
  <c r="G23" i="10"/>
  <c r="F23" i="10"/>
  <c r="E23" i="10"/>
  <c r="D23" i="10"/>
  <c r="C23" i="10"/>
  <c r="B23" i="10"/>
  <c r="G23" i="4"/>
  <c r="F23" i="4"/>
  <c r="E23" i="4"/>
  <c r="D23" i="4"/>
  <c r="C23" i="4"/>
  <c r="B23" i="4"/>
  <c r="G22" i="4"/>
  <c r="F22" i="4"/>
  <c r="E22" i="4"/>
  <c r="D22" i="4"/>
  <c r="C22" i="4"/>
  <c r="B22" i="4"/>
  <c r="G21" i="4"/>
  <c r="F21" i="4"/>
  <c r="E21" i="4"/>
  <c r="D21" i="4"/>
  <c r="C21" i="4"/>
  <c r="B21" i="4"/>
  <c r="AC27" i="8" l="1"/>
  <c r="AC26" i="2"/>
  <c r="AB26" i="2"/>
  <c r="T26" i="2"/>
  <c r="AB27" i="8" l="1"/>
  <c r="AA27" i="8" l="1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AA26" i="2" l="1"/>
  <c r="Z26" i="2"/>
  <c r="Y26" i="2"/>
  <c r="X26" i="2"/>
  <c r="W26" i="2"/>
  <c r="V26" i="2"/>
  <c r="U26" i="2"/>
  <c r="S26" i="2"/>
  <c r="R26" i="2"/>
  <c r="Q26" i="2"/>
  <c r="P26" i="2"/>
  <c r="O26" i="2"/>
  <c r="N26" i="2"/>
  <c r="M27" i="8" l="1"/>
  <c r="L27" i="8"/>
  <c r="K27" i="8"/>
  <c r="J27" i="8"/>
  <c r="I27" i="8"/>
  <c r="H27" i="8"/>
  <c r="G27" i="8"/>
  <c r="F27" i="8"/>
  <c r="E27" i="8"/>
  <c r="D27" i="8"/>
  <c r="C27" i="8"/>
  <c r="B27" i="8"/>
  <c r="M26" i="2" l="1"/>
  <c r="L26" i="2"/>
  <c r="K26" i="2"/>
  <c r="J26" i="2"/>
  <c r="I26" i="2"/>
  <c r="H26" i="2"/>
  <c r="G26" i="2"/>
  <c r="F26" i="2"/>
  <c r="E26" i="2"/>
  <c r="D26" i="2"/>
  <c r="C26" i="2"/>
  <c r="B26" i="2"/>
</calcChain>
</file>

<file path=xl/sharedStrings.xml><?xml version="1.0" encoding="utf-8"?>
<sst xmlns="http://schemas.openxmlformats.org/spreadsheetml/2006/main" count="256" uniqueCount="101">
  <si>
    <t xml:space="preserve"> 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</si>
  <si>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</si>
  <si>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</si>
  <si>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</si>
  <si>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</si>
  <si>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</si>
  <si>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</si>
  <si>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</si>
  <si>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</si>
  <si>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</si>
  <si>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</si>
  <si>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</si>
  <si>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</si>
  <si>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I</t>
  </si>
  <si>
    <t>II</t>
  </si>
  <si>
    <t>III</t>
  </si>
  <si>
    <t>IV</t>
  </si>
  <si>
    <t>V</t>
  </si>
  <si>
    <t xml:space="preserve">VI </t>
  </si>
  <si>
    <t>VII</t>
  </si>
  <si>
    <t xml:space="preserve">VIII </t>
  </si>
  <si>
    <t>IX</t>
  </si>
  <si>
    <t xml:space="preserve">X </t>
  </si>
  <si>
    <t>XI</t>
  </si>
  <si>
    <t>XII</t>
  </si>
  <si>
    <t>VI</t>
  </si>
  <si>
    <t>VIII</t>
  </si>
  <si>
    <t>X</t>
  </si>
  <si>
    <t>Moduri de transport</t>
  </si>
  <si>
    <t>Transport maritim</t>
  </si>
  <si>
    <t>Transport feroviar</t>
  </si>
  <si>
    <t>Transport rutier</t>
  </si>
  <si>
    <t>Transport aerian</t>
  </si>
  <si>
    <t xml:space="preserve">Ţările Uniunii Europene </t>
  </si>
  <si>
    <t xml:space="preserve">Ţările CSI </t>
  </si>
  <si>
    <t xml:space="preserve">Celelalte ţări ale lumii </t>
  </si>
  <si>
    <t>România</t>
  </si>
  <si>
    <t>Germania</t>
  </si>
  <si>
    <t>Turcia</t>
  </si>
  <si>
    <t>Federaţia Rusă</t>
  </si>
  <si>
    <t>Italia</t>
  </si>
  <si>
    <t>Polonia</t>
  </si>
  <si>
    <t>Ucraina</t>
  </si>
  <si>
    <t>Republica Cehă</t>
  </si>
  <si>
    <t>Belarus</t>
  </si>
  <si>
    <t>Ungaria</t>
  </si>
  <si>
    <t>Elveţia</t>
  </si>
  <si>
    <t>Spania</t>
  </si>
  <si>
    <t>Bulgaria</t>
  </si>
  <si>
    <t>Olanda</t>
  </si>
  <si>
    <t>Franţa</t>
  </si>
  <si>
    <t xml:space="preserve">Regatul Unit </t>
  </si>
  <si>
    <t>%</t>
  </si>
  <si>
    <t>Produse alimentare și animale vii</t>
  </si>
  <si>
    <t>Băuturi și tutun</t>
  </si>
  <si>
    <t>Materiale brute necomestibile</t>
  </si>
  <si>
    <t>Combustibili minerali</t>
  </si>
  <si>
    <t xml:space="preserve">Uleiuri și grăsimi </t>
  </si>
  <si>
    <t>Produse chimice</t>
  </si>
  <si>
    <t xml:space="preserve">Mărfuri manufacturate </t>
  </si>
  <si>
    <t>Mașini și echipamente pentru transport</t>
  </si>
  <si>
    <t>Articole manufacturate diverse</t>
  </si>
  <si>
    <t>Expedieri poştale</t>
  </si>
  <si>
    <t>Instalaţii fixe de transport</t>
  </si>
  <si>
    <t>Autopropulsie</t>
  </si>
  <si>
    <t>Ţările Uniunii Europene - total</t>
  </si>
  <si>
    <t>Ţările CSI - total</t>
  </si>
  <si>
    <t>Celelalte ţări ale lumii - total</t>
  </si>
  <si>
    <t>Uleiuri și grăsimi</t>
  </si>
  <si>
    <t xml:space="preserve">Produse chimice </t>
  </si>
  <si>
    <t>China</t>
  </si>
  <si>
    <t>Austria</t>
  </si>
  <si>
    <t>S.U.A.</t>
  </si>
  <si>
    <t>Perioada</t>
  </si>
  <si>
    <t>Export</t>
  </si>
  <si>
    <t>Import</t>
  </si>
  <si>
    <t>Balanţa Comercială</t>
  </si>
  <si>
    <t>În % faţă de luna precedentă</t>
  </si>
  <si>
    <t>În % faţă de luna corespunzătoare din anul precedent</t>
  </si>
  <si>
    <t>Ianuarie - aprilie 2021</t>
  </si>
  <si>
    <t>Ianuarie - aprilie 2020</t>
  </si>
  <si>
    <t>Ianuarie - aprilie 2019</t>
  </si>
  <si>
    <t>Ianuarie - aprilie 2018</t>
  </si>
  <si>
    <t>Ianuarie - aprilie 2017</t>
  </si>
  <si>
    <t>Ianuarie - aprilie 2016</t>
  </si>
  <si>
    <t xml:space="preserve"> Ianuarie - aprilie 2016</t>
  </si>
  <si>
    <t xml:space="preserve"> Ianuarie - aprilie 2019</t>
  </si>
  <si>
    <r>
      <rPr>
        <b/>
        <sz val="9"/>
        <color theme="1"/>
        <rFont val="Arial"/>
        <family val="2"/>
        <charset val="204"/>
      </rPr>
      <t>Figura 14.</t>
    </r>
    <r>
      <rPr>
        <b/>
        <i/>
        <sz val="9"/>
        <color theme="1"/>
        <rFont val="Arial"/>
        <family val="2"/>
        <charset val="204"/>
      </rPr>
      <t xml:space="preserve"> Tendinţele comerţului internaţional cu mărfuri, în ianuarie-aprilie 2016-2021 (milioane dolari SUA)</t>
    </r>
  </si>
  <si>
    <r>
      <t xml:space="preserve">Figura 13. </t>
    </r>
    <r>
      <rPr>
        <b/>
        <i/>
        <sz val="9"/>
        <color indexed="8"/>
        <rFont val="Arial"/>
        <family val="2"/>
        <charset val="204"/>
      </rPr>
      <t>Evoluţia lunară a balanţei comerciale, în anii 2016-2021 (milioane dolari SUA)</t>
    </r>
  </si>
  <si>
    <r>
      <t xml:space="preserve">Figura 12. </t>
    </r>
    <r>
      <rPr>
        <b/>
        <i/>
        <sz val="9"/>
        <color indexed="8"/>
        <rFont val="Arial"/>
        <family val="2"/>
        <charset val="204"/>
      </rPr>
      <t>Structura importurilor, pe secțiuni de mărfuri (%)</t>
    </r>
  </si>
  <si>
    <r>
      <rPr>
        <b/>
        <sz val="9"/>
        <color indexed="8"/>
        <rFont val="Arial"/>
        <family val="2"/>
        <charset val="204"/>
      </rPr>
      <t>Figura 11.</t>
    </r>
    <r>
      <rPr>
        <b/>
        <i/>
        <sz val="9"/>
        <color indexed="8"/>
        <rFont val="Arial"/>
        <family val="2"/>
        <charset val="204"/>
      </rPr>
      <t xml:space="preserve"> Structura importurilor, în ianuarie-aprilie 2016-2021, pe principalele ţări de origine a mărfurilor (%)</t>
    </r>
  </si>
  <si>
    <r>
      <rPr>
        <b/>
        <sz val="9"/>
        <color indexed="8"/>
        <rFont val="Arial"/>
        <family val="2"/>
        <charset val="204"/>
      </rPr>
      <t>Figura 10.</t>
    </r>
    <r>
      <rPr>
        <b/>
        <i/>
        <sz val="9"/>
        <color indexed="8"/>
        <rFont val="Arial"/>
        <family val="2"/>
        <charset val="204"/>
      </rPr>
      <t xml:space="preserve"> Structura importurilor de mărfuri, în ianuarie-aprilie 2016-2021, pe grupe de ţări (%)</t>
    </r>
  </si>
  <si>
    <r>
      <rPr>
        <b/>
        <sz val="9"/>
        <color indexed="8"/>
        <rFont val="Arial"/>
        <family val="2"/>
        <charset val="204"/>
      </rPr>
      <t xml:space="preserve">Figura 9. </t>
    </r>
    <r>
      <rPr>
        <b/>
        <i/>
        <sz val="9"/>
        <color indexed="8"/>
        <rFont val="Arial"/>
        <family val="2"/>
        <charset val="204"/>
      </rPr>
      <t>Structura importurilor de mărfuri, în ianuarie-aprilie 2016-2021, după modul de transport, (%)</t>
    </r>
  </si>
  <si>
    <r>
      <t xml:space="preserve">Figura 8. </t>
    </r>
    <r>
      <rPr>
        <b/>
        <i/>
        <sz val="9"/>
        <color indexed="8"/>
        <rFont val="Arial"/>
        <family val="2"/>
        <charset val="204"/>
      </rPr>
      <t>Evoluţia lunară a indicilor valorici ai importurilor de mărfuri, în anii 2019-2021 (%)</t>
    </r>
  </si>
  <si>
    <r>
      <rPr>
        <b/>
        <sz val="9"/>
        <color indexed="8"/>
        <rFont val="Arial"/>
        <family val="2"/>
        <charset val="204"/>
      </rPr>
      <t>Figura 7.</t>
    </r>
    <r>
      <rPr>
        <b/>
        <i/>
        <sz val="9"/>
        <color indexed="8"/>
        <rFont val="Arial"/>
        <family val="2"/>
        <charset val="204"/>
      </rPr>
      <t xml:space="preserve"> Evoluţia lunară a importurilor de mărfuri, în anii 2016-2021 (milioane dolari SUA)</t>
    </r>
  </si>
  <si>
    <r>
      <t xml:space="preserve">Figura 6. </t>
    </r>
    <r>
      <rPr>
        <b/>
        <i/>
        <sz val="9"/>
        <color indexed="8"/>
        <rFont val="Arial"/>
        <family val="2"/>
        <charset val="204"/>
      </rPr>
      <t>Structura exporturilor, pe secțiuni de mărfuri (%)</t>
    </r>
  </si>
  <si>
    <r>
      <rPr>
        <b/>
        <sz val="9"/>
        <color indexed="8"/>
        <rFont val="Arial"/>
        <family val="2"/>
        <charset val="204"/>
      </rPr>
      <t xml:space="preserve">Figura 5. </t>
    </r>
    <r>
      <rPr>
        <b/>
        <i/>
        <sz val="9"/>
        <color indexed="8"/>
        <rFont val="Arial"/>
        <family val="2"/>
        <charset val="204"/>
      </rPr>
      <t>Structura exporturilor, în ianuarie-aprilie 2016-2021, pe principalele ţări de destinaţie a mărfurilor (%)</t>
    </r>
  </si>
  <si>
    <r>
      <rPr>
        <b/>
        <sz val="9"/>
        <color indexed="8"/>
        <rFont val="Arial"/>
        <family val="2"/>
        <charset val="204"/>
      </rPr>
      <t>Figura 4.</t>
    </r>
    <r>
      <rPr>
        <b/>
        <i/>
        <sz val="9"/>
        <color indexed="8"/>
        <rFont val="Arial"/>
        <family val="2"/>
        <charset val="204"/>
      </rPr>
      <t xml:space="preserve"> Structura exporturilor de mărfuri, în ianuarie-aprilie 2016-2021, pe grupe de ţări, (%)</t>
    </r>
  </si>
  <si>
    <r>
      <rPr>
        <b/>
        <sz val="9"/>
        <color indexed="8"/>
        <rFont val="Arial"/>
        <family val="2"/>
        <charset val="204"/>
      </rPr>
      <t>Figura 3.</t>
    </r>
    <r>
      <rPr>
        <b/>
        <i/>
        <sz val="9"/>
        <color indexed="8"/>
        <rFont val="Arial"/>
        <family val="2"/>
        <charset val="204"/>
      </rPr>
      <t xml:space="preserve"> Structura exporturilor de mărfuri, în ianuarie-aprilie 2016-2021, după modul de transport (%)</t>
    </r>
  </si>
  <si>
    <r>
      <t xml:space="preserve">Figura 2. </t>
    </r>
    <r>
      <rPr>
        <b/>
        <i/>
        <sz val="9"/>
        <color indexed="8"/>
        <rFont val="Arial"/>
        <family val="2"/>
        <charset val="204"/>
      </rPr>
      <t>Evoluţia lunară a indicilor valorici ai exporturilor de mărfuri,  în anii 2019-2021 (%)</t>
    </r>
  </si>
  <si>
    <r>
      <t xml:space="preserve">Figura 1. </t>
    </r>
    <r>
      <rPr>
        <b/>
        <i/>
        <sz val="9"/>
        <color indexed="8"/>
        <rFont val="Arial"/>
        <family val="2"/>
        <charset val="204"/>
      </rPr>
      <t>Evoluţia lunară a exporturilor de mărfuri,  în anii 2016-2021 (milioane dolari SUA)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</si>
</sst>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38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9"/>
      <name val="Arial Unicode MS"/>
      <family val="2"/>
      <charset val="204"/>
    </font>
    <font>
      <b/>
      <sz val="9"/>
      <color indexed="8"/>
      <name val="Arial"/>
      <family val="2"/>
      <charset val="204"/>
    </font>
    <font>
      <b/>
      <i/>
      <sz val="9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Border="1"/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Alignment="1" applyProtection="1"/>
    <xf numFmtId="4" fontId="4" fillId="0" borderId="0" xfId="0" applyNumberFormat="1" applyFont="1" applyFill="1" applyAlignment="1" applyProtection="1">
      <alignment horizontal="right"/>
    </xf>
    <xf numFmtId="0" fontId="3" fillId="0" borderId="0" xfId="0" applyFont="1" applyAlignment="1"/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Fill="1" applyBorder="1" applyAlignment="1" applyProtection="1">
      <alignment horizontal="center" vertical="justify"/>
    </xf>
    <xf numFmtId="164" fontId="4" fillId="0" borderId="0" xfId="0" applyNumberFormat="1" applyFont="1" applyFill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165" fontId="4" fillId="0" borderId="6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>
      <alignment horizontal="left" wrapText="1" indent="1"/>
    </xf>
    <xf numFmtId="0" fontId="6" fillId="0" borderId="5" xfId="0" applyNumberFormat="1" applyFont="1" applyFill="1" applyBorder="1" applyAlignment="1" applyProtection="1">
      <alignment horizontal="left" wrapText="1" indent="1"/>
    </xf>
    <xf numFmtId="165" fontId="4" fillId="0" borderId="2" xfId="0" applyNumberFormat="1" applyFont="1" applyFill="1" applyBorder="1" applyAlignment="1" applyProtection="1">
      <alignment horizontal="center"/>
    </xf>
    <xf numFmtId="165" fontId="4" fillId="0" borderId="2" xfId="0" applyNumberFormat="1" applyFont="1" applyBorder="1" applyAlignment="1">
      <alignment horizontal="center"/>
    </xf>
    <xf numFmtId="165" fontId="4" fillId="0" borderId="0" xfId="0" applyNumberFormat="1" applyFont="1" applyFill="1" applyBorder="1" applyAlignment="1" applyProtection="1">
      <alignment horizontal="center"/>
    </xf>
    <xf numFmtId="165" fontId="4" fillId="0" borderId="0" xfId="0" applyNumberFormat="1" applyFont="1" applyBorder="1" applyAlignment="1">
      <alignment horizontal="center"/>
    </xf>
    <xf numFmtId="38" fontId="6" fillId="0" borderId="4" xfId="0" applyNumberFormat="1" applyFont="1" applyFill="1" applyBorder="1" applyAlignment="1" applyProtection="1">
      <alignment horizontal="left" wrapText="1" indent="1"/>
    </xf>
    <xf numFmtId="38" fontId="6" fillId="0" borderId="5" xfId="0" applyNumberFormat="1" applyFont="1" applyFill="1" applyBorder="1" applyAlignment="1" applyProtection="1">
      <alignment horizontal="left" wrapText="1" indent="1"/>
    </xf>
    <xf numFmtId="0" fontId="6" fillId="0" borderId="12" xfId="0" applyNumberFormat="1" applyFont="1" applyFill="1" applyBorder="1" applyAlignment="1" applyProtection="1">
      <alignment horizontal="left" wrapText="1" indent="1"/>
    </xf>
    <xf numFmtId="0" fontId="6" fillId="0" borderId="13" xfId="0" applyNumberFormat="1" applyFont="1" applyFill="1" applyBorder="1" applyAlignment="1" applyProtection="1">
      <alignment horizontal="left" wrapText="1" indent="1"/>
    </xf>
    <xf numFmtId="0" fontId="6" fillId="0" borderId="8" xfId="0" applyNumberFormat="1" applyFont="1" applyFill="1" applyBorder="1" applyAlignment="1" applyProtection="1">
      <alignment horizontal="left" wrapText="1" indent="1"/>
    </xf>
    <xf numFmtId="165" fontId="4" fillId="0" borderId="9" xfId="0" applyNumberFormat="1" applyFont="1" applyFill="1" applyBorder="1" applyAlignment="1" applyProtection="1">
      <alignment horizontal="center"/>
    </xf>
    <xf numFmtId="0" fontId="6" fillId="0" borderId="12" xfId="0" applyFont="1" applyBorder="1" applyAlignment="1">
      <alignment horizontal="left" wrapText="1" indent="1"/>
    </xf>
    <xf numFmtId="0" fontId="6" fillId="0" borderId="8" xfId="0" applyFont="1" applyBorder="1" applyAlignment="1">
      <alignment horizontal="left" wrapText="1" indent="1"/>
    </xf>
    <xf numFmtId="165" fontId="4" fillId="0" borderId="4" xfId="0" applyNumberFormat="1" applyFont="1" applyBorder="1" applyAlignment="1">
      <alignment horizontal="center"/>
    </xf>
    <xf numFmtId="165" fontId="4" fillId="0" borderId="11" xfId="0" applyNumberFormat="1" applyFont="1" applyFill="1" applyBorder="1" applyAlignment="1" applyProtection="1">
      <alignment horizontal="center"/>
    </xf>
    <xf numFmtId="0" fontId="6" fillId="0" borderId="5" xfId="0" applyNumberFormat="1" applyFont="1" applyFill="1" applyBorder="1" applyAlignment="1" applyProtection="1">
      <alignment horizontal="left" indent="1"/>
    </xf>
    <xf numFmtId="38" fontId="6" fillId="0" borderId="6" xfId="0" applyNumberFormat="1" applyFont="1" applyFill="1" applyBorder="1" applyAlignment="1" applyProtection="1">
      <alignment horizontal="left" wrapText="1" indent="1"/>
    </xf>
    <xf numFmtId="0" fontId="6" fillId="0" borderId="5" xfId="0" applyFont="1" applyBorder="1" applyAlignment="1">
      <alignment horizontal="left" wrapText="1" inden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38" fontId="4" fillId="0" borderId="12" xfId="0" applyNumberFormat="1" applyFont="1" applyFill="1" applyBorder="1" applyAlignment="1" applyProtection="1">
      <alignment horizontal="left" wrapText="1" indent="1"/>
    </xf>
    <xf numFmtId="38" fontId="4" fillId="0" borderId="13" xfId="0" applyNumberFormat="1" applyFont="1" applyFill="1" applyBorder="1" applyAlignment="1" applyProtection="1">
      <alignment horizontal="left" wrapText="1" indent="1"/>
    </xf>
    <xf numFmtId="38" fontId="4" fillId="0" borderId="8" xfId="0" applyNumberFormat="1" applyFont="1" applyFill="1" applyBorder="1" applyAlignment="1" applyProtection="1">
      <alignment horizontal="left" wrapText="1" indent="1"/>
    </xf>
    <xf numFmtId="0" fontId="7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/>
    <xf numFmtId="0" fontId="3" fillId="0" borderId="1" xfId="0" applyFont="1" applyBorder="1"/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14" xfId="0" applyFont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1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65" fontId="8" fillId="0" borderId="0" xfId="0" applyNumberFormat="1" applyFont="1" applyAlignment="1">
      <alignment horizontal="center"/>
    </xf>
    <xf numFmtId="165" fontId="8" fillId="0" borderId="3" xfId="0" applyNumberFormat="1" applyFont="1" applyFill="1" applyBorder="1" applyAlignment="1" applyProtection="1">
      <alignment horizontal="center"/>
    </xf>
    <xf numFmtId="165" fontId="4" fillId="0" borderId="10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65" fontId="4" fillId="0" borderId="0" xfId="0" applyNumberFormat="1" applyFont="1" applyFill="1" applyBorder="1" applyAlignment="1" applyProtection="1">
      <alignment horizontal="center" vertical="top"/>
    </xf>
    <xf numFmtId="165" fontId="4" fillId="0" borderId="3" xfId="0" applyNumberFormat="1" applyFont="1" applyFill="1" applyBorder="1" applyAlignment="1" applyProtection="1">
      <alignment horizontal="center" vertical="top"/>
    </xf>
    <xf numFmtId="38" fontId="6" fillId="0" borderId="4" xfId="0" applyNumberFormat="1" applyFont="1" applyFill="1" applyBorder="1" applyAlignment="1" applyProtection="1">
      <alignment horizontal="left" vertical="top" wrapText="1"/>
    </xf>
    <xf numFmtId="38" fontId="6" fillId="0" borderId="5" xfId="0" applyNumberFormat="1" applyFont="1" applyFill="1" applyBorder="1" applyAlignment="1" applyProtection="1">
      <alignment horizontal="left" vertical="top" wrapText="1"/>
    </xf>
    <xf numFmtId="165" fontId="4" fillId="0" borderId="4" xfId="0" applyNumberFormat="1" applyFont="1" applyFill="1" applyBorder="1" applyAlignment="1" applyProtection="1">
      <alignment horizontal="center" vertical="top"/>
    </xf>
    <xf numFmtId="165" fontId="4" fillId="0" borderId="5" xfId="0" applyNumberFormat="1" applyFont="1" applyFill="1" applyBorder="1" applyAlignment="1" applyProtection="1">
      <alignment horizontal="center" vertical="top"/>
    </xf>
    <xf numFmtId="165" fontId="4" fillId="0" borderId="6" xfId="0" applyNumberFormat="1" applyFont="1" applyFill="1" applyBorder="1" applyAlignment="1" applyProtection="1">
      <alignment horizontal="center" vertical="top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left" indent="1"/>
    </xf>
    <xf numFmtId="0" fontId="3" fillId="0" borderId="6" xfId="0" applyFont="1" applyBorder="1" applyAlignment="1">
      <alignment horizontal="left" indent="1"/>
    </xf>
    <xf numFmtId="165" fontId="4" fillId="0" borderId="0" xfId="0" applyNumberFormat="1" applyFont="1" applyFill="1" applyAlignment="1" applyProtection="1">
      <alignment horizontal="center"/>
    </xf>
    <xf numFmtId="165" fontId="4" fillId="0" borderId="5" xfId="0" applyNumberFormat="1" applyFont="1" applyFill="1" applyBorder="1" applyAlignment="1" applyProtection="1">
      <alignment horizontal="center"/>
    </xf>
    <xf numFmtId="165" fontId="4" fillId="0" borderId="12" xfId="0" applyNumberFormat="1" applyFont="1" applyFill="1" applyBorder="1" applyAlignment="1" applyProtection="1">
      <alignment horizontal="center"/>
    </xf>
    <xf numFmtId="165" fontId="4" fillId="0" borderId="13" xfId="0" applyNumberFormat="1" applyFont="1" applyFill="1" applyBorder="1" applyAlignment="1" applyProtection="1">
      <alignment horizontal="center"/>
    </xf>
    <xf numFmtId="165" fontId="4" fillId="0" borderId="8" xfId="0" applyNumberFormat="1" applyFont="1" applyFill="1" applyBorder="1" applyAlignment="1" applyProtection="1">
      <alignment horizontal="center"/>
    </xf>
    <xf numFmtId="165" fontId="4" fillId="0" borderId="10" xfId="0" applyNumberFormat="1" applyFont="1" applyFill="1" applyBorder="1" applyAlignment="1" applyProtection="1">
      <alignment horizontal="center"/>
    </xf>
    <xf numFmtId="2" fontId="3" fillId="0" borderId="4" xfId="0" applyNumberFormat="1" applyFont="1" applyBorder="1" applyAlignment="1">
      <alignment horizontal="left" indent="1"/>
    </xf>
    <xf numFmtId="2" fontId="3" fillId="0" borderId="5" xfId="0" applyNumberFormat="1" applyFont="1" applyBorder="1" applyAlignment="1">
      <alignment horizontal="left" indent="1"/>
    </xf>
    <xf numFmtId="2" fontId="3" fillId="0" borderId="6" xfId="0" applyNumberFormat="1" applyFont="1" applyBorder="1" applyAlignment="1">
      <alignment horizontal="left" indent="1"/>
    </xf>
    <xf numFmtId="165" fontId="4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165" fontId="2" fillId="0" borderId="0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6" fillId="0" borderId="5" xfId="0" applyNumberFormat="1" applyFont="1" applyFill="1" applyBorder="1" applyAlignment="1" applyProtection="1">
      <alignment horizontal="left" vertical="top" wrapText="1"/>
    </xf>
    <xf numFmtId="0" fontId="6" fillId="0" borderId="6" xfId="0" applyNumberFormat="1" applyFont="1" applyFill="1" applyBorder="1" applyAlignment="1" applyProtection="1">
      <alignment horizontal="left" vertical="top" wrapText="1"/>
    </xf>
    <xf numFmtId="165" fontId="4" fillId="0" borderId="10" xfId="0" applyNumberFormat="1" applyFont="1" applyFill="1" applyBorder="1" applyAlignment="1" applyProtection="1">
      <alignment horizontal="center" vertical="top"/>
    </xf>
    <xf numFmtId="165" fontId="4" fillId="0" borderId="2" xfId="0" applyNumberFormat="1" applyFont="1" applyFill="1" applyBorder="1" applyAlignment="1" applyProtection="1">
      <alignment horizontal="center" vertical="top"/>
    </xf>
    <xf numFmtId="165" fontId="4" fillId="0" borderId="11" xfId="0" applyNumberFormat="1" applyFont="1" applyFill="1" applyBorder="1" applyAlignment="1" applyProtection="1">
      <alignment horizontal="center" vertical="top"/>
    </xf>
    <xf numFmtId="165" fontId="4" fillId="0" borderId="9" xfId="0" applyNumberFormat="1" applyFont="1" applyFill="1" applyBorder="1" applyAlignment="1" applyProtection="1">
      <alignment horizontal="center" vertical="top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9" fillId="0" borderId="0" xfId="0" applyFont="1" applyAlignment="1"/>
  </cellXfs>
  <cellStyles count="2">
    <cellStyle name="Normal" xfId="0" builtinId="0"/>
    <cellStyle name="Normal 2" xfId="1" xr:uid="{00000000-0005-0000-0000-000000000000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top" textRotation="0" wrapText="0" indent="1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4541834308329E-2"/>
          <c:y val="8.2707060720548939E-2"/>
          <c:w val="0.93883343365230676"/>
          <c:h val="0.7093322975883620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'Figura 1'!$B$19</c:f>
              <c:strCache>
                <c:ptCount val="1"/>
                <c:pt idx="0">
                  <c:v>Ianuarie</c:v>
                </c:pt>
              </c:strCache>
            </c:strRef>
          </c:tx>
          <c:spPr>
            <a:solidFill>
              <a:schemeClr val="accent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1'!$A$20:$A$25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1'!$B$20:$B$25</c:f>
              <c:numCache>
                <c:formatCode>#\ ##0,0</c:formatCode>
                <c:ptCount val="6"/>
                <c:pt idx="0">
                  <c:v>116.8</c:v>
                </c:pt>
                <c:pt idx="1">
                  <c:v>139.5</c:v>
                </c:pt>
                <c:pt idx="2">
                  <c:v>220.3</c:v>
                </c:pt>
                <c:pt idx="3">
                  <c:v>234.3</c:v>
                </c:pt>
                <c:pt idx="4">
                  <c:v>219.5</c:v>
                </c:pt>
                <c:pt idx="5">
                  <c:v>198.4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20-4AA7-9226-374D1498C729}"/>
            </c:ext>
          </c:extLst>
        </c:ser>
        <c:ser>
          <c:idx val="3"/>
          <c:order val="1"/>
          <c:tx>
            <c:strRef>
              <c:f>'Figura 1'!$C$19</c:f>
              <c:strCache>
                <c:ptCount val="1"/>
                <c:pt idx="0">
                  <c:v>Februarie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1'!$A$20:$A$25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1'!$C$20:$C$25</c:f>
              <c:numCache>
                <c:formatCode>#\ ##0,0</c:formatCode>
                <c:ptCount val="6"/>
                <c:pt idx="0">
                  <c:v>138.5</c:v>
                </c:pt>
                <c:pt idx="1">
                  <c:v>176.6</c:v>
                </c:pt>
                <c:pt idx="2">
                  <c:v>215.5</c:v>
                </c:pt>
                <c:pt idx="3">
                  <c:v>241.4</c:v>
                </c:pt>
                <c:pt idx="4">
                  <c:v>245.3</c:v>
                </c:pt>
                <c:pt idx="5">
                  <c:v>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20-4AA7-9226-374D1498C729}"/>
            </c:ext>
          </c:extLst>
        </c:ser>
        <c:ser>
          <c:idx val="4"/>
          <c:order val="2"/>
          <c:tx>
            <c:strRef>
              <c:f>'Figura 1'!$D$19</c:f>
              <c:strCache>
                <c:ptCount val="1"/>
                <c:pt idx="0">
                  <c:v>Martie</c:v>
                </c:pt>
              </c:strCache>
            </c:strRef>
          </c:tx>
          <c:spPr>
            <a:solidFill>
              <a:schemeClr val="accent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1'!$A$20:$A$25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1'!$D$20:$D$25</c:f>
              <c:numCache>
                <c:formatCode>#\ ##0,0</c:formatCode>
                <c:ptCount val="6"/>
                <c:pt idx="0">
                  <c:v>161.30000000000001</c:v>
                </c:pt>
                <c:pt idx="1">
                  <c:v>212.1</c:v>
                </c:pt>
                <c:pt idx="2">
                  <c:v>242.1</c:v>
                </c:pt>
                <c:pt idx="3">
                  <c:v>257.2</c:v>
                </c:pt>
                <c:pt idx="4">
                  <c:v>210.2</c:v>
                </c:pt>
                <c:pt idx="5">
                  <c:v>259.2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20-4AA7-9226-374D1498C729}"/>
            </c:ext>
          </c:extLst>
        </c:ser>
        <c:ser>
          <c:idx val="5"/>
          <c:order val="3"/>
          <c:tx>
            <c:strRef>
              <c:f>'Figura 1'!$E$19</c:f>
              <c:strCache>
                <c:ptCount val="1"/>
                <c:pt idx="0">
                  <c:v>Aprilie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1'!$A$20:$A$25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1'!$E$20:$E$25</c:f>
              <c:numCache>
                <c:formatCode>#\ ##0,0</c:formatCode>
                <c:ptCount val="6"/>
                <c:pt idx="0">
                  <c:v>178.5</c:v>
                </c:pt>
                <c:pt idx="1">
                  <c:v>154.19999999999999</c:v>
                </c:pt>
                <c:pt idx="2">
                  <c:v>199.7</c:v>
                </c:pt>
                <c:pt idx="3">
                  <c:v>215.6</c:v>
                </c:pt>
                <c:pt idx="4">
                  <c:v>149.80000000000001</c:v>
                </c:pt>
                <c:pt idx="5">
                  <c:v>218.3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520-4AA7-9226-374D1498C729}"/>
            </c:ext>
          </c:extLst>
        </c:ser>
        <c:ser>
          <c:idx val="6"/>
          <c:order val="4"/>
          <c:tx>
            <c:strRef>
              <c:f>'Figura 1'!$F$19</c:f>
              <c:strCache>
                <c:ptCount val="1"/>
                <c:pt idx="0">
                  <c:v>Mai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'Figura 1'!$A$20:$A$25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1'!$F$20:$F$25</c:f>
              <c:numCache>
                <c:formatCode>#\ ##0,0</c:formatCode>
                <c:ptCount val="6"/>
                <c:pt idx="0">
                  <c:v>153</c:v>
                </c:pt>
                <c:pt idx="1">
                  <c:v>174.7</c:v>
                </c:pt>
                <c:pt idx="2">
                  <c:v>223</c:v>
                </c:pt>
                <c:pt idx="3">
                  <c:v>210.5</c:v>
                </c:pt>
                <c:pt idx="4">
                  <c:v>155.69999999999999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520-4AA7-9226-374D1498C729}"/>
            </c:ext>
          </c:extLst>
        </c:ser>
        <c:ser>
          <c:idx val="7"/>
          <c:order val="5"/>
          <c:tx>
            <c:strRef>
              <c:f>'Figura 1'!$G$19</c:f>
              <c:strCache>
                <c:ptCount val="1"/>
                <c:pt idx="0">
                  <c:v>Iunie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1'!$A$20:$A$25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1'!$G$20:$G$25</c:f>
              <c:numCache>
                <c:formatCode>#\ ##0,0</c:formatCode>
                <c:ptCount val="6"/>
                <c:pt idx="0">
                  <c:v>157.4</c:v>
                </c:pt>
                <c:pt idx="1">
                  <c:v>171.1</c:v>
                </c:pt>
                <c:pt idx="2">
                  <c:v>214.1</c:v>
                </c:pt>
                <c:pt idx="3">
                  <c:v>202.2</c:v>
                </c:pt>
                <c:pt idx="4">
                  <c:v>189.6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520-4AA7-9226-374D1498C729}"/>
            </c:ext>
          </c:extLst>
        </c:ser>
        <c:ser>
          <c:idx val="8"/>
          <c:order val="6"/>
          <c:tx>
            <c:strRef>
              <c:f>'Figura 1'!$H$19</c:f>
              <c:strCache>
                <c:ptCount val="1"/>
                <c:pt idx="0">
                  <c:v>Iulie</c:v>
                </c:pt>
              </c:strCache>
            </c:strRef>
          </c:tx>
          <c:spPr>
            <a:solidFill>
              <a:schemeClr val="accent1">
                <a:shade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1'!$A$20:$A$25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1'!$H$20:$H$25</c:f>
              <c:numCache>
                <c:formatCode>#\ ##0,0</c:formatCode>
                <c:ptCount val="6"/>
                <c:pt idx="0">
                  <c:v>165.6</c:v>
                </c:pt>
                <c:pt idx="1">
                  <c:v>191.6</c:v>
                </c:pt>
                <c:pt idx="2">
                  <c:v>218.8</c:v>
                </c:pt>
                <c:pt idx="3">
                  <c:v>220.2</c:v>
                </c:pt>
                <c:pt idx="4">
                  <c:v>191.1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520-4AA7-9226-374D1498C729}"/>
            </c:ext>
          </c:extLst>
        </c:ser>
        <c:ser>
          <c:idx val="9"/>
          <c:order val="7"/>
          <c:tx>
            <c:strRef>
              <c:f>'Figura 1'!$I$19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1'!$A$20:$A$25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1'!$I$20:$I$25</c:f>
              <c:numCache>
                <c:formatCode>#\ ##0,0</c:formatCode>
                <c:ptCount val="6"/>
                <c:pt idx="0">
                  <c:v>168</c:v>
                </c:pt>
                <c:pt idx="1">
                  <c:v>207.9</c:v>
                </c:pt>
                <c:pt idx="2">
                  <c:v>218.6</c:v>
                </c:pt>
                <c:pt idx="3">
                  <c:v>205.8</c:v>
                </c:pt>
                <c:pt idx="4">
                  <c:v>163.9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520-4AA7-9226-374D1498C729}"/>
            </c:ext>
          </c:extLst>
        </c:ser>
        <c:ser>
          <c:idx val="10"/>
          <c:order val="8"/>
          <c:tx>
            <c:strRef>
              <c:f>'Figura 1'!$J$19</c:f>
              <c:strCache>
                <c:ptCount val="1"/>
                <c:pt idx="0">
                  <c:v>Septembrie</c:v>
                </c:pt>
              </c:strCache>
            </c:strRef>
          </c:tx>
          <c:spPr>
            <a:solidFill>
              <a:schemeClr val="accent1">
                <a:shade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1'!$A$20:$A$25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1'!$J$20:$J$25</c:f>
              <c:numCache>
                <c:formatCode>#\ ##0,0</c:formatCode>
                <c:ptCount val="6"/>
                <c:pt idx="0">
                  <c:v>193.6</c:v>
                </c:pt>
                <c:pt idx="1">
                  <c:v>223.9</c:v>
                </c:pt>
                <c:pt idx="2">
                  <c:v>207.3</c:v>
                </c:pt>
                <c:pt idx="3">
                  <c:v>238.8</c:v>
                </c:pt>
                <c:pt idx="4">
                  <c:v>212.3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520-4AA7-9226-374D1498C729}"/>
            </c:ext>
          </c:extLst>
        </c:ser>
        <c:ser>
          <c:idx val="11"/>
          <c:order val="9"/>
          <c:tx>
            <c:strRef>
              <c:f>'Figura 1'!$K$19</c:f>
              <c:strCache>
                <c:ptCount val="1"/>
                <c:pt idx="0">
                  <c:v>Octombrie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1'!$A$20:$A$25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1'!$K$20:$K$25</c:f>
              <c:numCache>
                <c:formatCode>#\ ##0,0</c:formatCode>
                <c:ptCount val="6"/>
                <c:pt idx="0">
                  <c:v>200.8</c:v>
                </c:pt>
                <c:pt idx="1">
                  <c:v>268.2</c:v>
                </c:pt>
                <c:pt idx="2">
                  <c:v>259</c:v>
                </c:pt>
                <c:pt idx="3">
                  <c:v>268.3</c:v>
                </c:pt>
                <c:pt idx="4">
                  <c:v>249.4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520-4AA7-9226-374D1498C729}"/>
            </c:ext>
          </c:extLst>
        </c:ser>
        <c:ser>
          <c:idx val="12"/>
          <c:order val="10"/>
          <c:tx>
            <c:strRef>
              <c:f>'Figura 1'!$L$19</c:f>
              <c:strCache>
                <c:ptCount val="1"/>
                <c:pt idx="0">
                  <c:v>Noiembrie</c:v>
                </c:pt>
              </c:strCache>
            </c:strRef>
          </c:tx>
          <c:spPr>
            <a:solidFill>
              <a:schemeClr val="accent1">
                <a:shade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1'!$A$20:$A$25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1'!$L$20:$L$25</c:f>
              <c:numCache>
                <c:formatCode>#\ ##0,0</c:formatCode>
                <c:ptCount val="6"/>
                <c:pt idx="0">
                  <c:v>217.6</c:v>
                </c:pt>
                <c:pt idx="1">
                  <c:v>272.10000000000002</c:v>
                </c:pt>
                <c:pt idx="2">
                  <c:v>268.89999999999998</c:v>
                </c:pt>
                <c:pt idx="3">
                  <c:v>266.60000000000002</c:v>
                </c:pt>
                <c:pt idx="4">
                  <c:v>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A1-4180-84B5-8B88B9C7C4F8}"/>
            </c:ext>
          </c:extLst>
        </c:ser>
        <c:ser>
          <c:idx val="0"/>
          <c:order val="11"/>
          <c:tx>
            <c:strRef>
              <c:f>'Figura 1'!$M$19</c:f>
              <c:strCache>
                <c:ptCount val="1"/>
                <c:pt idx="0">
                  <c:v>Decembrie</c:v>
                </c:pt>
              </c:strCache>
            </c:strRef>
          </c:tx>
          <c:spPr>
            <a:solidFill>
              <a:schemeClr val="accent1">
                <a:tint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1'!$A$20:$A$25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1'!$M$20:$M$25</c:f>
              <c:numCache>
                <c:formatCode>#\ ##0,0</c:formatCode>
                <c:ptCount val="6"/>
                <c:pt idx="0">
                  <c:v>193.5</c:v>
                </c:pt>
                <c:pt idx="1">
                  <c:v>233.1</c:v>
                </c:pt>
                <c:pt idx="2">
                  <c:v>218.8</c:v>
                </c:pt>
                <c:pt idx="3">
                  <c:v>218.3</c:v>
                </c:pt>
                <c:pt idx="4">
                  <c:v>218.3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A1-4180-84B5-8B88B9C7C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75375408"/>
        <c:axId val="175375968"/>
      </c:barChart>
      <c:catAx>
        <c:axId val="175375408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5375968"/>
        <c:crosses val="autoZero"/>
        <c:auto val="0"/>
        <c:lblAlgn val="ctr"/>
        <c:lblOffset val="100"/>
        <c:tickLblSkip val="1"/>
        <c:noMultiLvlLbl val="0"/>
      </c:catAx>
      <c:valAx>
        <c:axId val="175375968"/>
        <c:scaling>
          <c:orientation val="minMax"/>
          <c:max val="280"/>
          <c:min val="1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\ ##0,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5375408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legend>
      <c:legendPos val="b"/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"/>
          <c:y val="0.91116886173981615"/>
          <c:w val="1"/>
          <c:h val="8.87628732507091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094500396752733"/>
          <c:y val="3.3573141486810551E-2"/>
          <c:w val="0.79711239634868647"/>
          <c:h val="0.736821314601861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'Figura 9'!$B$25</c:f>
              <c:strCache>
                <c:ptCount val="1"/>
                <c:pt idx="0">
                  <c:v>Ianuarie - aprilie 2021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9'!$A$26:$A$32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9'!$B$26:$B$32</c:f>
              <c:numCache>
                <c:formatCode>#\ ##0,0</c:formatCode>
                <c:ptCount val="7"/>
                <c:pt idx="0">
                  <c:v>1.7</c:v>
                </c:pt>
                <c:pt idx="1">
                  <c:v>4.4000000000000004</c:v>
                </c:pt>
                <c:pt idx="2">
                  <c:v>86.5</c:v>
                </c:pt>
                <c:pt idx="3">
                  <c:v>2.5</c:v>
                </c:pt>
                <c:pt idx="4">
                  <c:v>0.2</c:v>
                </c:pt>
                <c:pt idx="5">
                  <c:v>4.0999999999999996</c:v>
                </c:pt>
                <c:pt idx="6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54-4901-8F26-F774DF753091}"/>
            </c:ext>
          </c:extLst>
        </c:ser>
        <c:ser>
          <c:idx val="1"/>
          <c:order val="1"/>
          <c:tx>
            <c:strRef>
              <c:f>'Figura 9'!$C$25</c:f>
              <c:strCache>
                <c:ptCount val="1"/>
                <c:pt idx="0">
                  <c:v>Ianuarie - aprilie 2020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9'!$A$26:$A$32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9'!$C$26:$C$32</c:f>
              <c:numCache>
                <c:formatCode>#\ ##0,0</c:formatCode>
                <c:ptCount val="7"/>
                <c:pt idx="0">
                  <c:v>1.7</c:v>
                </c:pt>
                <c:pt idx="1">
                  <c:v>4.3</c:v>
                </c:pt>
                <c:pt idx="2">
                  <c:v>85</c:v>
                </c:pt>
                <c:pt idx="3">
                  <c:v>2.5</c:v>
                </c:pt>
                <c:pt idx="4">
                  <c:v>0.2</c:v>
                </c:pt>
                <c:pt idx="5">
                  <c:v>5.9</c:v>
                </c:pt>
                <c:pt idx="6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54-4901-8F26-F774DF753091}"/>
            </c:ext>
          </c:extLst>
        </c:ser>
        <c:ser>
          <c:idx val="2"/>
          <c:order val="2"/>
          <c:tx>
            <c:strRef>
              <c:f>'Figura 9'!$D$25</c:f>
              <c:strCache>
                <c:ptCount val="1"/>
                <c:pt idx="0">
                  <c:v>Ianuarie - aprilie 2019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9'!$A$26:$A$32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9'!$D$26:$D$32</c:f>
              <c:numCache>
                <c:formatCode>#\ ##0,0</c:formatCode>
                <c:ptCount val="7"/>
                <c:pt idx="0">
                  <c:v>2.1</c:v>
                </c:pt>
                <c:pt idx="1">
                  <c:v>4.7</c:v>
                </c:pt>
                <c:pt idx="2">
                  <c:v>82</c:v>
                </c:pt>
                <c:pt idx="3">
                  <c:v>2.5</c:v>
                </c:pt>
                <c:pt idx="4">
                  <c:v>0.2</c:v>
                </c:pt>
                <c:pt idx="5">
                  <c:v>7.8</c:v>
                </c:pt>
                <c:pt idx="6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54-4901-8F26-F774DF753091}"/>
            </c:ext>
          </c:extLst>
        </c:ser>
        <c:ser>
          <c:idx val="3"/>
          <c:order val="3"/>
          <c:tx>
            <c:strRef>
              <c:f>'Figura 9'!$E$25</c:f>
              <c:strCache>
                <c:ptCount val="1"/>
                <c:pt idx="0">
                  <c:v>Ianuarie - aprilie 2018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9'!$A$26:$A$32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9'!$E$26:$E$32</c:f>
              <c:numCache>
                <c:formatCode>#\ ##0,0</c:formatCode>
                <c:ptCount val="7"/>
                <c:pt idx="0">
                  <c:v>2.6</c:v>
                </c:pt>
                <c:pt idx="1">
                  <c:v>5.5</c:v>
                </c:pt>
                <c:pt idx="2">
                  <c:v>81.7</c:v>
                </c:pt>
                <c:pt idx="3">
                  <c:v>2.6</c:v>
                </c:pt>
                <c:pt idx="4">
                  <c:v>0.3</c:v>
                </c:pt>
                <c:pt idx="5">
                  <c:v>6.7</c:v>
                </c:pt>
                <c:pt idx="6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54-4901-8F26-F774DF753091}"/>
            </c:ext>
          </c:extLst>
        </c:ser>
        <c:ser>
          <c:idx val="4"/>
          <c:order val="4"/>
          <c:tx>
            <c:strRef>
              <c:f>'Figura 9'!$F$25</c:f>
              <c:strCache>
                <c:ptCount val="1"/>
                <c:pt idx="0">
                  <c:v>Ianuarie - aprilie 2017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9'!$A$26:$A$32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9'!$F$26:$F$32</c:f>
              <c:numCache>
                <c:formatCode>#\ ##0,0</c:formatCode>
                <c:ptCount val="7"/>
                <c:pt idx="0">
                  <c:v>2.7</c:v>
                </c:pt>
                <c:pt idx="1">
                  <c:v>5.9</c:v>
                </c:pt>
                <c:pt idx="2">
                  <c:v>81.3</c:v>
                </c:pt>
                <c:pt idx="3">
                  <c:v>2.6</c:v>
                </c:pt>
                <c:pt idx="4">
                  <c:v>0.2</c:v>
                </c:pt>
                <c:pt idx="5">
                  <c:v>6.7</c:v>
                </c:pt>
                <c:pt idx="6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54-4901-8F26-F774DF753091}"/>
            </c:ext>
          </c:extLst>
        </c:ser>
        <c:ser>
          <c:idx val="5"/>
          <c:order val="5"/>
          <c:tx>
            <c:strRef>
              <c:f>'Figura 9'!$G$25</c:f>
              <c:strCache>
                <c:ptCount val="1"/>
                <c:pt idx="0">
                  <c:v>Ianuarie - aprilie 2016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9'!$A$26:$A$32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9'!$G$26:$G$32</c:f>
              <c:numCache>
                <c:formatCode>#\ ##0,0</c:formatCode>
                <c:ptCount val="7"/>
                <c:pt idx="0">
                  <c:v>2.2000000000000002</c:v>
                </c:pt>
                <c:pt idx="1">
                  <c:v>5.8</c:v>
                </c:pt>
                <c:pt idx="2">
                  <c:v>80.2</c:v>
                </c:pt>
                <c:pt idx="3">
                  <c:v>1.8</c:v>
                </c:pt>
                <c:pt idx="4">
                  <c:v>1</c:v>
                </c:pt>
                <c:pt idx="5">
                  <c:v>8.5</c:v>
                </c:pt>
                <c:pt idx="6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254-4901-8F26-F774DF753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8023024"/>
        <c:axId val="178023584"/>
      </c:barChart>
      <c:catAx>
        <c:axId val="1780230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8023584"/>
        <c:crossesAt val="0"/>
        <c:auto val="1"/>
        <c:lblAlgn val="ctr"/>
        <c:lblOffset val="100"/>
        <c:noMultiLvlLbl val="0"/>
      </c:catAx>
      <c:valAx>
        <c:axId val="178023584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8023024"/>
        <c:crosses val="autoZero"/>
        <c:crossBetween val="between"/>
        <c:minorUnit val="1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12915445377490167"/>
          <c:y val="0.86723341530732723"/>
          <c:w val="0.84362058328366329"/>
          <c:h val="9.82505696816551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069977473288278E-2"/>
          <c:y val="7.2958463835143289E-2"/>
          <c:w val="0.93986930373860744"/>
          <c:h val="0.682121593536867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10'!$A$23</c:f>
              <c:strCache>
                <c:ptCount val="1"/>
                <c:pt idx="0">
                  <c:v>Ţările Uniunii Europene - total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10'!$B$22:$G$22</c:f>
              <c:strCache>
                <c:ptCount val="6"/>
                <c:pt idx="0">
                  <c:v>Ianuarie - aprilie 2016</c:v>
                </c:pt>
                <c:pt idx="1">
                  <c:v>Ianuarie - aprilie 2017</c:v>
                </c:pt>
                <c:pt idx="2">
                  <c:v>Ianuarie - aprilie 2018</c:v>
                </c:pt>
                <c:pt idx="3">
                  <c:v>Ianuarie - aprilie 2019</c:v>
                </c:pt>
                <c:pt idx="4">
                  <c:v>Ianuarie - aprilie 2020</c:v>
                </c:pt>
                <c:pt idx="5">
                  <c:v>Ianuarie - aprilie 2021</c:v>
                </c:pt>
              </c:strCache>
            </c:strRef>
          </c:cat>
          <c:val>
            <c:numRef>
              <c:f>'Figura 10'!$B$23:$G$23</c:f>
              <c:numCache>
                <c:formatCode>#\ ##0,0</c:formatCode>
                <c:ptCount val="6"/>
                <c:pt idx="0">
                  <c:v>46.168409436415857</c:v>
                </c:pt>
                <c:pt idx="1">
                  <c:v>46.973005849723179</c:v>
                </c:pt>
                <c:pt idx="2">
                  <c:v>49.085414899920025</c:v>
                </c:pt>
                <c:pt idx="3">
                  <c:v>47.700695933918787</c:v>
                </c:pt>
                <c:pt idx="4">
                  <c:v>47.101138066546191</c:v>
                </c:pt>
                <c:pt idx="5">
                  <c:v>47.578701704603752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49-4350-AC6F-7B3B9B8C79B6}"/>
            </c:ext>
          </c:extLst>
        </c:ser>
        <c:ser>
          <c:idx val="1"/>
          <c:order val="1"/>
          <c:tx>
            <c:strRef>
              <c:f>'Figura 10'!$A$24</c:f>
              <c:strCache>
                <c:ptCount val="1"/>
                <c:pt idx="0">
                  <c:v>Ţările CSI -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10'!$B$22:$G$22</c:f>
              <c:strCache>
                <c:ptCount val="6"/>
                <c:pt idx="0">
                  <c:v>Ianuarie - aprilie 2016</c:v>
                </c:pt>
                <c:pt idx="1">
                  <c:v>Ianuarie - aprilie 2017</c:v>
                </c:pt>
                <c:pt idx="2">
                  <c:v>Ianuarie - aprilie 2018</c:v>
                </c:pt>
                <c:pt idx="3">
                  <c:v>Ianuarie - aprilie 2019</c:v>
                </c:pt>
                <c:pt idx="4">
                  <c:v>Ianuarie - aprilie 2020</c:v>
                </c:pt>
                <c:pt idx="5">
                  <c:v>Ianuarie - aprilie 2021</c:v>
                </c:pt>
              </c:strCache>
            </c:strRef>
          </c:cat>
          <c:val>
            <c:numRef>
              <c:f>'Figura 10'!$B$24:$G$24</c:f>
              <c:numCache>
                <c:formatCode>#\ ##0,0</c:formatCode>
                <c:ptCount val="6"/>
                <c:pt idx="0">
                  <c:v>27.537119243111501</c:v>
                </c:pt>
                <c:pt idx="1">
                  <c:v>26.192721870707175</c:v>
                </c:pt>
                <c:pt idx="2">
                  <c:v>23.933163142728432</c:v>
                </c:pt>
                <c:pt idx="3">
                  <c:v>26.52579693060872</c:v>
                </c:pt>
                <c:pt idx="4">
                  <c:v>24.954832203842457</c:v>
                </c:pt>
                <c:pt idx="5">
                  <c:v>23.178001489628393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49-4350-AC6F-7B3B9B8C79B6}"/>
            </c:ext>
          </c:extLst>
        </c:ser>
        <c:ser>
          <c:idx val="2"/>
          <c:order val="2"/>
          <c:tx>
            <c:strRef>
              <c:f>'Figura 10'!$A$25</c:f>
              <c:strCache>
                <c:ptCount val="1"/>
                <c:pt idx="0">
                  <c:v>Celelalte ţări ale lumii - total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10'!$B$22:$G$22</c:f>
              <c:strCache>
                <c:ptCount val="6"/>
                <c:pt idx="0">
                  <c:v>Ianuarie - aprilie 2016</c:v>
                </c:pt>
                <c:pt idx="1">
                  <c:v>Ianuarie - aprilie 2017</c:v>
                </c:pt>
                <c:pt idx="2">
                  <c:v>Ianuarie - aprilie 2018</c:v>
                </c:pt>
                <c:pt idx="3">
                  <c:v>Ianuarie - aprilie 2019</c:v>
                </c:pt>
                <c:pt idx="4">
                  <c:v>Ianuarie - aprilie 2020</c:v>
                </c:pt>
                <c:pt idx="5">
                  <c:v>Ianuarie - aprilie 2021</c:v>
                </c:pt>
              </c:strCache>
            </c:strRef>
          </c:cat>
          <c:val>
            <c:numRef>
              <c:f>'Figura 10'!$B$25:$G$25</c:f>
              <c:numCache>
                <c:formatCode>#\ ##0,0</c:formatCode>
                <c:ptCount val="6"/>
                <c:pt idx="0">
                  <c:v>26.294471320472645</c:v>
                </c:pt>
                <c:pt idx="1">
                  <c:v>26.83427227956965</c:v>
                </c:pt>
                <c:pt idx="2">
                  <c:v>26.981421957351536</c:v>
                </c:pt>
                <c:pt idx="3">
                  <c:v>25.773507135472489</c:v>
                </c:pt>
                <c:pt idx="4">
                  <c:v>27.944029729611341</c:v>
                </c:pt>
                <c:pt idx="5">
                  <c:v>29.243296805767855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49-4350-AC6F-7B3B9B8C7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7929808"/>
        <c:axId val="177930368"/>
      </c:barChart>
      <c:catAx>
        <c:axId val="17792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7930368"/>
        <c:crosses val="autoZero"/>
        <c:auto val="0"/>
        <c:lblAlgn val="ctr"/>
        <c:lblOffset val="100"/>
        <c:noMultiLvlLbl val="0"/>
      </c:catAx>
      <c:valAx>
        <c:axId val="177930368"/>
        <c:scaling>
          <c:orientation val="minMax"/>
          <c:max val="100"/>
        </c:scaling>
        <c:delete val="0"/>
        <c:axPos val="l"/>
        <c:numFmt formatCode="#\ ##0,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7929808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4.3402106382271835E-2"/>
          <c:y val="0.89310850070635572"/>
          <c:w val="0.93105796047794498"/>
          <c:h val="8.5815523059617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668505608773423E-2"/>
          <c:y val="3.3602647495150066E-2"/>
          <c:w val="0.92935151016570694"/>
          <c:h val="0.619257544883566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11'!$B$23</c:f>
              <c:strCache>
                <c:ptCount val="1"/>
                <c:pt idx="0">
                  <c:v> Ianuarie - aprilie 2016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11'!$A$24:$A$40</c:f>
              <c:strCache>
                <c:ptCount val="17"/>
                <c:pt idx="0">
                  <c:v>România</c:v>
                </c:pt>
                <c:pt idx="1">
                  <c:v>Federaţia Rusă</c:v>
                </c:pt>
                <c:pt idx="2">
                  <c:v>China</c:v>
                </c:pt>
                <c:pt idx="3">
                  <c:v>Ucraina</c:v>
                </c:pt>
                <c:pt idx="4">
                  <c:v>Germania</c:v>
                </c:pt>
                <c:pt idx="5">
                  <c:v>Turcia</c:v>
                </c:pt>
                <c:pt idx="6">
                  <c:v>Italia</c:v>
                </c:pt>
                <c:pt idx="7">
                  <c:v>Polonia</c:v>
                </c:pt>
                <c:pt idx="8">
                  <c:v>Franţa</c:v>
                </c:pt>
                <c:pt idx="9">
                  <c:v>Ungaria</c:v>
                </c:pt>
                <c:pt idx="10">
                  <c:v>Belarus</c:v>
                </c:pt>
                <c:pt idx="11">
                  <c:v>Republica Cehă</c:v>
                </c:pt>
                <c:pt idx="12">
                  <c:v>S.U.A.</c:v>
                </c:pt>
                <c:pt idx="13">
                  <c:v>Spania</c:v>
                </c:pt>
                <c:pt idx="14">
                  <c:v>Austria</c:v>
                </c:pt>
                <c:pt idx="15">
                  <c:v>Bulgaria</c:v>
                </c:pt>
                <c:pt idx="16">
                  <c:v>Olanda</c:v>
                </c:pt>
              </c:strCache>
            </c:strRef>
          </c:cat>
          <c:val>
            <c:numRef>
              <c:f>'Figura 11'!$B$24:$B$40</c:f>
              <c:numCache>
                <c:formatCode>#\ ##0,0</c:formatCode>
                <c:ptCount val="17"/>
                <c:pt idx="0">
                  <c:v>12.145665313742125</c:v>
                </c:pt>
                <c:pt idx="1">
                  <c:v>16.165206926798316</c:v>
                </c:pt>
                <c:pt idx="2">
                  <c:v>8.7659951063263541</c:v>
                </c:pt>
                <c:pt idx="3">
                  <c:v>8.7376948372520449</c:v>
                </c:pt>
                <c:pt idx="4">
                  <c:v>7.9183356918762184</c:v>
                </c:pt>
                <c:pt idx="5">
                  <c:v>7.0530152788222749</c:v>
                </c:pt>
                <c:pt idx="6">
                  <c:v>6.6830909500143294</c:v>
                </c:pt>
                <c:pt idx="7">
                  <c:v>2.8792656576639968</c:v>
                </c:pt>
                <c:pt idx="8">
                  <c:v>3.0940767391718902</c:v>
                </c:pt>
                <c:pt idx="9">
                  <c:v>1.9493786168153264</c:v>
                </c:pt>
                <c:pt idx="10">
                  <c:v>2.3660357558761049</c:v>
                </c:pt>
                <c:pt idx="11">
                  <c:v>1.3707718466828895</c:v>
                </c:pt>
                <c:pt idx="12">
                  <c:v>1.3984811626364726</c:v>
                </c:pt>
                <c:pt idx="13">
                  <c:v>1.4137065465259926</c:v>
                </c:pt>
                <c:pt idx="14">
                  <c:v>2.0111347273800679</c:v>
                </c:pt>
                <c:pt idx="15">
                  <c:v>1.4261836546149318</c:v>
                </c:pt>
                <c:pt idx="16">
                  <c:v>1.0306551683503151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5D-4027-9176-5A5FABFE2538}"/>
            </c:ext>
          </c:extLst>
        </c:ser>
        <c:ser>
          <c:idx val="1"/>
          <c:order val="1"/>
          <c:tx>
            <c:strRef>
              <c:f>'Figura 11'!$C$23</c:f>
              <c:strCache>
                <c:ptCount val="1"/>
                <c:pt idx="0">
                  <c:v>Ianuarie - aprilie 2017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11'!$A$24:$A$40</c:f>
              <c:strCache>
                <c:ptCount val="17"/>
                <c:pt idx="0">
                  <c:v>România</c:v>
                </c:pt>
                <c:pt idx="1">
                  <c:v>Federaţia Rusă</c:v>
                </c:pt>
                <c:pt idx="2">
                  <c:v>China</c:v>
                </c:pt>
                <c:pt idx="3">
                  <c:v>Ucraina</c:v>
                </c:pt>
                <c:pt idx="4">
                  <c:v>Germania</c:v>
                </c:pt>
                <c:pt idx="5">
                  <c:v>Turcia</c:v>
                </c:pt>
                <c:pt idx="6">
                  <c:v>Italia</c:v>
                </c:pt>
                <c:pt idx="7">
                  <c:v>Polonia</c:v>
                </c:pt>
                <c:pt idx="8">
                  <c:v>Franţa</c:v>
                </c:pt>
                <c:pt idx="9">
                  <c:v>Ungaria</c:v>
                </c:pt>
                <c:pt idx="10">
                  <c:v>Belarus</c:v>
                </c:pt>
                <c:pt idx="11">
                  <c:v>Republica Cehă</c:v>
                </c:pt>
                <c:pt idx="12">
                  <c:v>S.U.A.</c:v>
                </c:pt>
                <c:pt idx="13">
                  <c:v>Spania</c:v>
                </c:pt>
                <c:pt idx="14">
                  <c:v>Austria</c:v>
                </c:pt>
                <c:pt idx="15">
                  <c:v>Bulgaria</c:v>
                </c:pt>
                <c:pt idx="16">
                  <c:v>Olanda</c:v>
                </c:pt>
              </c:strCache>
            </c:strRef>
          </c:cat>
          <c:val>
            <c:numRef>
              <c:f>'Figura 11'!$C$24:$C$40</c:f>
              <c:numCache>
                <c:formatCode>#\ ##0,0</c:formatCode>
                <c:ptCount val="17"/>
                <c:pt idx="0">
                  <c:v>13.497532483562487</c:v>
                </c:pt>
                <c:pt idx="1">
                  <c:v>14.235705939266008</c:v>
                </c:pt>
                <c:pt idx="2">
                  <c:v>9.5243266451211674</c:v>
                </c:pt>
                <c:pt idx="3">
                  <c:v>9.1549585695217441</c:v>
                </c:pt>
                <c:pt idx="4">
                  <c:v>7.97517338624401</c:v>
                </c:pt>
                <c:pt idx="5">
                  <c:v>6.853491265497663</c:v>
                </c:pt>
                <c:pt idx="6">
                  <c:v>6.6465871082870551</c:v>
                </c:pt>
                <c:pt idx="7">
                  <c:v>3.0363243422201811</c:v>
                </c:pt>
                <c:pt idx="8">
                  <c:v>3.0358734761424802</c:v>
                </c:pt>
                <c:pt idx="9">
                  <c:v>2.1380648369594302</c:v>
                </c:pt>
                <c:pt idx="10">
                  <c:v>2.64038614476928</c:v>
                </c:pt>
                <c:pt idx="11">
                  <c:v>1.3577583175127386</c:v>
                </c:pt>
                <c:pt idx="12">
                  <c:v>2.0324610401441441</c:v>
                </c:pt>
                <c:pt idx="13">
                  <c:v>1.3831375838522599</c:v>
                </c:pt>
                <c:pt idx="14">
                  <c:v>1.54208756056389</c:v>
                </c:pt>
                <c:pt idx="15">
                  <c:v>1.3155982700722366</c:v>
                </c:pt>
                <c:pt idx="16">
                  <c:v>0.99558857810739343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5D-4027-9176-5A5FABFE2538}"/>
            </c:ext>
          </c:extLst>
        </c:ser>
        <c:ser>
          <c:idx val="2"/>
          <c:order val="2"/>
          <c:tx>
            <c:strRef>
              <c:f>'Figura 11'!$D$23</c:f>
              <c:strCache>
                <c:ptCount val="1"/>
                <c:pt idx="0">
                  <c:v>Ianuarie - aprilie 2018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11'!$A$24:$A$40</c:f>
              <c:strCache>
                <c:ptCount val="17"/>
                <c:pt idx="0">
                  <c:v>România</c:v>
                </c:pt>
                <c:pt idx="1">
                  <c:v>Federaţia Rusă</c:v>
                </c:pt>
                <c:pt idx="2">
                  <c:v>China</c:v>
                </c:pt>
                <c:pt idx="3">
                  <c:v>Ucraina</c:v>
                </c:pt>
                <c:pt idx="4">
                  <c:v>Germania</c:v>
                </c:pt>
                <c:pt idx="5">
                  <c:v>Turcia</c:v>
                </c:pt>
                <c:pt idx="6">
                  <c:v>Italia</c:v>
                </c:pt>
                <c:pt idx="7">
                  <c:v>Polonia</c:v>
                </c:pt>
                <c:pt idx="8">
                  <c:v>Franţa</c:v>
                </c:pt>
                <c:pt idx="9">
                  <c:v>Ungaria</c:v>
                </c:pt>
                <c:pt idx="10">
                  <c:v>Belarus</c:v>
                </c:pt>
                <c:pt idx="11">
                  <c:v>Republica Cehă</c:v>
                </c:pt>
                <c:pt idx="12">
                  <c:v>S.U.A.</c:v>
                </c:pt>
                <c:pt idx="13">
                  <c:v>Spania</c:v>
                </c:pt>
                <c:pt idx="14">
                  <c:v>Austria</c:v>
                </c:pt>
                <c:pt idx="15">
                  <c:v>Bulgaria</c:v>
                </c:pt>
                <c:pt idx="16">
                  <c:v>Olanda</c:v>
                </c:pt>
              </c:strCache>
            </c:strRef>
          </c:cat>
          <c:val>
            <c:numRef>
              <c:f>'Figura 11'!$D$24:$D$40</c:f>
              <c:numCache>
                <c:formatCode>#\ ##0,0</c:formatCode>
                <c:ptCount val="17"/>
                <c:pt idx="0">
                  <c:v>13.443085341870905</c:v>
                </c:pt>
                <c:pt idx="1">
                  <c:v>13.593945025156692</c:v>
                </c:pt>
                <c:pt idx="2">
                  <c:v>10.563831737436507</c:v>
                </c:pt>
                <c:pt idx="3">
                  <c:v>8.6676468854653361</c:v>
                </c:pt>
                <c:pt idx="4">
                  <c:v>8.6904326258698017</c:v>
                </c:pt>
                <c:pt idx="5">
                  <c:v>6.10736538357851</c:v>
                </c:pt>
                <c:pt idx="6">
                  <c:v>6.7940011856620286</c:v>
                </c:pt>
                <c:pt idx="7">
                  <c:v>3.4888644042258878</c:v>
                </c:pt>
                <c:pt idx="8">
                  <c:v>3.2339623800403077</c:v>
                </c:pt>
                <c:pt idx="9">
                  <c:v>2.3109180745475055</c:v>
                </c:pt>
                <c:pt idx="10">
                  <c:v>1.5255725301026077</c:v>
                </c:pt>
                <c:pt idx="11">
                  <c:v>1.502278490766962</c:v>
                </c:pt>
                <c:pt idx="12">
                  <c:v>1.4460993636157458</c:v>
                </c:pt>
                <c:pt idx="13">
                  <c:v>1.4999677417995152</c:v>
                </c:pt>
                <c:pt idx="14">
                  <c:v>1.8977411480840287</c:v>
                </c:pt>
                <c:pt idx="15">
                  <c:v>1.0717018971793297</c:v>
                </c:pt>
                <c:pt idx="16">
                  <c:v>1.1556419878961119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5D-4027-9176-5A5FABFE2538}"/>
            </c:ext>
          </c:extLst>
        </c:ser>
        <c:ser>
          <c:idx val="3"/>
          <c:order val="3"/>
          <c:tx>
            <c:strRef>
              <c:f>'Figura 11'!$E$23</c:f>
              <c:strCache>
                <c:ptCount val="1"/>
                <c:pt idx="0">
                  <c:v> Ianuarie - aprilie 2019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11'!$A$24:$A$40</c:f>
              <c:strCache>
                <c:ptCount val="17"/>
                <c:pt idx="0">
                  <c:v>România</c:v>
                </c:pt>
                <c:pt idx="1">
                  <c:v>Federaţia Rusă</c:v>
                </c:pt>
                <c:pt idx="2">
                  <c:v>China</c:v>
                </c:pt>
                <c:pt idx="3">
                  <c:v>Ucraina</c:v>
                </c:pt>
                <c:pt idx="4">
                  <c:v>Germania</c:v>
                </c:pt>
                <c:pt idx="5">
                  <c:v>Turcia</c:v>
                </c:pt>
                <c:pt idx="6">
                  <c:v>Italia</c:v>
                </c:pt>
                <c:pt idx="7">
                  <c:v>Polonia</c:v>
                </c:pt>
                <c:pt idx="8">
                  <c:v>Franţa</c:v>
                </c:pt>
                <c:pt idx="9">
                  <c:v>Ungaria</c:v>
                </c:pt>
                <c:pt idx="10">
                  <c:v>Belarus</c:v>
                </c:pt>
                <c:pt idx="11">
                  <c:v>Republica Cehă</c:v>
                </c:pt>
                <c:pt idx="12">
                  <c:v>S.U.A.</c:v>
                </c:pt>
                <c:pt idx="13">
                  <c:v>Spania</c:v>
                </c:pt>
                <c:pt idx="14">
                  <c:v>Austria</c:v>
                </c:pt>
                <c:pt idx="15">
                  <c:v>Bulgaria</c:v>
                </c:pt>
                <c:pt idx="16">
                  <c:v>Olanda</c:v>
                </c:pt>
              </c:strCache>
            </c:strRef>
          </c:cat>
          <c:val>
            <c:numRef>
              <c:f>'Figura 11'!$E$24:$E$40</c:f>
              <c:numCache>
                <c:formatCode>#\ ##0,0</c:formatCode>
                <c:ptCount val="17"/>
                <c:pt idx="0">
                  <c:v>13.584160146220455</c:v>
                </c:pt>
                <c:pt idx="1">
                  <c:v>14.683872785015387</c:v>
                </c:pt>
                <c:pt idx="2">
                  <c:v>9.7028101444999688</c:v>
                </c:pt>
                <c:pt idx="3">
                  <c:v>9.2933137043964038</c:v>
                </c:pt>
                <c:pt idx="4">
                  <c:v>8.3196564920277236</c:v>
                </c:pt>
                <c:pt idx="5">
                  <c:v>6.4369899351958404</c:v>
                </c:pt>
                <c:pt idx="6">
                  <c:v>6.7809747250839338</c:v>
                </c:pt>
                <c:pt idx="7">
                  <c:v>3.2726521193240439</c:v>
                </c:pt>
                <c:pt idx="8">
                  <c:v>2.9428698982621513</c:v>
                </c:pt>
                <c:pt idx="9">
                  <c:v>2.0006236430361324</c:v>
                </c:pt>
                <c:pt idx="10">
                  <c:v>2.1314784558989972</c:v>
                </c:pt>
                <c:pt idx="11">
                  <c:v>1.8428797383055651</c:v>
                </c:pt>
                <c:pt idx="12">
                  <c:v>1.3197233974142888</c:v>
                </c:pt>
                <c:pt idx="13">
                  <c:v>1.5140712208611529</c:v>
                </c:pt>
                <c:pt idx="14">
                  <c:v>1.5787931363325156</c:v>
                </c:pt>
                <c:pt idx="15">
                  <c:v>0.79532079656297505</c:v>
                </c:pt>
                <c:pt idx="16">
                  <c:v>1.0051708695053962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5D-4027-9176-5A5FABFE2538}"/>
            </c:ext>
          </c:extLst>
        </c:ser>
        <c:ser>
          <c:idx val="4"/>
          <c:order val="4"/>
          <c:tx>
            <c:strRef>
              <c:f>'Figura 11'!$F$23</c:f>
              <c:strCache>
                <c:ptCount val="1"/>
                <c:pt idx="0">
                  <c:v>Ianuarie - aprilie 2020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11'!$A$24:$A$40</c:f>
              <c:strCache>
                <c:ptCount val="17"/>
                <c:pt idx="0">
                  <c:v>România</c:v>
                </c:pt>
                <c:pt idx="1">
                  <c:v>Federaţia Rusă</c:v>
                </c:pt>
                <c:pt idx="2">
                  <c:v>China</c:v>
                </c:pt>
                <c:pt idx="3">
                  <c:v>Ucraina</c:v>
                </c:pt>
                <c:pt idx="4">
                  <c:v>Germania</c:v>
                </c:pt>
                <c:pt idx="5">
                  <c:v>Turcia</c:v>
                </c:pt>
                <c:pt idx="6">
                  <c:v>Italia</c:v>
                </c:pt>
                <c:pt idx="7">
                  <c:v>Polonia</c:v>
                </c:pt>
                <c:pt idx="8">
                  <c:v>Franţa</c:v>
                </c:pt>
                <c:pt idx="9">
                  <c:v>Ungaria</c:v>
                </c:pt>
                <c:pt idx="10">
                  <c:v>Belarus</c:v>
                </c:pt>
                <c:pt idx="11">
                  <c:v>Republica Cehă</c:v>
                </c:pt>
                <c:pt idx="12">
                  <c:v>S.U.A.</c:v>
                </c:pt>
                <c:pt idx="13">
                  <c:v>Spania</c:v>
                </c:pt>
                <c:pt idx="14">
                  <c:v>Austria</c:v>
                </c:pt>
                <c:pt idx="15">
                  <c:v>Bulgaria</c:v>
                </c:pt>
                <c:pt idx="16">
                  <c:v>Olanda</c:v>
                </c:pt>
              </c:strCache>
            </c:strRef>
          </c:cat>
          <c:val>
            <c:numRef>
              <c:f>'Figura 11'!$F$24:$F$40</c:f>
              <c:numCache>
                <c:formatCode>#\ ##0,0</c:formatCode>
                <c:ptCount val="17"/>
                <c:pt idx="0">
                  <c:v>12.433587181960377</c:v>
                </c:pt>
                <c:pt idx="1">
                  <c:v>13.379002838445075</c:v>
                </c:pt>
                <c:pt idx="2">
                  <c:v>10.20291746990312</c:v>
                </c:pt>
                <c:pt idx="3">
                  <c:v>9.0169008424374741</c:v>
                </c:pt>
                <c:pt idx="4">
                  <c:v>8.4408400002324502</c:v>
                </c:pt>
                <c:pt idx="5">
                  <c:v>6.7862470483058672</c:v>
                </c:pt>
                <c:pt idx="6">
                  <c:v>6.0380021242999309</c:v>
                </c:pt>
                <c:pt idx="7">
                  <c:v>3.8761589996052672</c:v>
                </c:pt>
                <c:pt idx="8">
                  <c:v>3.1644282480155952</c:v>
                </c:pt>
                <c:pt idx="9">
                  <c:v>2.3049425047601781</c:v>
                </c:pt>
                <c:pt idx="10">
                  <c:v>1.8801660053379565</c:v>
                </c:pt>
                <c:pt idx="11">
                  <c:v>1.5809597986150368</c:v>
                </c:pt>
                <c:pt idx="12">
                  <c:v>1.3600166843326962</c:v>
                </c:pt>
                <c:pt idx="13">
                  <c:v>1.6316450878971462</c:v>
                </c:pt>
                <c:pt idx="14">
                  <c:v>1.2027297884727577</c:v>
                </c:pt>
                <c:pt idx="15">
                  <c:v>1.0840263959692931</c:v>
                </c:pt>
                <c:pt idx="16">
                  <c:v>1.0675762230107795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5D-4027-9176-5A5FABFE2538}"/>
            </c:ext>
          </c:extLst>
        </c:ser>
        <c:ser>
          <c:idx val="5"/>
          <c:order val="5"/>
          <c:tx>
            <c:strRef>
              <c:f>'Figura 11'!$G$23</c:f>
              <c:strCache>
                <c:ptCount val="1"/>
                <c:pt idx="0">
                  <c:v>Ianuarie - aprilie 2021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11'!$A$24:$A$40</c:f>
              <c:strCache>
                <c:ptCount val="17"/>
                <c:pt idx="0">
                  <c:v>România</c:v>
                </c:pt>
                <c:pt idx="1">
                  <c:v>Federaţia Rusă</c:v>
                </c:pt>
                <c:pt idx="2">
                  <c:v>China</c:v>
                </c:pt>
                <c:pt idx="3">
                  <c:v>Ucraina</c:v>
                </c:pt>
                <c:pt idx="4">
                  <c:v>Germania</c:v>
                </c:pt>
                <c:pt idx="5">
                  <c:v>Turcia</c:v>
                </c:pt>
                <c:pt idx="6">
                  <c:v>Italia</c:v>
                </c:pt>
                <c:pt idx="7">
                  <c:v>Polonia</c:v>
                </c:pt>
                <c:pt idx="8">
                  <c:v>Franţa</c:v>
                </c:pt>
                <c:pt idx="9">
                  <c:v>Ungaria</c:v>
                </c:pt>
                <c:pt idx="10">
                  <c:v>Belarus</c:v>
                </c:pt>
                <c:pt idx="11">
                  <c:v>Republica Cehă</c:v>
                </c:pt>
                <c:pt idx="12">
                  <c:v>S.U.A.</c:v>
                </c:pt>
                <c:pt idx="13">
                  <c:v>Spania</c:v>
                </c:pt>
                <c:pt idx="14">
                  <c:v>Austria</c:v>
                </c:pt>
                <c:pt idx="15">
                  <c:v>Bulgaria</c:v>
                </c:pt>
                <c:pt idx="16">
                  <c:v>Olanda</c:v>
                </c:pt>
              </c:strCache>
            </c:strRef>
          </c:cat>
          <c:val>
            <c:numRef>
              <c:f>'Figura 11'!$G$24:$G$40</c:f>
              <c:numCache>
                <c:formatCode>#\ ##0,0</c:formatCode>
                <c:ptCount val="17"/>
                <c:pt idx="0">
                  <c:v>12.312620722378108</c:v>
                </c:pt>
                <c:pt idx="1">
                  <c:v>12.200723807521733</c:v>
                </c:pt>
                <c:pt idx="2">
                  <c:v>11.23138832626379</c:v>
                </c:pt>
                <c:pt idx="3">
                  <c:v>8.6818508222995554</c:v>
                </c:pt>
                <c:pt idx="4">
                  <c:v>8.5367991684621902</c:v>
                </c:pt>
                <c:pt idx="5">
                  <c:v>7.4089668002738485</c:v>
                </c:pt>
                <c:pt idx="6">
                  <c:v>6.6061740923664596</c:v>
                </c:pt>
                <c:pt idx="7">
                  <c:v>3.9385969087409087</c:v>
                </c:pt>
                <c:pt idx="8">
                  <c:v>3.023572393841544</c:v>
                </c:pt>
                <c:pt idx="9">
                  <c:v>2.0813591164637804</c:v>
                </c:pt>
                <c:pt idx="10">
                  <c:v>1.8446959246470822</c:v>
                </c:pt>
                <c:pt idx="11">
                  <c:v>1.7091758875847711</c:v>
                </c:pt>
                <c:pt idx="12">
                  <c:v>1.5093886915058332</c:v>
                </c:pt>
                <c:pt idx="13">
                  <c:v>1.4767960687678015</c:v>
                </c:pt>
                <c:pt idx="14">
                  <c:v>1.4571389572235958</c:v>
                </c:pt>
                <c:pt idx="15">
                  <c:v>1.1323044989695428</c:v>
                </c:pt>
                <c:pt idx="16">
                  <c:v>1.0578683061620446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95D-4027-9176-5A5FABFE2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7935968"/>
        <c:axId val="177936528"/>
      </c:barChart>
      <c:catAx>
        <c:axId val="17793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7936528"/>
        <c:crosses val="autoZero"/>
        <c:auto val="1"/>
        <c:lblAlgn val="ctr"/>
        <c:lblOffset val="100"/>
        <c:noMultiLvlLbl val="0"/>
      </c:catAx>
      <c:valAx>
        <c:axId val="17793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7935968"/>
        <c:crosses val="autoZero"/>
        <c:crossBetween val="between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2.8013112588012683E-2"/>
          <c:y val="0.89550015513236569"/>
          <c:w val="0.93446777013489202"/>
          <c:h val="0.10228606408224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800" b="1"/>
              <a:t>Ianuarie - </a:t>
            </a:r>
            <a:r>
              <a:rPr lang="en-US" sz="800" b="1"/>
              <a:t>aprilie</a:t>
            </a:r>
            <a:r>
              <a:rPr lang="ro-RO" sz="800" b="1"/>
              <a:t>  2020</a:t>
            </a:r>
            <a:endParaRPr lang="en-US" sz="800" b="1"/>
          </a:p>
        </c:rich>
      </c:tx>
      <c:layout>
        <c:manualLayout>
          <c:xMode val="edge"/>
          <c:yMode val="edge"/>
          <c:x val="0.34394178000477216"/>
          <c:y val="4.89786416453111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934465480216228"/>
          <c:y val="0.23413635579289613"/>
          <c:w val="0.57693777798733237"/>
          <c:h val="0.61960520208285863"/>
        </c:manualLayout>
      </c:layout>
      <c:pieChart>
        <c:varyColors val="1"/>
        <c:ser>
          <c:idx val="0"/>
          <c:order val="0"/>
          <c:tx>
            <c:strRef>
              <c:f>'Figura 12'!$B$21</c:f>
              <c:strCache>
                <c:ptCount val="1"/>
                <c:pt idx="0">
                  <c:v>%</c:v>
                </c:pt>
              </c:strCache>
            </c:strRef>
          </c:tx>
          <c:spPr>
            <a:effectLst/>
          </c:spPr>
          <c:dPt>
            <c:idx val="0"/>
            <c:bubble3D val="0"/>
            <c:spPr>
              <a:solidFill>
                <a:schemeClr val="accent1">
                  <a:tint val="4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631-4CA1-BC5D-E5ED86221948}"/>
              </c:ext>
            </c:extLst>
          </c:dPt>
          <c:dPt>
            <c:idx val="1"/>
            <c:bubble3D val="0"/>
            <c:spPr>
              <a:solidFill>
                <a:schemeClr val="accent1">
                  <a:tint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631-4CA1-BC5D-E5ED86221948}"/>
              </c:ext>
            </c:extLst>
          </c:dPt>
          <c:dPt>
            <c:idx val="2"/>
            <c:bubble3D val="0"/>
            <c:spPr>
              <a:solidFill>
                <a:schemeClr val="accent1">
                  <a:tint val="7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631-4CA1-BC5D-E5ED86221948}"/>
              </c:ext>
            </c:extLst>
          </c:dPt>
          <c:dPt>
            <c:idx val="3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631-4CA1-BC5D-E5ED86221948}"/>
              </c:ext>
            </c:extLst>
          </c:dPt>
          <c:dPt>
            <c:idx val="4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631-4CA1-BC5D-E5ED86221948}"/>
              </c:ext>
            </c:extLst>
          </c:dPt>
          <c:dPt>
            <c:idx val="5"/>
            <c:bubble3D val="0"/>
            <c:spPr>
              <a:solidFill>
                <a:schemeClr val="accent1">
                  <a:shade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631-4CA1-BC5D-E5ED86221948}"/>
              </c:ext>
            </c:extLst>
          </c:dPt>
          <c:dPt>
            <c:idx val="6"/>
            <c:bubble3D val="0"/>
            <c:spPr>
              <a:solidFill>
                <a:schemeClr val="accent1">
                  <a:shade val="7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631-4CA1-BC5D-E5ED86221948}"/>
              </c:ext>
            </c:extLst>
          </c:dPt>
          <c:dPt>
            <c:idx val="7"/>
            <c:bubble3D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631-4CA1-BC5D-E5ED86221948}"/>
              </c:ext>
            </c:extLst>
          </c:dPt>
          <c:dPt>
            <c:idx val="8"/>
            <c:bubble3D val="0"/>
            <c:spPr>
              <a:solidFill>
                <a:schemeClr val="accent1">
                  <a:shade val="4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F631-4CA1-BC5D-E5ED86221948}"/>
              </c:ext>
            </c:extLst>
          </c:dPt>
          <c:dLbls>
            <c:dLbl>
              <c:idx val="0"/>
              <c:layout>
                <c:manualLayout>
                  <c:x val="-0.18482621490495507"/>
                  <c:y val="-2.15375170080577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856645192078265"/>
                      <c:h val="0.1710935482165361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631-4CA1-BC5D-E5ED86221948}"/>
                </c:ext>
              </c:extLst>
            </c:dLbl>
            <c:dLbl>
              <c:idx val="1"/>
              <c:layout>
                <c:manualLayout>
                  <c:x val="-2.8732999284180388E-3"/>
                  <c:y val="-2.74253385730386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8170683210048"/>
                      <c:h val="0.1254279290837430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631-4CA1-BC5D-E5ED86221948}"/>
                </c:ext>
              </c:extLst>
            </c:dLbl>
            <c:dLbl>
              <c:idx val="2"/>
              <c:layout>
                <c:manualLayout>
                  <c:x val="8.0808080808080808E-3"/>
                  <c:y val="7.5622284749406646E-2"/>
                </c:manualLayout>
              </c:layout>
              <c:numFmt formatCode="0,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769617434184363"/>
                      <c:h val="0.180175289978587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F631-4CA1-BC5D-E5ED86221948}"/>
                </c:ext>
              </c:extLst>
            </c:dLbl>
            <c:dLbl>
              <c:idx val="3"/>
              <c:layout>
                <c:manualLayout>
                  <c:x val="1.9505289111588324E-3"/>
                  <c:y val="9.090680858655384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710542685054542"/>
                      <c:h val="0.1650636231806302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F631-4CA1-BC5D-E5ED86221948}"/>
                </c:ext>
              </c:extLst>
            </c:dLbl>
            <c:dLbl>
              <c:idx val="4"/>
              <c:layout>
                <c:manualLayout>
                  <c:x val="3.0729340650600492E-3"/>
                  <c:y val="-3.864352442332454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197305539119744"/>
                      <c:h val="0.1683734103854367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F631-4CA1-BC5D-E5ED86221948}"/>
                </c:ext>
              </c:extLst>
            </c:dLbl>
            <c:dLbl>
              <c:idx val="5"/>
              <c:layout>
                <c:manualLayout>
                  <c:x val="-9.0883639545057612E-3"/>
                  <c:y val="-1.964699317319467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295562392449288"/>
                      <c:h val="0.1615660542432195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F631-4CA1-BC5D-E5ED86221948}"/>
                </c:ext>
              </c:extLst>
            </c:dLbl>
            <c:dLbl>
              <c:idx val="6"/>
              <c:layout>
                <c:manualLayout>
                  <c:x val="7.2372544341048256E-2"/>
                  <c:y val="-3.50085453959658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92023430845978"/>
                      <c:h val="0.1866766654168228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F631-4CA1-BC5D-E5ED86221948}"/>
                </c:ext>
              </c:extLst>
            </c:dLbl>
            <c:dLbl>
              <c:idx val="7"/>
              <c:layout>
                <c:manualLayout>
                  <c:x val="1.8711524695776661E-3"/>
                  <c:y val="4.25864267996398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113790635104777"/>
                      <c:h val="0.2811181647276789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F631-4CA1-BC5D-E5ED86221948}"/>
                </c:ext>
              </c:extLst>
            </c:dLbl>
            <c:dLbl>
              <c:idx val="8"/>
              <c:layout>
                <c:manualLayout>
                  <c:x val="3.1061799093294973E-3"/>
                  <c:y val="6.45655732186187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226295388573118"/>
                      <c:h val="0.216210342128286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F631-4CA1-BC5D-E5ED86221948}"/>
                </c:ext>
              </c:extLst>
            </c:dLbl>
            <c:numFmt formatCode="0,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bg2">
                      <a:lumMod val="7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'Figura 12'!$A$22:$A$30</c:f>
              <c:strCache>
                <c:ptCount val="9"/>
                <c:pt idx="0">
                  <c:v>Produse alimentare și animale vii</c:v>
                </c:pt>
                <c:pt idx="1">
                  <c:v>Băuturi și tutun</c:v>
                </c:pt>
                <c:pt idx="2">
                  <c:v>Materiale brute necomestibile</c:v>
                </c:pt>
                <c:pt idx="3">
                  <c:v>Combustibili minerali</c:v>
                </c:pt>
                <c:pt idx="4">
                  <c:v>Uleiuri și grăsimi</c:v>
                </c:pt>
                <c:pt idx="5">
                  <c:v>Produse chimice </c:v>
                </c:pt>
                <c:pt idx="6">
                  <c:v>Mărfuri manufacturate </c:v>
                </c:pt>
                <c:pt idx="7">
                  <c:v>Mașini și echipamente pentru transport</c:v>
                </c:pt>
                <c:pt idx="8">
                  <c:v>Articole manufacturate diverse</c:v>
                </c:pt>
              </c:strCache>
            </c:strRef>
          </c:cat>
          <c:val>
            <c:numRef>
              <c:f>'Figura 12'!$B$22:$B$30</c:f>
              <c:numCache>
                <c:formatCode>#\ ##0,0</c:formatCode>
                <c:ptCount val="9"/>
                <c:pt idx="0">
                  <c:v>13.8</c:v>
                </c:pt>
                <c:pt idx="1">
                  <c:v>1.9</c:v>
                </c:pt>
                <c:pt idx="2">
                  <c:v>3.6</c:v>
                </c:pt>
                <c:pt idx="3">
                  <c:v>14.2</c:v>
                </c:pt>
                <c:pt idx="4">
                  <c:v>0.2</c:v>
                </c:pt>
                <c:pt idx="5">
                  <c:v>17.8</c:v>
                </c:pt>
                <c:pt idx="6">
                  <c:v>17.5</c:v>
                </c:pt>
                <c:pt idx="7">
                  <c:v>21.5</c:v>
                </c:pt>
                <c:pt idx="8">
                  <c:v>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631-4CA1-BC5D-E5ED8622194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Ianuarie -</a:t>
            </a:r>
            <a:r>
              <a:rPr lang="en-US" sz="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aprilie</a:t>
            </a:r>
            <a:r>
              <a:rPr lang="ro-RO" sz="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 2021</a:t>
            </a:r>
            <a:endParaRPr lang="en-US" sz="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12590299277606"/>
          <c:y val="8.410654124642034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88202963657756"/>
          <c:y val="0.21269788644840448"/>
          <c:w val="0.53843885501773103"/>
          <c:h val="0.64572178477690301"/>
        </c:manualLayout>
      </c:layout>
      <c:pieChart>
        <c:varyColors val="1"/>
        <c:ser>
          <c:idx val="0"/>
          <c:order val="0"/>
          <c:tx>
            <c:strRef>
              <c:f>'Figura 12'!$B$32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4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4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4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3D3-4FE3-A741-BA04960B805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tint val="5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5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5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3D3-4FE3-A741-BA04960B805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tint val="7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7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7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3D3-4FE3-A741-BA04960B805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tint val="8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8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8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3D3-4FE3-A741-BA04960B8052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3D3-4FE3-A741-BA04960B8052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8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8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8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3D3-4FE3-A741-BA04960B8052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7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3D3-4FE3-A741-BA04960B8052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1">
                      <a:shade val="5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5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5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3D3-4FE3-A741-BA04960B8052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1">
                      <a:shade val="4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4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4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B3D3-4FE3-A741-BA04960B8052}"/>
              </c:ext>
            </c:extLst>
          </c:dPt>
          <c:dLbls>
            <c:dLbl>
              <c:idx val="0"/>
              <c:layout>
                <c:manualLayout>
                  <c:x val="-0.12440863622697325"/>
                  <c:y val="-1.5488390835026782E-2"/>
                </c:manualLayout>
              </c:layout>
              <c:numFmt formatCode="0,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32509235107221501"/>
                      <c:h val="0.1532973986301105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3D3-4FE3-A741-BA04960B8052}"/>
                </c:ext>
              </c:extLst>
            </c:dLbl>
            <c:dLbl>
              <c:idx val="1"/>
              <c:layout>
                <c:manualLayout>
                  <c:x val="4.1798103410448303E-3"/>
                  <c:y val="7.6090909537223309E-3"/>
                </c:manualLayout>
              </c:layout>
              <c:numFmt formatCode="0,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6639185775759217"/>
                      <c:h val="0.1147052671047697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B3D3-4FE3-A741-BA04960B8052}"/>
                </c:ext>
              </c:extLst>
            </c:dLbl>
            <c:dLbl>
              <c:idx val="2"/>
              <c:layout>
                <c:manualLayout>
                  <c:x val="2.4578467939185621E-2"/>
                  <c:y val="0.1076252921598624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79679513744992"/>
                      <c:h val="0.1663516432139416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3D3-4FE3-A741-BA04960B8052}"/>
                </c:ext>
              </c:extLst>
            </c:dLbl>
            <c:dLbl>
              <c:idx val="3"/>
              <c:layout>
                <c:manualLayout>
                  <c:x val="3.9725994003071601E-3"/>
                  <c:y val="9.891648297117271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259850747496687"/>
                      <c:h val="0.154805517731336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3D3-4FE3-A741-BA04960B8052}"/>
                </c:ext>
              </c:extLst>
            </c:dLbl>
            <c:dLbl>
              <c:idx val="4"/>
              <c:layout>
                <c:manualLayout>
                  <c:x val="-2.1623396146689094E-2"/>
                  <c:y val="0.122680895530166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3D3-4FE3-A741-BA04960B8052}"/>
                </c:ext>
              </c:extLst>
            </c:dLbl>
            <c:dLbl>
              <c:idx val="5"/>
              <c:layout>
                <c:manualLayout>
                  <c:x val="-0.12590949351145347"/>
                  <c:y val="6.01502822370957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3D3-4FE3-A741-BA04960B8052}"/>
                </c:ext>
              </c:extLst>
            </c:dLbl>
            <c:dLbl>
              <c:idx val="6"/>
              <c:layout>
                <c:manualLayout>
                  <c:x val="-2.3661539211623315E-2"/>
                  <c:y val="-2.57119561502459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32717893021995"/>
                      <c:h val="0.201345884396029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B3D3-4FE3-A741-BA04960B8052}"/>
                </c:ext>
              </c:extLst>
            </c:dLbl>
            <c:dLbl>
              <c:idx val="7"/>
              <c:layout>
                <c:manualLayout>
                  <c:x val="2.0898641588296763E-3"/>
                  <c:y val="-5.012531328320755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1643011708176"/>
                      <c:h val="0.247886251060722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B3D3-4FE3-A741-BA04960B8052}"/>
                </c:ext>
              </c:extLst>
            </c:dLbl>
            <c:dLbl>
              <c:idx val="8"/>
              <c:layout>
                <c:manualLayout>
                  <c:x val="-1.1329319129226493E-2"/>
                  <c:y val="7.4971553476631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860826565958252"/>
                      <c:h val="0.201345884396029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B3D3-4FE3-A741-BA04960B8052}"/>
                </c:ext>
              </c:extLst>
            </c:dLbl>
            <c:numFmt formatCode="0,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'Figura 12'!$A$33:$A$41</c:f>
              <c:strCache>
                <c:ptCount val="9"/>
                <c:pt idx="0">
                  <c:v>Produse alimentare și animale vii</c:v>
                </c:pt>
                <c:pt idx="1">
                  <c:v>Băuturi și tutun</c:v>
                </c:pt>
                <c:pt idx="2">
                  <c:v>Materiale brute necomestibile</c:v>
                </c:pt>
                <c:pt idx="3">
                  <c:v>Combustibili minerali</c:v>
                </c:pt>
                <c:pt idx="4">
                  <c:v>Uleiuri și grăsimi </c:v>
                </c:pt>
                <c:pt idx="5">
                  <c:v>Produse chimice</c:v>
                </c:pt>
                <c:pt idx="6">
                  <c:v>Mărfuri manufacturate </c:v>
                </c:pt>
                <c:pt idx="7">
                  <c:v>Mașini și echipamente pentru transport</c:v>
                </c:pt>
                <c:pt idx="8">
                  <c:v>Articole manufacturate diverse</c:v>
                </c:pt>
              </c:strCache>
            </c:strRef>
          </c:cat>
          <c:val>
            <c:numRef>
              <c:f>'Figura 12'!$B$33:$B$41</c:f>
              <c:numCache>
                <c:formatCode>#\ ##0,0</c:formatCode>
                <c:ptCount val="9"/>
                <c:pt idx="0">
                  <c:v>12.4</c:v>
                </c:pt>
                <c:pt idx="1">
                  <c:v>1.6</c:v>
                </c:pt>
                <c:pt idx="2">
                  <c:v>3.4</c:v>
                </c:pt>
                <c:pt idx="3">
                  <c:v>11.8</c:v>
                </c:pt>
                <c:pt idx="4">
                  <c:v>0.2</c:v>
                </c:pt>
                <c:pt idx="5">
                  <c:v>16.100000000000001</c:v>
                </c:pt>
                <c:pt idx="6">
                  <c:v>17.7</c:v>
                </c:pt>
                <c:pt idx="7">
                  <c:v>25.4</c:v>
                </c:pt>
                <c:pt idx="8">
                  <c:v>11.4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3D3-4FE3-A741-BA04960B8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39292310683395E-2"/>
          <c:y val="8.3241273945234451E-2"/>
          <c:w val="0.93642881088462071"/>
          <c:h val="0.70397265640302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'Figura 13'!$B$22</c:f>
              <c:strCache>
                <c:ptCount val="1"/>
                <c:pt idx="0">
                  <c:v>Ianuarie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13'!$B$23:$B$28</c:f>
              <c:numCache>
                <c:formatCode>#\ ##0,0</c:formatCode>
                <c:ptCount val="6"/>
                <c:pt idx="0">
                  <c:v>-90.5</c:v>
                </c:pt>
                <c:pt idx="1">
                  <c:v>-127.3</c:v>
                </c:pt>
                <c:pt idx="2">
                  <c:v>-154</c:v>
                </c:pt>
                <c:pt idx="3">
                  <c:v>-138.30000000000001</c:v>
                </c:pt>
                <c:pt idx="4">
                  <c:v>-160.30000000000001</c:v>
                </c:pt>
                <c:pt idx="5">
                  <c:v>-201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33-4221-BB37-7103809F1204}"/>
            </c:ext>
          </c:extLst>
        </c:ser>
        <c:ser>
          <c:idx val="2"/>
          <c:order val="1"/>
          <c:tx>
            <c:strRef>
              <c:f>'Figura 13'!$C$22</c:f>
              <c:strCache>
                <c:ptCount val="1"/>
                <c:pt idx="0">
                  <c:v>Februarie</c:v>
                </c:pt>
              </c:strCache>
            </c:strRef>
          </c:tx>
          <c:spPr>
            <a:solidFill>
              <a:schemeClr val="accent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13'!$C$23:$C$28</c:f>
              <c:numCache>
                <c:formatCode>#\ ##0,0</c:formatCode>
                <c:ptCount val="6"/>
                <c:pt idx="0">
                  <c:v>-148.5</c:v>
                </c:pt>
                <c:pt idx="1">
                  <c:v>-156.1</c:v>
                </c:pt>
                <c:pt idx="2">
                  <c:v>-212.1</c:v>
                </c:pt>
                <c:pt idx="3">
                  <c:v>-217.9</c:v>
                </c:pt>
                <c:pt idx="4">
                  <c:v>-239.5</c:v>
                </c:pt>
                <c:pt idx="5">
                  <c:v>-294.5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33-4221-BB37-7103809F1204}"/>
            </c:ext>
          </c:extLst>
        </c:ser>
        <c:ser>
          <c:idx val="3"/>
          <c:order val="2"/>
          <c:tx>
            <c:strRef>
              <c:f>'Figura 13'!$D$22</c:f>
              <c:strCache>
                <c:ptCount val="1"/>
                <c:pt idx="0">
                  <c:v>Martie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13'!$D$23:$D$28</c:f>
              <c:numCache>
                <c:formatCode>#\ ##0,0</c:formatCode>
                <c:ptCount val="6"/>
                <c:pt idx="0">
                  <c:v>-205.5</c:v>
                </c:pt>
                <c:pt idx="1">
                  <c:v>-219.1</c:v>
                </c:pt>
                <c:pt idx="2">
                  <c:v>-282</c:v>
                </c:pt>
                <c:pt idx="3">
                  <c:v>-276.60000000000002</c:v>
                </c:pt>
                <c:pt idx="4">
                  <c:v>-290.3</c:v>
                </c:pt>
                <c:pt idx="5">
                  <c:v>-371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33-4221-BB37-7103809F1204}"/>
            </c:ext>
          </c:extLst>
        </c:ser>
        <c:ser>
          <c:idx val="4"/>
          <c:order val="3"/>
          <c:tx>
            <c:strRef>
              <c:f>'Figura 13'!$E$22</c:f>
              <c:strCache>
                <c:ptCount val="1"/>
                <c:pt idx="0">
                  <c:v>Aprilie</c:v>
                </c:pt>
              </c:strCache>
            </c:strRef>
          </c:tx>
          <c:spPr>
            <a:solidFill>
              <a:schemeClr val="accent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13'!$E$23:$E$28</c:f>
              <c:numCache>
                <c:formatCode>#\ ##0,0</c:formatCode>
                <c:ptCount val="6"/>
                <c:pt idx="0">
                  <c:v>-176.4</c:v>
                </c:pt>
                <c:pt idx="1">
                  <c:v>-207.3</c:v>
                </c:pt>
                <c:pt idx="2">
                  <c:v>-244.9</c:v>
                </c:pt>
                <c:pt idx="3">
                  <c:v>-300</c:v>
                </c:pt>
                <c:pt idx="4">
                  <c:v>-135.80000000000001</c:v>
                </c:pt>
                <c:pt idx="5">
                  <c:v>-342.9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33-4221-BB37-7103809F1204}"/>
            </c:ext>
          </c:extLst>
        </c:ser>
        <c:ser>
          <c:idx val="5"/>
          <c:order val="4"/>
          <c:tx>
            <c:strRef>
              <c:f>'Figura 13'!$F$22</c:f>
              <c:strCache>
                <c:ptCount val="1"/>
                <c:pt idx="0">
                  <c:v>Mai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13'!$F$23:$F$28</c:f>
              <c:numCache>
                <c:formatCode>#\ ##0,0</c:formatCode>
                <c:ptCount val="6"/>
                <c:pt idx="0">
                  <c:v>-174.7</c:v>
                </c:pt>
                <c:pt idx="1">
                  <c:v>-225.7</c:v>
                </c:pt>
                <c:pt idx="2">
                  <c:v>-282.60000000000002</c:v>
                </c:pt>
                <c:pt idx="3">
                  <c:v>-271.10000000000002</c:v>
                </c:pt>
                <c:pt idx="4">
                  <c:v>-173.7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733-4221-BB37-7103809F1204}"/>
            </c:ext>
          </c:extLst>
        </c:ser>
        <c:ser>
          <c:idx val="6"/>
          <c:order val="5"/>
          <c:tx>
            <c:strRef>
              <c:f>'Figura 13'!$G$22</c:f>
              <c:strCache>
                <c:ptCount val="1"/>
                <c:pt idx="0">
                  <c:v>Iunie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13'!$G$23:$G$28</c:f>
              <c:numCache>
                <c:formatCode>#\ ##0,0</c:formatCode>
                <c:ptCount val="6"/>
                <c:pt idx="0">
                  <c:v>-167.2</c:v>
                </c:pt>
                <c:pt idx="1">
                  <c:v>-217.7</c:v>
                </c:pt>
                <c:pt idx="2">
                  <c:v>-244.6</c:v>
                </c:pt>
                <c:pt idx="3">
                  <c:v>-243.2</c:v>
                </c:pt>
                <c:pt idx="4">
                  <c:v>-223.9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733-4221-BB37-7103809F1204}"/>
            </c:ext>
          </c:extLst>
        </c:ser>
        <c:ser>
          <c:idx val="7"/>
          <c:order val="6"/>
          <c:tx>
            <c:strRef>
              <c:f>'Figura 13'!$H$22</c:f>
              <c:strCache>
                <c:ptCount val="1"/>
                <c:pt idx="0">
                  <c:v>Iulie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13'!$H$23:$H$28</c:f>
              <c:numCache>
                <c:formatCode>#\ ##0,0</c:formatCode>
                <c:ptCount val="6"/>
                <c:pt idx="0">
                  <c:v>-148.5</c:v>
                </c:pt>
                <c:pt idx="1">
                  <c:v>-205.3</c:v>
                </c:pt>
                <c:pt idx="2">
                  <c:v>-269.2</c:v>
                </c:pt>
                <c:pt idx="3">
                  <c:v>-278.89999999999998</c:v>
                </c:pt>
                <c:pt idx="4">
                  <c:v>-305.5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733-4221-BB37-7103809F1204}"/>
            </c:ext>
          </c:extLst>
        </c:ser>
        <c:ser>
          <c:idx val="8"/>
          <c:order val="7"/>
          <c:tx>
            <c:strRef>
              <c:f>'Figura 13'!$I$22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chemeClr val="accent1">
                <a:shade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13'!$I$23:$I$28</c:f>
              <c:numCache>
                <c:formatCode>#\ ##0,0</c:formatCode>
                <c:ptCount val="6"/>
                <c:pt idx="0">
                  <c:v>-183.1</c:v>
                </c:pt>
                <c:pt idx="1">
                  <c:v>-221.8</c:v>
                </c:pt>
                <c:pt idx="2">
                  <c:v>-262.10000000000002</c:v>
                </c:pt>
                <c:pt idx="3">
                  <c:v>-258.5</c:v>
                </c:pt>
                <c:pt idx="4">
                  <c:v>-269.7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733-4221-BB37-7103809F1204}"/>
            </c:ext>
          </c:extLst>
        </c:ser>
        <c:ser>
          <c:idx val="9"/>
          <c:order val="8"/>
          <c:tx>
            <c:strRef>
              <c:f>'Figura 13'!$J$22</c:f>
              <c:strCache>
                <c:ptCount val="1"/>
                <c:pt idx="0">
                  <c:v>Septembrie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13'!$J$23:$J$28</c:f>
              <c:numCache>
                <c:formatCode>#\ ##0,0</c:formatCode>
                <c:ptCount val="6"/>
                <c:pt idx="0">
                  <c:v>-168</c:v>
                </c:pt>
                <c:pt idx="1">
                  <c:v>-206.9</c:v>
                </c:pt>
                <c:pt idx="2">
                  <c:v>-266.7</c:v>
                </c:pt>
                <c:pt idx="3">
                  <c:v>-262.89999999999998</c:v>
                </c:pt>
                <c:pt idx="4">
                  <c:v>-296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733-4221-BB37-7103809F1204}"/>
            </c:ext>
          </c:extLst>
        </c:ser>
        <c:ser>
          <c:idx val="10"/>
          <c:order val="9"/>
          <c:tx>
            <c:strRef>
              <c:f>'Figura 13'!$K$22</c:f>
              <c:strCache>
                <c:ptCount val="1"/>
                <c:pt idx="0">
                  <c:v>Octombrie</c:v>
                </c:pt>
              </c:strCache>
            </c:strRef>
          </c:tx>
          <c:spPr>
            <a:solidFill>
              <a:schemeClr val="accent1">
                <a:shade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13'!$K$23:$K$28</c:f>
              <c:numCache>
                <c:formatCode>#\ ##0,0</c:formatCode>
                <c:ptCount val="6"/>
                <c:pt idx="0">
                  <c:v>-179.4</c:v>
                </c:pt>
                <c:pt idx="1">
                  <c:v>-197.7</c:v>
                </c:pt>
                <c:pt idx="2">
                  <c:v>-281.60000000000002</c:v>
                </c:pt>
                <c:pt idx="3">
                  <c:v>-257</c:v>
                </c:pt>
                <c:pt idx="4">
                  <c:v>-244.2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733-4221-BB37-7103809F1204}"/>
            </c:ext>
          </c:extLst>
        </c:ser>
        <c:ser>
          <c:idx val="11"/>
          <c:order val="10"/>
          <c:tx>
            <c:strRef>
              <c:f>'Figura 13'!$L$22</c:f>
              <c:strCache>
                <c:ptCount val="1"/>
                <c:pt idx="0">
                  <c:v>Noiembrie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13'!$L$23:$L$28</c:f>
              <c:numCache>
                <c:formatCode>#\ ##0,0</c:formatCode>
                <c:ptCount val="6"/>
                <c:pt idx="0">
                  <c:v>-135.9</c:v>
                </c:pt>
                <c:pt idx="1">
                  <c:v>-183.2</c:v>
                </c:pt>
                <c:pt idx="2">
                  <c:v>-253.70000000000005</c:v>
                </c:pt>
                <c:pt idx="3">
                  <c:v>-237.5</c:v>
                </c:pt>
                <c:pt idx="4">
                  <c:v>-260.89999999999998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733-4221-BB37-7103809F1204}"/>
            </c:ext>
          </c:extLst>
        </c:ser>
        <c:ser>
          <c:idx val="12"/>
          <c:order val="11"/>
          <c:tx>
            <c:strRef>
              <c:f>'Figura 13'!$M$22</c:f>
              <c:strCache>
                <c:ptCount val="1"/>
                <c:pt idx="0">
                  <c:v>Decembrie</c:v>
                </c:pt>
              </c:strCache>
            </c:strRef>
          </c:tx>
          <c:spPr>
            <a:solidFill>
              <a:schemeClr val="accent1">
                <a:shade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13'!$M$23:$M$28</c:f>
              <c:numCache>
                <c:formatCode>#\ ##0,0</c:formatCode>
                <c:ptCount val="6"/>
                <c:pt idx="0">
                  <c:v>-197.9</c:v>
                </c:pt>
                <c:pt idx="1">
                  <c:v>-238.3</c:v>
                </c:pt>
                <c:pt idx="2">
                  <c:v>-300.49999999999994</c:v>
                </c:pt>
                <c:pt idx="3">
                  <c:v>-321.39999999999998</c:v>
                </c:pt>
                <c:pt idx="4">
                  <c:v>-349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F6-48E3-826B-277DE0F162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78673536"/>
        <c:axId val="178946544"/>
      </c:barChart>
      <c:catAx>
        <c:axId val="17867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22225" cap="flat" cmpd="sng" algn="ctr">
            <a:gradFill>
              <a:gsLst>
                <a:gs pos="0">
                  <a:schemeClr val="tx1">
                    <a:alpha val="98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89465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8946544"/>
        <c:scaling>
          <c:orientation val="minMax"/>
          <c:min val="-4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8673536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legendEntry>
        <c:idx val="7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"/>
          <c:y val="0.9095502632723057"/>
          <c:w val="0.99780423405158192"/>
          <c:h val="7.38586594586124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62778414308116E-2"/>
          <c:y val="6.8799149302478671E-2"/>
          <c:w val="0.90019805713940926"/>
          <c:h val="0.695127900009283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14'!$B$25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3559322033898305E-2"/>
                  <c:y val="1.28617363344051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30-4EDB-9070-7CFE6EAA2650}"/>
                </c:ext>
              </c:extLst>
            </c:dLbl>
            <c:dLbl>
              <c:idx val="1"/>
              <c:layout>
                <c:manualLayout>
                  <c:x val="-1.5819209039548063E-2"/>
                  <c:y val="1.28617363344051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30-4EDB-9070-7CFE6EAA2650}"/>
                </c:ext>
              </c:extLst>
            </c:dLbl>
            <c:dLbl>
              <c:idx val="2"/>
              <c:layout>
                <c:manualLayout>
                  <c:x val="-1.3559322033898305E-2"/>
                  <c:y val="1.28617363344051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30-4EDB-9070-7CFE6EAA2650}"/>
                </c:ext>
              </c:extLst>
            </c:dLbl>
            <c:dLbl>
              <c:idx val="3"/>
              <c:layout>
                <c:manualLayout>
                  <c:x val="-1.8079096045197824E-2"/>
                  <c:y val="8.57449088960342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30-4EDB-9070-7CFE6EAA2650}"/>
                </c:ext>
              </c:extLst>
            </c:dLbl>
            <c:dLbl>
              <c:idx val="4"/>
              <c:layout>
                <c:manualLayout>
                  <c:x val="-1.5819209039548105E-2"/>
                  <c:y val="1.28617363344051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730-4EDB-9070-7CFE6EAA2650}"/>
                </c:ext>
              </c:extLst>
            </c:dLbl>
            <c:dLbl>
              <c:idx val="5"/>
              <c:layout>
                <c:manualLayout>
                  <c:x val="-1.8079096045197907E-2"/>
                  <c:y val="4.28724544480171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730-4EDB-9070-7CFE6EAA26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14'!$A$26:$A$31</c:f>
              <c:strCache>
                <c:ptCount val="6"/>
                <c:pt idx="0">
                  <c:v>Ianuarie - aprilie 2016</c:v>
                </c:pt>
                <c:pt idx="1">
                  <c:v>Ianuarie - aprilie 2017</c:v>
                </c:pt>
                <c:pt idx="2">
                  <c:v>Ianuarie - aprilie 2018</c:v>
                </c:pt>
                <c:pt idx="3">
                  <c:v>Ianuarie - aprilie 2019</c:v>
                </c:pt>
                <c:pt idx="4">
                  <c:v>Ianuarie - aprilie 2020</c:v>
                </c:pt>
                <c:pt idx="5">
                  <c:v>Ianuarie - aprilie 2021</c:v>
                </c:pt>
              </c:strCache>
            </c:strRef>
          </c:cat>
          <c:val>
            <c:numRef>
              <c:f>'Figura 14'!$B$26:$B$31</c:f>
              <c:numCache>
                <c:formatCode>#\ ##0,0</c:formatCode>
                <c:ptCount val="6"/>
                <c:pt idx="0">
                  <c:v>594.9</c:v>
                </c:pt>
                <c:pt idx="1">
                  <c:v>682.4</c:v>
                </c:pt>
                <c:pt idx="2">
                  <c:v>877.6</c:v>
                </c:pt>
                <c:pt idx="3">
                  <c:v>948.5</c:v>
                </c:pt>
                <c:pt idx="4">
                  <c:v>824.9</c:v>
                </c:pt>
                <c:pt idx="5">
                  <c:v>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D2C-4A3E-9B06-2ADBC8010143}"/>
            </c:ext>
          </c:extLst>
        </c:ser>
        <c:ser>
          <c:idx val="1"/>
          <c:order val="1"/>
          <c:tx>
            <c:strRef>
              <c:f>'Figura 14'!$C$25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7.1905333867164703E-3"/>
                  <c:y val="8.06440995518642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D2C-4A3E-9B06-2ADBC8010143}"/>
                </c:ext>
              </c:extLst>
            </c:dLbl>
            <c:dLbl>
              <c:idx val="1"/>
              <c:layout>
                <c:manualLayout>
                  <c:x val="2.6707593754170559E-3"/>
                  <c:y val="-1.53024280325091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D2C-4A3E-9B06-2ADBC8010143}"/>
                </c:ext>
              </c:extLst>
            </c:dLbl>
            <c:dLbl>
              <c:idx val="2"/>
              <c:layout>
                <c:manualLayout>
                  <c:x val="6.7796610169491523E-3"/>
                  <c:y val="7.55432902076949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D2C-4A3E-9B06-2ADBC8010143}"/>
                </c:ext>
              </c:extLst>
            </c:dLbl>
            <c:dLbl>
              <c:idx val="3"/>
              <c:layout>
                <c:manualLayout>
                  <c:x val="4.5197740112993519E-3"/>
                  <c:y val="4.28724544480171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730-4EDB-9070-7CFE6EAA2650}"/>
                </c:ext>
              </c:extLst>
            </c:dLbl>
            <c:dLbl>
              <c:idx val="4"/>
              <c:layout>
                <c:manualLayout>
                  <c:x val="0"/>
                  <c:y val="8.57449088960342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730-4EDB-9070-7CFE6EAA2650}"/>
                </c:ext>
              </c:extLst>
            </c:dLbl>
            <c:dLbl>
              <c:idx val="5"/>
              <c:layout>
                <c:manualLayout>
                  <c:x val="2.2598870056497176E-3"/>
                  <c:y val="1.28617363344051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730-4EDB-9070-7CFE6EAA26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14'!$A$26:$A$31</c:f>
              <c:strCache>
                <c:ptCount val="6"/>
                <c:pt idx="0">
                  <c:v>Ianuarie - aprilie 2016</c:v>
                </c:pt>
                <c:pt idx="1">
                  <c:v>Ianuarie - aprilie 2017</c:v>
                </c:pt>
                <c:pt idx="2">
                  <c:v>Ianuarie - aprilie 2018</c:v>
                </c:pt>
                <c:pt idx="3">
                  <c:v>Ianuarie - aprilie 2019</c:v>
                </c:pt>
                <c:pt idx="4">
                  <c:v>Ianuarie - aprilie 2020</c:v>
                </c:pt>
                <c:pt idx="5">
                  <c:v>Ianuarie - aprilie 2021</c:v>
                </c:pt>
              </c:strCache>
            </c:strRef>
          </c:cat>
          <c:val>
            <c:numRef>
              <c:f>'Figura 14'!$C$26:$C$31</c:f>
              <c:numCache>
                <c:formatCode>#\ ##0,0</c:formatCode>
                <c:ptCount val="6"/>
                <c:pt idx="0">
                  <c:v>1216</c:v>
                </c:pt>
                <c:pt idx="1">
                  <c:v>1392.2</c:v>
                </c:pt>
                <c:pt idx="2">
                  <c:v>1770.6</c:v>
                </c:pt>
                <c:pt idx="3">
                  <c:v>1881.2</c:v>
                </c:pt>
                <c:pt idx="4">
                  <c:v>1650.7</c:v>
                </c:pt>
                <c:pt idx="5">
                  <c:v>2112.3000000000002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D2C-4A3E-9B06-2ADBC8010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178950464"/>
        <c:axId val="178951024"/>
      </c:barChart>
      <c:lineChart>
        <c:grouping val="standard"/>
        <c:varyColors val="0"/>
        <c:ser>
          <c:idx val="2"/>
          <c:order val="2"/>
          <c:tx>
            <c:strRef>
              <c:f>'Figura 14'!$D$25</c:f>
              <c:strCache>
                <c:ptCount val="1"/>
                <c:pt idx="0">
                  <c:v>Balanţa Comercială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9739668134703522E-2"/>
                  <c:y val="-3.3748723531744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D2C-4A3E-9B06-2ADBC8010143}"/>
                </c:ext>
              </c:extLst>
            </c:dLbl>
            <c:dLbl>
              <c:idx val="1"/>
              <c:layout>
                <c:manualLayout>
                  <c:x val="-5.5985586547444281E-2"/>
                  <c:y val="4.60176722282705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D2C-4A3E-9B06-2ADBC8010143}"/>
                </c:ext>
              </c:extLst>
            </c:dLbl>
            <c:dLbl>
              <c:idx val="2"/>
              <c:layout>
                <c:manualLayout>
                  <c:x val="-4.6674852084167447E-2"/>
                  <c:y val="-4.2066654851423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D2C-4A3E-9B06-2ADBC8010143}"/>
                </c:ext>
              </c:extLst>
            </c:dLbl>
            <c:dLbl>
              <c:idx val="3"/>
              <c:layout>
                <c:manualLayout>
                  <c:x val="-4.6930379465278706E-2"/>
                  <c:y val="3.80825547931910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D2C-4A3E-9B06-2ADBC8010143}"/>
                </c:ext>
              </c:extLst>
            </c:dLbl>
            <c:dLbl>
              <c:idx val="4"/>
              <c:layout>
                <c:manualLayout>
                  <c:x val="-4.5197740112994433E-2"/>
                  <c:y val="-3.858520900321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730-4EDB-9070-7CFE6EAA2650}"/>
                </c:ext>
              </c:extLst>
            </c:dLbl>
            <c:dLbl>
              <c:idx val="5"/>
              <c:layout>
                <c:manualLayout>
                  <c:x val="-1.1299435028248588E-2"/>
                  <c:y val="-3.42979635584137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730-4EDB-9070-7CFE6EAA26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14'!$A$26:$A$31</c:f>
              <c:strCache>
                <c:ptCount val="6"/>
                <c:pt idx="0">
                  <c:v>Ianuarie - aprilie 2016</c:v>
                </c:pt>
                <c:pt idx="1">
                  <c:v>Ianuarie - aprilie 2017</c:v>
                </c:pt>
                <c:pt idx="2">
                  <c:v>Ianuarie - aprilie 2018</c:v>
                </c:pt>
                <c:pt idx="3">
                  <c:v>Ianuarie - aprilie 2019</c:v>
                </c:pt>
                <c:pt idx="4">
                  <c:v>Ianuarie - aprilie 2020</c:v>
                </c:pt>
                <c:pt idx="5">
                  <c:v>Ianuarie - aprilie 2021</c:v>
                </c:pt>
              </c:strCache>
            </c:strRef>
          </c:cat>
          <c:val>
            <c:numRef>
              <c:f>'Figura 14'!$D$26:$D$31</c:f>
              <c:numCache>
                <c:formatCode>#\ ##0,0</c:formatCode>
                <c:ptCount val="6"/>
                <c:pt idx="0">
                  <c:v>-621.1</c:v>
                </c:pt>
                <c:pt idx="1">
                  <c:v>-709.8</c:v>
                </c:pt>
                <c:pt idx="2">
                  <c:v>-893</c:v>
                </c:pt>
                <c:pt idx="3">
                  <c:v>-932.7</c:v>
                </c:pt>
                <c:pt idx="4">
                  <c:v>-825.8</c:v>
                </c:pt>
                <c:pt idx="5">
                  <c:v>-1209.3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D2C-4A3E-9B06-2ADBC8010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950464"/>
        <c:axId val="178951024"/>
      </c:lineChart>
      <c:catAx>
        <c:axId val="178950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8951024"/>
        <c:crosses val="autoZero"/>
        <c:auto val="1"/>
        <c:lblAlgn val="ctr"/>
        <c:lblOffset val="100"/>
        <c:noMultiLvlLbl val="0"/>
      </c:catAx>
      <c:valAx>
        <c:axId val="178951024"/>
        <c:scaling>
          <c:orientation val="minMax"/>
        </c:scaling>
        <c:delete val="0"/>
        <c:axPos val="l"/>
        <c:numFmt formatCode="#\ ##0,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8950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3316784554473065E-2"/>
          <c:y val="0.9276522267513988"/>
          <c:w val="0.8834227501223364"/>
          <c:h val="6.80605278037994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606871207459848E-2"/>
          <c:y val="6.4815888241982797E-2"/>
          <c:w val="0.93665372458857876"/>
          <c:h val="0.68725503774568897"/>
        </c:manualLayout>
      </c:layout>
      <c:lineChart>
        <c:grouping val="standard"/>
        <c:varyColors val="0"/>
        <c:ser>
          <c:idx val="0"/>
          <c:order val="0"/>
          <c:tx>
            <c:strRef>
              <c:f>'Figura 2'!$A$25</c:f>
              <c:strCache>
                <c:ptCount val="1"/>
                <c:pt idx="0">
                  <c:v>În % faţă de luna precedentă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8289512056606958E-2"/>
                  <c:y val="-5.36920580679710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80-43C6-A00C-0C1B85F0855F}"/>
                </c:ext>
              </c:extLst>
            </c:dLbl>
            <c:dLbl>
              <c:idx val="1"/>
              <c:layout>
                <c:manualLayout>
                  <c:x val="-2.16809846230165E-2"/>
                  <c:y val="3.8327391486487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80-43C6-A00C-0C1B85F0855F}"/>
                </c:ext>
              </c:extLst>
            </c:dLbl>
            <c:dLbl>
              <c:idx val="2"/>
              <c:layout>
                <c:manualLayout>
                  <c:x val="-3.0238829795398381E-2"/>
                  <c:y val="-3.5173532798750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B80-43C6-A00C-0C1B85F0855F}"/>
                </c:ext>
              </c:extLst>
            </c:dLbl>
            <c:dLbl>
              <c:idx val="3"/>
              <c:layout>
                <c:manualLayout>
                  <c:x val="-3.5648263265337446E-2"/>
                  <c:y val="4.3530199595435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B80-43C6-A00C-0C1B85F0855F}"/>
                </c:ext>
              </c:extLst>
            </c:dLbl>
            <c:dLbl>
              <c:idx val="4"/>
              <c:layout>
                <c:manualLayout>
                  <c:x val="-2.1268473213729842E-2"/>
                  <c:y val="-3.73397624971146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B80-43C6-A00C-0C1B85F0855F}"/>
                </c:ext>
              </c:extLst>
            </c:dLbl>
            <c:dLbl>
              <c:idx val="6"/>
              <c:layout>
                <c:manualLayout>
                  <c:x val="-4.1934736228146953E-2"/>
                  <c:y val="-3.98031641160557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B80-43C6-A00C-0C1B85F0855F}"/>
                </c:ext>
              </c:extLst>
            </c:dLbl>
            <c:dLbl>
              <c:idx val="7"/>
              <c:layout>
                <c:manualLayout>
                  <c:x val="-2.7850992310171754E-2"/>
                  <c:y val="3.89005682781306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B80-43C6-A00C-0C1B85F0855F}"/>
                </c:ext>
              </c:extLst>
            </c:dLbl>
            <c:dLbl>
              <c:idx val="8"/>
              <c:layout>
                <c:manualLayout>
                  <c:x val="-3.4137465272981227E-2"/>
                  <c:y val="-3.98031641160557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B80-43C6-A00C-0C1B85F0855F}"/>
                </c:ext>
              </c:extLst>
            </c:dLbl>
            <c:dLbl>
              <c:idx val="9"/>
              <c:layout>
                <c:manualLayout>
                  <c:x val="-1.2694970146275575E-2"/>
                  <c:y val="-3.0543901481445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B80-43C6-A00C-0C1B85F0855F}"/>
                </c:ext>
              </c:extLst>
            </c:dLbl>
            <c:dLbl>
              <c:idx val="10"/>
              <c:layout>
                <c:manualLayout>
                  <c:x val="-2.2003039093797559E-2"/>
                  <c:y val="-4.44327954333608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B80-43C6-A00C-0C1B85F0855F}"/>
                </c:ext>
              </c:extLst>
            </c:dLbl>
            <c:dLbl>
              <c:idx val="11"/>
              <c:layout>
                <c:manualLayout>
                  <c:x val="-3.0149000683864068E-2"/>
                  <c:y val="3.050091051322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B80-43C6-A00C-0C1B85F0855F}"/>
                </c:ext>
              </c:extLst>
            </c:dLbl>
            <c:dLbl>
              <c:idx val="12"/>
              <c:layout>
                <c:manualLayout>
                  <c:x val="-4.7782689444521263E-2"/>
                  <c:y val="-3.98031641160557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B80-43C6-A00C-0C1B85F0855F}"/>
                </c:ext>
              </c:extLst>
            </c:dLbl>
            <c:dLbl>
              <c:idx val="13"/>
              <c:layout>
                <c:manualLayout>
                  <c:x val="-3.4137465272981227E-2"/>
                  <c:y val="-3.0543901481445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B80-43C6-A00C-0C1B85F0855F}"/>
                </c:ext>
              </c:extLst>
            </c:dLbl>
            <c:dLbl>
              <c:idx val="14"/>
              <c:layout>
                <c:manualLayout>
                  <c:x val="-1.2256450399840442E-2"/>
                  <c:y val="-2.59142701641405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B80-43C6-A00C-0C1B85F0855F}"/>
                </c:ext>
              </c:extLst>
            </c:dLbl>
            <c:dLbl>
              <c:idx val="15"/>
              <c:layout>
                <c:manualLayout>
                  <c:x val="-2.5901674571380404E-2"/>
                  <c:y val="-3.9803164116055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B80-43C6-A00C-0C1B85F0855F}"/>
                </c:ext>
              </c:extLst>
            </c:dLbl>
            <c:dLbl>
              <c:idx val="16"/>
              <c:layout>
                <c:manualLayout>
                  <c:x val="-5.7529278138478301E-2"/>
                  <c:y val="-3.51735327987506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B80-43C6-A00C-0C1B85F0855F}"/>
                </c:ext>
              </c:extLst>
            </c:dLbl>
            <c:dLbl>
              <c:idx val="17"/>
              <c:layout>
                <c:manualLayout>
                  <c:x val="-3.6086783011772795E-2"/>
                  <c:y val="-3.0543901481445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B80-43C6-A00C-0C1B85F0855F}"/>
                </c:ext>
              </c:extLst>
            </c:dLbl>
            <c:dLbl>
              <c:idx val="18"/>
              <c:layout>
                <c:manualLayout>
                  <c:x val="-1.2694970146275575E-2"/>
                  <c:y val="-2.1284638846835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B80-43C6-A00C-0C1B85F0855F}"/>
                </c:ext>
              </c:extLst>
            </c:dLbl>
            <c:dLbl>
              <c:idx val="20"/>
              <c:layout>
                <c:manualLayout>
                  <c:x val="-3.6086783011772795E-2"/>
                  <c:y val="-3.9803164116055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B80-43C6-A00C-0C1B85F0855F}"/>
                </c:ext>
              </c:extLst>
            </c:dLbl>
            <c:dLbl>
              <c:idx val="21"/>
              <c:layout>
                <c:manualLayout>
                  <c:x val="-1.8542923362649844E-2"/>
                  <c:y val="-2.5914270164140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B80-43C6-A00C-0C1B85F0855F}"/>
                </c:ext>
              </c:extLst>
            </c:dLbl>
            <c:dLbl>
              <c:idx val="22"/>
              <c:layout>
                <c:manualLayout>
                  <c:x val="-2.4390876579024112E-2"/>
                  <c:y val="-4.4432795433360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B80-43C6-A00C-0C1B85F0855F}"/>
                </c:ext>
              </c:extLst>
            </c:dLbl>
            <c:dLbl>
              <c:idx val="23"/>
              <c:layout>
                <c:manualLayout>
                  <c:x val="-3.1749627787754746E-2"/>
                  <c:y val="3.42709369608256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B80-43C6-A00C-0C1B85F0855F}"/>
                </c:ext>
              </c:extLst>
            </c:dLbl>
            <c:dLbl>
              <c:idx val="25"/>
              <c:layout>
                <c:manualLayout>
                  <c:x val="-4.7718684287271107E-2"/>
                  <c:y val="-3.0543901481445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B80-43C6-A00C-0C1B85F0855F}"/>
                </c:ext>
              </c:extLst>
            </c:dLbl>
            <c:dLbl>
              <c:idx val="26"/>
              <c:layout>
                <c:manualLayout>
                  <c:x val="-9.8232666517610867E-3"/>
                  <c:y val="-1.5624235895594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B80-43C6-A00C-0C1B85F0855F}"/>
                </c:ext>
              </c:extLst>
            </c:dLbl>
            <c:dLbl>
              <c:idx val="27"/>
              <c:layout>
                <c:manualLayout>
                  <c:x val="-6.8308259579956763E-3"/>
                  <c:y val="3.1119204561970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B80-43C6-A00C-0C1B85F0855F}"/>
                </c:ext>
              </c:extLst>
            </c:dLbl>
            <c:numFmt formatCode="# ##0,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2'!$B$23:$AC$24</c:f>
              <c:multiLvlStrCache>
                <c:ptCount val="28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 </c:v>
                  </c:pt>
                  <c:pt idx="6">
                    <c:v>VII</c:v>
                  </c:pt>
                  <c:pt idx="7">
                    <c:v>VIII </c:v>
                  </c:pt>
                  <c:pt idx="8">
                    <c:v>IX</c:v>
                  </c:pt>
                  <c:pt idx="9">
                    <c:v>X 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'Figura 2'!$B$25:$AC$25</c:f>
              <c:numCache>
                <c:formatCode>#\ ##0,0</c:formatCode>
                <c:ptCount val="28"/>
                <c:pt idx="0">
                  <c:v>107.04955714362214</c:v>
                </c:pt>
                <c:pt idx="1">
                  <c:v>103.05469693630643</c:v>
                </c:pt>
                <c:pt idx="2">
                  <c:v>106.5540849399146</c:v>
                </c:pt>
                <c:pt idx="3">
                  <c:v>83.804058120513616</c:v>
                </c:pt>
                <c:pt idx="4">
                  <c:v>97.663587687631406</c:v>
                </c:pt>
                <c:pt idx="5">
                  <c:v>96.047232355670943</c:v>
                </c:pt>
                <c:pt idx="6">
                  <c:v>108.87893967295254</c:v>
                </c:pt>
                <c:pt idx="7">
                  <c:v>93.476142278451405</c:v>
                </c:pt>
                <c:pt idx="8">
                  <c:v>116.03027535062083</c:v>
                </c:pt>
                <c:pt idx="9">
                  <c:v>112.37403253245004</c:v>
                </c:pt>
                <c:pt idx="10">
                  <c:v>99.332915825323369</c:v>
                </c:pt>
                <c:pt idx="11">
                  <c:v>81.894486392152885</c:v>
                </c:pt>
                <c:pt idx="12">
                  <c:v>100.54069338788538</c:v>
                </c:pt>
                <c:pt idx="13">
                  <c:v>111.77933359663091</c:v>
                </c:pt>
                <c:pt idx="14">
                  <c:v>85.694935103741471</c:v>
                </c:pt>
                <c:pt idx="15">
                  <c:v>71.283537880135214</c:v>
                </c:pt>
                <c:pt idx="16">
                  <c:v>103.90424682350312</c:v>
                </c:pt>
                <c:pt idx="17">
                  <c:v>121.75061963317823</c:v>
                </c:pt>
                <c:pt idx="18">
                  <c:v>100.8184202333199</c:v>
                </c:pt>
                <c:pt idx="19">
                  <c:v>78.376764810035453</c:v>
                </c:pt>
                <c:pt idx="20">
                  <c:v>129.49769232961904</c:v>
                </c:pt>
                <c:pt idx="21">
                  <c:v>117.47585360993436</c:v>
                </c:pt>
                <c:pt idx="22">
                  <c:v>105.08585699580438</c:v>
                </c:pt>
                <c:pt idx="23">
                  <c:v>83.287463510424814</c:v>
                </c:pt>
                <c:pt idx="24">
                  <c:v>90.924906043100663</c:v>
                </c:pt>
                <c:pt idx="25">
                  <c:v>114.41186008293316</c:v>
                </c:pt>
                <c:pt idx="26">
                  <c:v>114.18675061706691</c:v>
                </c:pt>
                <c:pt idx="27">
                  <c:v>84.198294032010949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2D8C-45EE-B332-341AC82C0A62}"/>
            </c:ext>
          </c:extLst>
        </c:ser>
        <c:ser>
          <c:idx val="1"/>
          <c:order val="1"/>
          <c:tx>
            <c:strRef>
              <c:f>'Figura 2'!$A$26</c:f>
              <c:strCache>
                <c:ptCount val="1"/>
                <c:pt idx="0">
                  <c:v>În % faţă de luna corespunzătoare din anul precedent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0238863389278448E-2"/>
                  <c:y val="3.48423059495413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B80-43C6-A00C-0C1B85F0855F}"/>
                </c:ext>
              </c:extLst>
            </c:dLbl>
            <c:dLbl>
              <c:idx val="1"/>
              <c:layout>
                <c:manualLayout>
                  <c:x val="-2.1744254017291451E-2"/>
                  <c:y val="-3.94733557328135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B80-43C6-A00C-0C1B85F0855F}"/>
                </c:ext>
              </c:extLst>
            </c:dLbl>
            <c:dLbl>
              <c:idx val="2"/>
              <c:layout>
                <c:manualLayout>
                  <c:x val="-2.0492241101441266E-2"/>
                  <c:y val="2.5914634702039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1B80-43C6-A00C-0C1B85F0855F}"/>
                </c:ext>
              </c:extLst>
            </c:dLbl>
            <c:dLbl>
              <c:idx val="3"/>
              <c:layout>
                <c:manualLayout>
                  <c:x val="-1.6593605623858421E-2"/>
                  <c:y val="-2.96409411056216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1B80-43C6-A00C-0C1B85F0855F}"/>
                </c:ext>
              </c:extLst>
            </c:dLbl>
            <c:dLbl>
              <c:idx val="4"/>
              <c:layout>
                <c:manualLayout>
                  <c:x val="-2.9800310048963177E-2"/>
                  <c:y val="3.51738973366496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1B80-43C6-A00C-0C1B85F0855F}"/>
                </c:ext>
              </c:extLst>
            </c:dLbl>
            <c:dLbl>
              <c:idx val="5"/>
              <c:layout>
                <c:manualLayout>
                  <c:x val="-2.5901674571380331E-2"/>
                  <c:y val="5.369242260587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1B80-43C6-A00C-0C1B85F0855F}"/>
                </c:ext>
              </c:extLst>
            </c:dLbl>
            <c:dLbl>
              <c:idx val="6"/>
              <c:layout>
                <c:manualLayout>
                  <c:x val="-3.608678301177265E-2"/>
                  <c:y val="4.90627912885648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1B80-43C6-A00C-0C1B85F0855F}"/>
                </c:ext>
              </c:extLst>
            </c:dLbl>
            <c:dLbl>
              <c:idx val="7"/>
              <c:layout>
                <c:manualLayout>
                  <c:x val="-4.4591794446746788E-3"/>
                  <c:y val="-1.1122415836401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1B80-43C6-A00C-0C1B85F0855F}"/>
                </c:ext>
              </c:extLst>
            </c:dLbl>
            <c:dLbl>
              <c:idx val="8"/>
              <c:layout>
                <c:manualLayout>
                  <c:x val="-5.9827261950164384E-2"/>
                  <c:y val="3.625979977258542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1B80-43C6-A00C-0C1B85F0855F}"/>
                </c:ext>
              </c:extLst>
            </c:dLbl>
            <c:dLbl>
              <c:idx val="9"/>
              <c:layout>
                <c:manualLayout>
                  <c:x val="-3.8036100750564072E-2"/>
                  <c:y val="3.0544266019344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1B80-43C6-A00C-0C1B85F0855F}"/>
                </c:ext>
              </c:extLst>
            </c:dLbl>
            <c:dLbl>
              <c:idx val="10"/>
              <c:layout>
                <c:manualLayout>
                  <c:x val="-3.174962778775467E-2"/>
                  <c:y val="3.0544266019344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1B80-43C6-A00C-0C1B85F0855F}"/>
                </c:ext>
              </c:extLst>
            </c:dLbl>
            <c:dLbl>
              <c:idx val="11"/>
              <c:layout>
                <c:manualLayout>
                  <c:x val="-2.9800310048963177E-2"/>
                  <c:y val="3.9803528653954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1B80-43C6-A00C-0C1B85F0855F}"/>
                </c:ext>
              </c:extLst>
            </c:dLbl>
            <c:dLbl>
              <c:idx val="12"/>
              <c:layout>
                <c:manualLayout>
                  <c:x val="-3.17496277877546E-2"/>
                  <c:y val="3.9803528653954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1B80-43C6-A00C-0C1B85F0855F}"/>
                </c:ext>
              </c:extLst>
            </c:dLbl>
            <c:dLbl>
              <c:idx val="13"/>
              <c:layout>
                <c:manualLayout>
                  <c:x val="-6.8470169299013062E-3"/>
                  <c:y val="-2.03816784710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1B80-43C6-A00C-0C1B85F0855F}"/>
                </c:ext>
              </c:extLst>
            </c:dLbl>
            <c:dLbl>
              <c:idx val="14"/>
              <c:layout>
                <c:manualLayout>
                  <c:x val="-4.3445534220503138E-2"/>
                  <c:y val="4.4433159971259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1B80-43C6-A00C-0C1B85F0855F}"/>
                </c:ext>
              </c:extLst>
            </c:dLbl>
            <c:dLbl>
              <c:idx val="15"/>
              <c:layout>
                <c:manualLayout>
                  <c:x val="-3.1749627787754746E-2"/>
                  <c:y val="3.9803528653954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1B80-43C6-A00C-0C1B85F0855F}"/>
                </c:ext>
              </c:extLst>
            </c:dLbl>
            <c:dLbl>
              <c:idx val="16"/>
              <c:layout>
                <c:manualLayout>
                  <c:x val="-1.615508587742329E-2"/>
                  <c:y val="3.0544266019344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1B80-43C6-A00C-0C1B85F0855F}"/>
                </c:ext>
              </c:extLst>
            </c:dLbl>
            <c:dLbl>
              <c:idx val="17"/>
              <c:layout>
                <c:manualLayout>
                  <c:x val="-4.539485195929456E-2"/>
                  <c:y val="-2.5011309788316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1B80-43C6-A00C-0C1B85F0855F}"/>
                </c:ext>
              </c:extLst>
            </c:dLbl>
            <c:dLbl>
              <c:idx val="18"/>
              <c:layout>
                <c:manualLayout>
                  <c:x val="-2.9800310048963177E-2"/>
                  <c:y val="-2.96409411056215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1B80-43C6-A00C-0C1B85F0855F}"/>
                </c:ext>
              </c:extLst>
            </c:dLbl>
            <c:dLbl>
              <c:idx val="20"/>
              <c:layout>
                <c:manualLayout>
                  <c:x val="-1.810440361621464E-2"/>
                  <c:y val="3.51738973366495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1B80-43C6-A00C-0C1B85F0855F}"/>
                </c:ext>
              </c:extLst>
            </c:dLbl>
            <c:dLbl>
              <c:idx val="21"/>
              <c:layout>
                <c:manualLayout>
                  <c:x val="-4.7344169698085983E-2"/>
                  <c:y val="-2.96409411056216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1B80-43C6-A00C-0C1B85F0855F}"/>
                </c:ext>
              </c:extLst>
            </c:dLbl>
            <c:dLbl>
              <c:idx val="22"/>
              <c:layout>
                <c:manualLayout>
                  <c:x val="-4.9293487436877552E-2"/>
                  <c:y val="-2.96409411056216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1B80-43C6-A00C-0C1B85F0855F}"/>
                </c:ext>
              </c:extLst>
            </c:dLbl>
            <c:dLbl>
              <c:idx val="23"/>
              <c:layout>
                <c:manualLayout>
                  <c:x val="-2.8289512056606958E-2"/>
                  <c:y val="-3.8900203740231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1B80-43C6-A00C-0C1B85F0855F}"/>
                </c:ext>
              </c:extLst>
            </c:dLbl>
            <c:dLbl>
              <c:idx val="24"/>
              <c:layout>
                <c:manualLayout>
                  <c:x val="-2.9800310048963177E-2"/>
                  <c:y val="3.9803528653954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1B80-43C6-A00C-0C1B85F0855F}"/>
                </c:ext>
              </c:extLst>
            </c:dLbl>
            <c:dLbl>
              <c:idx val="25"/>
              <c:layout>
                <c:manualLayout>
                  <c:x val="-1.8917437951834967E-2"/>
                  <c:y val="3.9803528653954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1B80-43C6-A00C-0C1B85F0855F}"/>
                </c:ext>
              </c:extLst>
            </c:dLbl>
            <c:dLbl>
              <c:idx val="26"/>
              <c:layout>
                <c:manualLayout>
                  <c:x val="-3.8634787630354606E-2"/>
                  <c:y val="-3.6492685971256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1B80-43C6-A00C-0C1B85F0855F}"/>
                </c:ext>
              </c:extLst>
            </c:dLbl>
            <c:dLbl>
              <c:idx val="27"/>
              <c:layout>
                <c:manualLayout>
                  <c:x val="0"/>
                  <c:y val="-4.3529835057536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1B80-43C6-A00C-0C1B85F0855F}"/>
                </c:ext>
              </c:extLst>
            </c:dLbl>
            <c:numFmt formatCode="# ##0,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2'!$B$23:$AC$24</c:f>
              <c:multiLvlStrCache>
                <c:ptCount val="28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 </c:v>
                  </c:pt>
                  <c:pt idx="6">
                    <c:v>VII</c:v>
                  </c:pt>
                  <c:pt idx="7">
                    <c:v>VIII </c:v>
                  </c:pt>
                  <c:pt idx="8">
                    <c:v>IX</c:v>
                  </c:pt>
                  <c:pt idx="9">
                    <c:v>X 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'Figura 2'!$B$26:$AC$26</c:f>
              <c:numCache>
                <c:formatCode>#\ ##0,0</c:formatCode>
                <c:ptCount val="28"/>
                <c:pt idx="0">
                  <c:v>106.32363840150403</c:v>
                </c:pt>
                <c:pt idx="1">
                  <c:v>112.03752197942065</c:v>
                </c:pt>
                <c:pt idx="2">
                  <c:v>106.24094623150131</c:v>
                </c:pt>
                <c:pt idx="3">
                  <c:v>107.92813662968615</c:v>
                </c:pt>
                <c:pt idx="4">
                  <c:v>94.400104290284631</c:v>
                </c:pt>
                <c:pt idx="5">
                  <c:v>94.437390084542201</c:v>
                </c:pt>
                <c:pt idx="6">
                  <c:v>100.6095432052643</c:v>
                </c:pt>
                <c:pt idx="7">
                  <c:v>94.145274542115814</c:v>
                </c:pt>
                <c:pt idx="8">
                  <c:v>115.19027152038439</c:v>
                </c:pt>
                <c:pt idx="9">
                  <c:v>103.62098669571817</c:v>
                </c:pt>
                <c:pt idx="10">
                  <c:v>99.147688156183818</c:v>
                </c:pt>
                <c:pt idx="11">
                  <c:v>99.755109028932736</c:v>
                </c:pt>
                <c:pt idx="12">
                  <c:v>93.68976480021378</c:v>
                </c:pt>
                <c:pt idx="13">
                  <c:v>101.62156394157972</c:v>
                </c:pt>
                <c:pt idx="14">
                  <c:v>81.728010071364707</c:v>
                </c:pt>
                <c:pt idx="15">
                  <c:v>69.517656214361068</c:v>
                </c:pt>
                <c:pt idx="16">
                  <c:v>73.959803043393492</c:v>
                </c:pt>
                <c:pt idx="17">
                  <c:v>93.752330261178145</c:v>
                </c:pt>
                <c:pt idx="18">
                  <c:v>86.811663105059509</c:v>
                </c:pt>
                <c:pt idx="19">
                  <c:v>79.643812518387932</c:v>
                </c:pt>
                <c:pt idx="20">
                  <c:v>88.887920831852767</c:v>
                </c:pt>
                <c:pt idx="21">
                  <c:v>92.923464078044901</c:v>
                </c:pt>
                <c:pt idx="22">
                  <c:v>98.30519698859753</c:v>
                </c:pt>
                <c:pt idx="23">
                  <c:v>99.977310656379856</c:v>
                </c:pt>
                <c:pt idx="24">
                  <c:v>90.415405658705879</c:v>
                </c:pt>
                <c:pt idx="25">
                  <c:v>92.544788099159774</c:v>
                </c:pt>
                <c:pt idx="26">
                  <c:v>123.31403981805084</c:v>
                </c:pt>
                <c:pt idx="27">
                  <c:v>145.65539382086087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2D8C-45EE-B332-341AC82C0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927072"/>
        <c:axId val="174927632"/>
      </c:lineChart>
      <c:catAx>
        <c:axId val="17492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4927632"/>
        <c:crossesAt val="50"/>
        <c:auto val="0"/>
        <c:lblAlgn val="ctr"/>
        <c:lblOffset val="100"/>
        <c:noMultiLvlLbl val="0"/>
      </c:catAx>
      <c:valAx>
        <c:axId val="174927632"/>
        <c:scaling>
          <c:orientation val="minMax"/>
          <c:max val="17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 ##0,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4927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7.9311033036221973E-2"/>
          <c:y val="0.92998049555732143"/>
          <c:w val="0.90022613392334228"/>
          <c:h val="6.78598947061441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3412934038983"/>
          <c:y val="2.5787239558018211E-2"/>
          <c:w val="0.80515863336679827"/>
          <c:h val="0.7353763411152552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'Figura 3'!$B$22</c:f>
              <c:strCache>
                <c:ptCount val="1"/>
                <c:pt idx="0">
                  <c:v>Ianuarie - aprilie 2021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3'!$A$23:$A$27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3'!$B$23:$B$27</c:f>
              <c:numCache>
                <c:formatCode>#\ ##0,0</c:formatCode>
                <c:ptCount val="5"/>
                <c:pt idx="0">
                  <c:v>4.9000000000000004</c:v>
                </c:pt>
                <c:pt idx="1">
                  <c:v>0.8</c:v>
                </c:pt>
                <c:pt idx="2">
                  <c:v>93.1</c:v>
                </c:pt>
                <c:pt idx="3">
                  <c:v>1.1000000000000001</c:v>
                </c:pt>
                <c:pt idx="4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B2-423F-8D54-2DEAA91EB392}"/>
            </c:ext>
          </c:extLst>
        </c:ser>
        <c:ser>
          <c:idx val="1"/>
          <c:order val="1"/>
          <c:tx>
            <c:strRef>
              <c:f>'Figura 3'!$C$22</c:f>
              <c:strCache>
                <c:ptCount val="1"/>
                <c:pt idx="0">
                  <c:v>Ianuarie - aprilie 2020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3'!$A$23:$A$27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3'!$C$23:$C$27</c:f>
              <c:numCache>
                <c:formatCode>#\ ##0,0</c:formatCode>
                <c:ptCount val="5"/>
                <c:pt idx="0">
                  <c:v>9.9</c:v>
                </c:pt>
                <c:pt idx="1">
                  <c:v>5.0999999999999996</c:v>
                </c:pt>
                <c:pt idx="2">
                  <c:v>83.6</c:v>
                </c:pt>
                <c:pt idx="3">
                  <c:v>1.3</c:v>
                </c:pt>
                <c:pt idx="4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07-43E1-A3A1-2DA6806EBB0C}"/>
            </c:ext>
          </c:extLst>
        </c:ser>
        <c:ser>
          <c:idx val="2"/>
          <c:order val="2"/>
          <c:tx>
            <c:strRef>
              <c:f>'Figura 3'!$D$22</c:f>
              <c:strCache>
                <c:ptCount val="1"/>
                <c:pt idx="0">
                  <c:v>Ianuarie - aprilie 2019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3'!$A$23:$A$27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3'!$D$23:$D$27</c:f>
              <c:numCache>
                <c:formatCode>#\ ##0,0</c:formatCode>
                <c:ptCount val="5"/>
                <c:pt idx="0">
                  <c:v>7.6</c:v>
                </c:pt>
                <c:pt idx="1">
                  <c:v>5.0999999999999996</c:v>
                </c:pt>
                <c:pt idx="2">
                  <c:v>85.7</c:v>
                </c:pt>
                <c:pt idx="3">
                  <c:v>1.5</c:v>
                </c:pt>
                <c:pt idx="4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07-43E1-A3A1-2DA6806EBB0C}"/>
            </c:ext>
          </c:extLst>
        </c:ser>
        <c:ser>
          <c:idx val="3"/>
          <c:order val="3"/>
          <c:tx>
            <c:strRef>
              <c:f>'Figura 3'!$E$22</c:f>
              <c:strCache>
                <c:ptCount val="1"/>
                <c:pt idx="0">
                  <c:v>Ianuarie - aprilie 2018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3'!$A$23:$A$27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3'!$E$23:$E$27</c:f>
              <c:numCache>
                <c:formatCode>#\ ##0,0</c:formatCode>
                <c:ptCount val="5"/>
                <c:pt idx="0">
                  <c:v>7.7</c:v>
                </c:pt>
                <c:pt idx="1">
                  <c:v>3.4</c:v>
                </c:pt>
                <c:pt idx="2">
                  <c:v>87.1</c:v>
                </c:pt>
                <c:pt idx="3">
                  <c:v>1.7</c:v>
                </c:pt>
                <c:pt idx="4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07-43E1-A3A1-2DA6806EBB0C}"/>
            </c:ext>
          </c:extLst>
        </c:ser>
        <c:ser>
          <c:idx val="4"/>
          <c:order val="4"/>
          <c:tx>
            <c:strRef>
              <c:f>'Figura 3'!$F$22</c:f>
              <c:strCache>
                <c:ptCount val="1"/>
                <c:pt idx="0">
                  <c:v>Ianuarie - aprilie 2017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3'!$A$23:$A$27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3'!$F$23:$F$27</c:f>
              <c:numCache>
                <c:formatCode>#\ ##0,0</c:formatCode>
                <c:ptCount val="5"/>
                <c:pt idx="0">
                  <c:v>8.1</c:v>
                </c:pt>
                <c:pt idx="1">
                  <c:v>1.8</c:v>
                </c:pt>
                <c:pt idx="2">
                  <c:v>86.8</c:v>
                </c:pt>
                <c:pt idx="3">
                  <c:v>3.2</c:v>
                </c:pt>
                <c:pt idx="4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07-43E1-A3A1-2DA6806EBB0C}"/>
            </c:ext>
          </c:extLst>
        </c:ser>
        <c:ser>
          <c:idx val="5"/>
          <c:order val="5"/>
          <c:tx>
            <c:strRef>
              <c:f>'Figura 3'!$G$22</c:f>
              <c:strCache>
                <c:ptCount val="1"/>
                <c:pt idx="0">
                  <c:v>Ianuarie - aprilie 2016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3'!$A$23:$A$27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3'!$G$23:$G$27</c:f>
              <c:numCache>
                <c:formatCode>#\ ##0,0</c:formatCode>
                <c:ptCount val="5"/>
                <c:pt idx="0">
                  <c:v>5.2</c:v>
                </c:pt>
                <c:pt idx="1">
                  <c:v>1.4</c:v>
                </c:pt>
                <c:pt idx="2">
                  <c:v>91.9</c:v>
                </c:pt>
                <c:pt idx="3">
                  <c:v>1.3</c:v>
                </c:pt>
                <c:pt idx="4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07-43E1-A3A1-2DA6806EB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4885248"/>
        <c:axId val="174885808"/>
      </c:barChart>
      <c:catAx>
        <c:axId val="1748852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4885808"/>
        <c:crossesAt val="0"/>
        <c:auto val="1"/>
        <c:lblAlgn val="ctr"/>
        <c:lblOffset val="100"/>
        <c:noMultiLvlLbl val="0"/>
      </c:catAx>
      <c:valAx>
        <c:axId val="174885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4885248"/>
        <c:crosses val="autoZero"/>
        <c:crossBetween val="between"/>
        <c:minorUnit val="1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3.8583931448050511E-3"/>
          <c:y val="0.88527291983238943"/>
          <c:w val="0.99614160685519493"/>
          <c:h val="0.11472708016761064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603993862784941E-2"/>
          <c:y val="7.9067734558931208E-2"/>
          <c:w val="0.89680642947696532"/>
          <c:h val="0.666971714372613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4'!$A$21</c:f>
              <c:strCache>
                <c:ptCount val="1"/>
                <c:pt idx="0">
                  <c:v>Ţările Uniunii Europene 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4'!$B$20:$G$20</c:f>
              <c:strCache>
                <c:ptCount val="6"/>
                <c:pt idx="0">
                  <c:v>Ianuarie - aprilie 2016</c:v>
                </c:pt>
                <c:pt idx="1">
                  <c:v>Ianuarie - aprilie 2017</c:v>
                </c:pt>
                <c:pt idx="2">
                  <c:v>Ianuarie - aprilie 2018</c:v>
                </c:pt>
                <c:pt idx="3">
                  <c:v>Ianuarie - aprilie 2019</c:v>
                </c:pt>
                <c:pt idx="4">
                  <c:v>Ianuarie - aprilie 2020</c:v>
                </c:pt>
                <c:pt idx="5">
                  <c:v>Ianuarie - aprilie 2021</c:v>
                </c:pt>
              </c:strCache>
            </c:strRef>
          </c:cat>
          <c:val>
            <c:numRef>
              <c:f>'Figura 4'!$B$21:$G$21</c:f>
              <c:numCache>
                <c:formatCode>#\ ##0,0</c:formatCode>
                <c:ptCount val="6"/>
                <c:pt idx="0">
                  <c:v>55.936065046662634</c:v>
                </c:pt>
                <c:pt idx="1">
                  <c:v>57.536697811990713</c:v>
                </c:pt>
                <c:pt idx="2">
                  <c:v>64.192166301383978</c:v>
                </c:pt>
                <c:pt idx="3">
                  <c:v>61.708083753906791</c:v>
                </c:pt>
                <c:pt idx="4">
                  <c:v>64.198306203861307</c:v>
                </c:pt>
                <c:pt idx="5">
                  <c:v>64.391911478263225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29-4207-A2A3-2E8D24AB4E7A}"/>
            </c:ext>
          </c:extLst>
        </c:ser>
        <c:ser>
          <c:idx val="1"/>
          <c:order val="1"/>
          <c:tx>
            <c:strRef>
              <c:f>'Figura 4'!$A$22</c:f>
              <c:strCache>
                <c:ptCount val="1"/>
                <c:pt idx="0">
                  <c:v>Ţările CSI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4'!$B$20:$G$20</c:f>
              <c:strCache>
                <c:ptCount val="6"/>
                <c:pt idx="0">
                  <c:v>Ianuarie - aprilie 2016</c:v>
                </c:pt>
                <c:pt idx="1">
                  <c:v>Ianuarie - aprilie 2017</c:v>
                </c:pt>
                <c:pt idx="2">
                  <c:v>Ianuarie - aprilie 2018</c:v>
                </c:pt>
                <c:pt idx="3">
                  <c:v>Ianuarie - aprilie 2019</c:v>
                </c:pt>
                <c:pt idx="4">
                  <c:v>Ianuarie - aprilie 2020</c:v>
                </c:pt>
                <c:pt idx="5">
                  <c:v>Ianuarie - aprilie 2021</c:v>
                </c:pt>
              </c:strCache>
            </c:strRef>
          </c:cat>
          <c:val>
            <c:numRef>
              <c:f>'Figura 4'!$B$22:$G$22</c:f>
              <c:numCache>
                <c:formatCode>#\ ##0,0</c:formatCode>
                <c:ptCount val="6"/>
                <c:pt idx="0">
                  <c:v>20.779864487657022</c:v>
                </c:pt>
                <c:pt idx="1">
                  <c:v>20.995260953127115</c:v>
                </c:pt>
                <c:pt idx="2">
                  <c:v>16.26669796256536</c:v>
                </c:pt>
                <c:pt idx="3">
                  <c:v>14.653774068784209</c:v>
                </c:pt>
                <c:pt idx="4">
                  <c:v>15.635142538063699</c:v>
                </c:pt>
                <c:pt idx="5">
                  <c:v>15.976219923120716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29-4207-A2A3-2E8D24AB4E7A}"/>
            </c:ext>
          </c:extLst>
        </c:ser>
        <c:ser>
          <c:idx val="2"/>
          <c:order val="2"/>
          <c:tx>
            <c:strRef>
              <c:f>'Figura 4'!$A$23</c:f>
              <c:strCache>
                <c:ptCount val="1"/>
                <c:pt idx="0">
                  <c:v>Celelalte ţări ale lumii 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4'!$B$20:$G$20</c:f>
              <c:strCache>
                <c:ptCount val="6"/>
                <c:pt idx="0">
                  <c:v>Ianuarie - aprilie 2016</c:v>
                </c:pt>
                <c:pt idx="1">
                  <c:v>Ianuarie - aprilie 2017</c:v>
                </c:pt>
                <c:pt idx="2">
                  <c:v>Ianuarie - aprilie 2018</c:v>
                </c:pt>
                <c:pt idx="3">
                  <c:v>Ianuarie - aprilie 2019</c:v>
                </c:pt>
                <c:pt idx="4">
                  <c:v>Ianuarie - aprilie 2020</c:v>
                </c:pt>
                <c:pt idx="5">
                  <c:v>Ianuarie - aprilie 2021</c:v>
                </c:pt>
              </c:strCache>
            </c:strRef>
          </c:cat>
          <c:val>
            <c:numRef>
              <c:f>'Figura 4'!$B$23:$G$23</c:f>
              <c:numCache>
                <c:formatCode>#\ ##0,0</c:formatCode>
                <c:ptCount val="6"/>
                <c:pt idx="0">
                  <c:v>23.284070465680351</c:v>
                </c:pt>
                <c:pt idx="1">
                  <c:v>21.468041234882172</c:v>
                </c:pt>
                <c:pt idx="2">
                  <c:v>19.541135736050663</c:v>
                </c:pt>
                <c:pt idx="3">
                  <c:v>23.638142177308985</c:v>
                </c:pt>
                <c:pt idx="4">
                  <c:v>20.166551258074989</c:v>
                </c:pt>
                <c:pt idx="5">
                  <c:v>19.631868598616059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29-4207-A2A3-2E8D24AB4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5875344"/>
        <c:axId val="175875904"/>
      </c:barChart>
      <c:catAx>
        <c:axId val="17587534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5875904"/>
        <c:crosses val="autoZero"/>
        <c:auto val="1"/>
        <c:lblAlgn val="ctr"/>
        <c:lblOffset val="100"/>
        <c:noMultiLvlLbl val="0"/>
      </c:catAx>
      <c:valAx>
        <c:axId val="175875904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5875344"/>
        <c:crosses val="autoZero"/>
        <c:crossBetween val="between"/>
        <c:majorUnit val="20"/>
      </c:valAx>
      <c:spPr>
        <a:noFill/>
        <a:ln w="31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1.5930102209931536E-3"/>
          <c:y val="0.93755354110147993"/>
          <c:w val="0.99840698977900688"/>
          <c:h val="6.24464588985200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141699880107581E-2"/>
          <c:y val="3.9900389809764354E-2"/>
          <c:w val="0.94076377536801559"/>
          <c:h val="0.582876640419947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5'!$B$24</c:f>
              <c:strCache>
                <c:ptCount val="1"/>
                <c:pt idx="0">
                  <c:v> Ianuarie - aprilie 2016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5'!$A$25:$A$40</c:f>
              <c:strCache>
                <c:ptCount val="16"/>
                <c:pt idx="0">
                  <c:v>România</c:v>
                </c:pt>
                <c:pt idx="1">
                  <c:v>Germania</c:v>
                </c:pt>
                <c:pt idx="2">
                  <c:v>Turcia</c:v>
                </c:pt>
                <c:pt idx="3">
                  <c:v>Federaţia Rusă</c:v>
                </c:pt>
                <c:pt idx="4">
                  <c:v>Italia</c:v>
                </c:pt>
                <c:pt idx="5">
                  <c:v>Polonia</c:v>
                </c:pt>
                <c:pt idx="6">
                  <c:v>Republica Cehă</c:v>
                </c:pt>
                <c:pt idx="7">
                  <c:v>Ucraina</c:v>
                </c:pt>
                <c:pt idx="8">
                  <c:v>Belarus</c:v>
                </c:pt>
                <c:pt idx="9">
                  <c:v>Spania</c:v>
                </c:pt>
                <c:pt idx="10">
                  <c:v>Regatul Unit </c:v>
                </c:pt>
                <c:pt idx="11">
                  <c:v>Ungaria</c:v>
                </c:pt>
                <c:pt idx="12">
                  <c:v>Olanda</c:v>
                </c:pt>
                <c:pt idx="13">
                  <c:v>Bulgaria</c:v>
                </c:pt>
                <c:pt idx="14">
                  <c:v>Elveţia</c:v>
                </c:pt>
                <c:pt idx="15">
                  <c:v>Franţa</c:v>
                </c:pt>
              </c:strCache>
            </c:strRef>
          </c:cat>
          <c:val>
            <c:numRef>
              <c:f>'Figura 5'!$B$25:$B$40</c:f>
              <c:numCache>
                <c:formatCode>#\ ##0,0</c:formatCode>
                <c:ptCount val="16"/>
                <c:pt idx="0">
                  <c:v>23.327718120009269</c:v>
                </c:pt>
                <c:pt idx="1">
                  <c:v>6.54987444006606</c:v>
                </c:pt>
                <c:pt idx="2">
                  <c:v>3.5410301960517523</c:v>
                </c:pt>
                <c:pt idx="3">
                  <c:v>10.426124256223554</c:v>
                </c:pt>
                <c:pt idx="4">
                  <c:v>10.24552380947063</c:v>
                </c:pt>
                <c:pt idx="5">
                  <c:v>3.4452553111826116</c:v>
                </c:pt>
                <c:pt idx="6">
                  <c:v>1.6586869440130314</c:v>
                </c:pt>
                <c:pt idx="7">
                  <c:v>2.6596230936926903</c:v>
                </c:pt>
                <c:pt idx="8">
                  <c:v>6.5170287756838698</c:v>
                </c:pt>
                <c:pt idx="9">
                  <c:v>0.17018589416893912</c:v>
                </c:pt>
                <c:pt idx="10">
                  <c:v>6.4951383226329877</c:v>
                </c:pt>
                <c:pt idx="11">
                  <c:v>0.24763976801390133</c:v>
                </c:pt>
                <c:pt idx="12">
                  <c:v>1.0843586412639801</c:v>
                </c:pt>
                <c:pt idx="13">
                  <c:v>2.4172883673401486</c:v>
                </c:pt>
                <c:pt idx="14">
                  <c:v>2.0808091706980494</c:v>
                </c:pt>
                <c:pt idx="15">
                  <c:v>2.64734039233569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DD-42D8-B371-6A71C526E757}"/>
            </c:ext>
          </c:extLst>
        </c:ser>
        <c:ser>
          <c:idx val="1"/>
          <c:order val="1"/>
          <c:tx>
            <c:strRef>
              <c:f>'Figura 5'!$C$24</c:f>
              <c:strCache>
                <c:ptCount val="1"/>
                <c:pt idx="0">
                  <c:v>Ianuarie - aprilie 2017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5'!$A$25:$A$40</c:f>
              <c:strCache>
                <c:ptCount val="16"/>
                <c:pt idx="0">
                  <c:v>România</c:v>
                </c:pt>
                <c:pt idx="1">
                  <c:v>Germania</c:v>
                </c:pt>
                <c:pt idx="2">
                  <c:v>Turcia</c:v>
                </c:pt>
                <c:pt idx="3">
                  <c:v>Federaţia Rusă</c:v>
                </c:pt>
                <c:pt idx="4">
                  <c:v>Italia</c:v>
                </c:pt>
                <c:pt idx="5">
                  <c:v>Polonia</c:v>
                </c:pt>
                <c:pt idx="6">
                  <c:v>Republica Cehă</c:v>
                </c:pt>
                <c:pt idx="7">
                  <c:v>Ucraina</c:v>
                </c:pt>
                <c:pt idx="8">
                  <c:v>Belarus</c:v>
                </c:pt>
                <c:pt idx="9">
                  <c:v>Spania</c:v>
                </c:pt>
                <c:pt idx="10">
                  <c:v>Regatul Unit </c:v>
                </c:pt>
                <c:pt idx="11">
                  <c:v>Ungaria</c:v>
                </c:pt>
                <c:pt idx="12">
                  <c:v>Olanda</c:v>
                </c:pt>
                <c:pt idx="13">
                  <c:v>Bulgaria</c:v>
                </c:pt>
                <c:pt idx="14">
                  <c:v>Elveţia</c:v>
                </c:pt>
                <c:pt idx="15">
                  <c:v>Franţa</c:v>
                </c:pt>
              </c:strCache>
            </c:strRef>
          </c:cat>
          <c:val>
            <c:numRef>
              <c:f>'Figura 5'!$C$25:$C$40</c:f>
              <c:numCache>
                <c:formatCode>#\ ##0,0</c:formatCode>
                <c:ptCount val="16"/>
                <c:pt idx="0">
                  <c:v>24.358090149635046</c:v>
                </c:pt>
                <c:pt idx="1">
                  <c:v>6.8171226459245311</c:v>
                </c:pt>
                <c:pt idx="2">
                  <c:v>4.9937546235485577</c:v>
                </c:pt>
                <c:pt idx="3">
                  <c:v>11.915616372425784</c:v>
                </c:pt>
                <c:pt idx="4">
                  <c:v>8.9797983901729239</c:v>
                </c:pt>
                <c:pt idx="5">
                  <c:v>3.2974289835351356</c:v>
                </c:pt>
                <c:pt idx="6">
                  <c:v>1.2756330254350969</c:v>
                </c:pt>
                <c:pt idx="7">
                  <c:v>2.2890877738578648</c:v>
                </c:pt>
                <c:pt idx="8">
                  <c:v>5.847739951279074</c:v>
                </c:pt>
                <c:pt idx="9">
                  <c:v>1.3473481949777086</c:v>
                </c:pt>
                <c:pt idx="10">
                  <c:v>5.4327774178052382</c:v>
                </c:pt>
                <c:pt idx="11">
                  <c:v>0.21742205625318387</c:v>
                </c:pt>
                <c:pt idx="12">
                  <c:v>1.1718997292048605</c:v>
                </c:pt>
                <c:pt idx="13">
                  <c:v>3.2879448023716438</c:v>
                </c:pt>
                <c:pt idx="14">
                  <c:v>1.3255800492879986</c:v>
                </c:pt>
                <c:pt idx="15">
                  <c:v>1.8773295302482678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DD-42D8-B371-6A71C526E757}"/>
            </c:ext>
          </c:extLst>
        </c:ser>
        <c:ser>
          <c:idx val="2"/>
          <c:order val="2"/>
          <c:tx>
            <c:strRef>
              <c:f>'Figura 5'!$D$24</c:f>
              <c:strCache>
                <c:ptCount val="1"/>
                <c:pt idx="0">
                  <c:v>Ianuarie - aprilie 2018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5'!$A$25:$A$40</c:f>
              <c:strCache>
                <c:ptCount val="16"/>
                <c:pt idx="0">
                  <c:v>România</c:v>
                </c:pt>
                <c:pt idx="1">
                  <c:v>Germania</c:v>
                </c:pt>
                <c:pt idx="2">
                  <c:v>Turcia</c:v>
                </c:pt>
                <c:pt idx="3">
                  <c:v>Federaţia Rusă</c:v>
                </c:pt>
                <c:pt idx="4">
                  <c:v>Italia</c:v>
                </c:pt>
                <c:pt idx="5">
                  <c:v>Polonia</c:v>
                </c:pt>
                <c:pt idx="6">
                  <c:v>Republica Cehă</c:v>
                </c:pt>
                <c:pt idx="7">
                  <c:v>Ucraina</c:v>
                </c:pt>
                <c:pt idx="8">
                  <c:v>Belarus</c:v>
                </c:pt>
                <c:pt idx="9">
                  <c:v>Spania</c:v>
                </c:pt>
                <c:pt idx="10">
                  <c:v>Regatul Unit </c:v>
                </c:pt>
                <c:pt idx="11">
                  <c:v>Ungaria</c:v>
                </c:pt>
                <c:pt idx="12">
                  <c:v>Olanda</c:v>
                </c:pt>
                <c:pt idx="13">
                  <c:v>Bulgaria</c:v>
                </c:pt>
                <c:pt idx="14">
                  <c:v>Elveţia</c:v>
                </c:pt>
                <c:pt idx="15">
                  <c:v>Franţa</c:v>
                </c:pt>
              </c:strCache>
            </c:strRef>
          </c:cat>
          <c:val>
            <c:numRef>
              <c:f>'Figura 5'!$D$25:$D$40</c:f>
              <c:numCache>
                <c:formatCode>#\ ##0,0</c:formatCode>
                <c:ptCount val="16"/>
                <c:pt idx="0">
                  <c:v>25.137816476393294</c:v>
                </c:pt>
                <c:pt idx="1">
                  <c:v>8.8324343873143558</c:v>
                </c:pt>
                <c:pt idx="2">
                  <c:v>4.3285795182523739</c:v>
                </c:pt>
                <c:pt idx="3">
                  <c:v>8.468804088258727</c:v>
                </c:pt>
                <c:pt idx="4">
                  <c:v>11.840569287208211</c:v>
                </c:pt>
                <c:pt idx="5">
                  <c:v>3.3814275349234051</c:v>
                </c:pt>
                <c:pt idx="6">
                  <c:v>1.5207454571574266</c:v>
                </c:pt>
                <c:pt idx="7">
                  <c:v>2.8174615027892669</c:v>
                </c:pt>
                <c:pt idx="8">
                  <c:v>4.0174742958787464</c:v>
                </c:pt>
                <c:pt idx="9">
                  <c:v>1.3794570298532809</c:v>
                </c:pt>
                <c:pt idx="10">
                  <c:v>3.5657198535724035</c:v>
                </c:pt>
                <c:pt idx="11">
                  <c:v>0.3014380929226711</c:v>
                </c:pt>
                <c:pt idx="12">
                  <c:v>1.4670929517137143</c:v>
                </c:pt>
                <c:pt idx="13">
                  <c:v>2.1160425450851084</c:v>
                </c:pt>
                <c:pt idx="14">
                  <c:v>2.821189055010318</c:v>
                </c:pt>
                <c:pt idx="15">
                  <c:v>1.9365805085356447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DD-42D8-B371-6A71C526E757}"/>
            </c:ext>
          </c:extLst>
        </c:ser>
        <c:ser>
          <c:idx val="3"/>
          <c:order val="3"/>
          <c:tx>
            <c:strRef>
              <c:f>'Figura 5'!$E$24</c:f>
              <c:strCache>
                <c:ptCount val="1"/>
                <c:pt idx="0">
                  <c:v> Ianuarie - aprilie 2019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5'!$A$25:$A$40</c:f>
              <c:strCache>
                <c:ptCount val="16"/>
                <c:pt idx="0">
                  <c:v>România</c:v>
                </c:pt>
                <c:pt idx="1">
                  <c:v>Germania</c:v>
                </c:pt>
                <c:pt idx="2">
                  <c:v>Turcia</c:v>
                </c:pt>
                <c:pt idx="3">
                  <c:v>Federaţia Rusă</c:v>
                </c:pt>
                <c:pt idx="4">
                  <c:v>Italia</c:v>
                </c:pt>
                <c:pt idx="5">
                  <c:v>Polonia</c:v>
                </c:pt>
                <c:pt idx="6">
                  <c:v>Republica Cehă</c:v>
                </c:pt>
                <c:pt idx="7">
                  <c:v>Ucraina</c:v>
                </c:pt>
                <c:pt idx="8">
                  <c:v>Belarus</c:v>
                </c:pt>
                <c:pt idx="9">
                  <c:v>Spania</c:v>
                </c:pt>
                <c:pt idx="10">
                  <c:v>Regatul Unit </c:v>
                </c:pt>
                <c:pt idx="11">
                  <c:v>Ungaria</c:v>
                </c:pt>
                <c:pt idx="12">
                  <c:v>Olanda</c:v>
                </c:pt>
                <c:pt idx="13">
                  <c:v>Bulgaria</c:v>
                </c:pt>
                <c:pt idx="14">
                  <c:v>Elveţia</c:v>
                </c:pt>
                <c:pt idx="15">
                  <c:v>Franţa</c:v>
                </c:pt>
              </c:strCache>
            </c:strRef>
          </c:cat>
          <c:val>
            <c:numRef>
              <c:f>'Figura 5'!$E$25:$E$40</c:f>
              <c:numCache>
                <c:formatCode>#\ ##0,0</c:formatCode>
                <c:ptCount val="16"/>
                <c:pt idx="0">
                  <c:v>27.217374827710799</c:v>
                </c:pt>
                <c:pt idx="1">
                  <c:v>8.7926847870017291</c:v>
                </c:pt>
                <c:pt idx="2">
                  <c:v>10.09627876279756</c:v>
                </c:pt>
                <c:pt idx="3">
                  <c:v>8.5007578460067723</c:v>
                </c:pt>
                <c:pt idx="4">
                  <c:v>10.377086890544167</c:v>
                </c:pt>
                <c:pt idx="5">
                  <c:v>3.6188681507954228</c:v>
                </c:pt>
                <c:pt idx="6">
                  <c:v>1.6979195983577597</c:v>
                </c:pt>
                <c:pt idx="7">
                  <c:v>2.4609946512425678</c:v>
                </c:pt>
                <c:pt idx="8">
                  <c:v>3.0820846888814977</c:v>
                </c:pt>
                <c:pt idx="9">
                  <c:v>1.2542241585886027</c:v>
                </c:pt>
                <c:pt idx="10">
                  <c:v>1.7678691064503311</c:v>
                </c:pt>
                <c:pt idx="11">
                  <c:v>0.24984248948516585</c:v>
                </c:pt>
                <c:pt idx="12">
                  <c:v>1.4454518975144497</c:v>
                </c:pt>
                <c:pt idx="13">
                  <c:v>1.4586073037752261</c:v>
                </c:pt>
                <c:pt idx="14">
                  <c:v>2.9305426355497151</c:v>
                </c:pt>
                <c:pt idx="15">
                  <c:v>1.367900717473286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DD-42D8-B371-6A71C526E757}"/>
            </c:ext>
          </c:extLst>
        </c:ser>
        <c:ser>
          <c:idx val="4"/>
          <c:order val="4"/>
          <c:tx>
            <c:strRef>
              <c:f>'Figura 5'!$F$24</c:f>
              <c:strCache>
                <c:ptCount val="1"/>
                <c:pt idx="0">
                  <c:v>Ianuarie - aprilie 2020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5'!$A$25:$A$40</c:f>
              <c:strCache>
                <c:ptCount val="16"/>
                <c:pt idx="0">
                  <c:v>România</c:v>
                </c:pt>
                <c:pt idx="1">
                  <c:v>Germania</c:v>
                </c:pt>
                <c:pt idx="2">
                  <c:v>Turcia</c:v>
                </c:pt>
                <c:pt idx="3">
                  <c:v>Federaţia Rusă</c:v>
                </c:pt>
                <c:pt idx="4">
                  <c:v>Italia</c:v>
                </c:pt>
                <c:pt idx="5">
                  <c:v>Polonia</c:v>
                </c:pt>
                <c:pt idx="6">
                  <c:v>Republica Cehă</c:v>
                </c:pt>
                <c:pt idx="7">
                  <c:v>Ucraina</c:v>
                </c:pt>
                <c:pt idx="8">
                  <c:v>Belarus</c:v>
                </c:pt>
                <c:pt idx="9">
                  <c:v>Spania</c:v>
                </c:pt>
                <c:pt idx="10">
                  <c:v>Regatul Unit </c:v>
                </c:pt>
                <c:pt idx="11">
                  <c:v>Ungaria</c:v>
                </c:pt>
                <c:pt idx="12">
                  <c:v>Olanda</c:v>
                </c:pt>
                <c:pt idx="13">
                  <c:v>Bulgaria</c:v>
                </c:pt>
                <c:pt idx="14">
                  <c:v>Elveţia</c:v>
                </c:pt>
                <c:pt idx="15">
                  <c:v>Franţa</c:v>
                </c:pt>
              </c:strCache>
            </c:strRef>
          </c:cat>
          <c:val>
            <c:numRef>
              <c:f>'Figura 5'!$F$25:$F$40</c:f>
              <c:numCache>
                <c:formatCode>#\ ##0,0</c:formatCode>
                <c:ptCount val="16"/>
                <c:pt idx="0">
                  <c:v>24.602727449878913</c:v>
                </c:pt>
                <c:pt idx="1">
                  <c:v>8.8001398634677486</c:v>
                </c:pt>
                <c:pt idx="2">
                  <c:v>6.311288815332408</c:v>
                </c:pt>
                <c:pt idx="3">
                  <c:v>9.4753837456492906</c:v>
                </c:pt>
                <c:pt idx="4">
                  <c:v>8.6601146099271613</c:v>
                </c:pt>
                <c:pt idx="5">
                  <c:v>4.2547787201147793</c:v>
                </c:pt>
                <c:pt idx="6">
                  <c:v>3.299665727813375</c:v>
                </c:pt>
                <c:pt idx="7">
                  <c:v>2.4446566204892677</c:v>
                </c:pt>
                <c:pt idx="8">
                  <c:v>2.9562072383874995</c:v>
                </c:pt>
                <c:pt idx="9">
                  <c:v>2.2491266838342319</c:v>
                </c:pt>
                <c:pt idx="10">
                  <c:v>1.5227838818538586</c:v>
                </c:pt>
                <c:pt idx="11">
                  <c:v>0.58823010246197149</c:v>
                </c:pt>
                <c:pt idx="12">
                  <c:v>1.5187900476741927</c:v>
                </c:pt>
                <c:pt idx="13">
                  <c:v>1.8433223029586154</c:v>
                </c:pt>
                <c:pt idx="14">
                  <c:v>3.8555771900858176</c:v>
                </c:pt>
                <c:pt idx="15">
                  <c:v>1.7424626647931558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DD-42D8-B371-6A71C526E757}"/>
            </c:ext>
          </c:extLst>
        </c:ser>
        <c:ser>
          <c:idx val="5"/>
          <c:order val="5"/>
          <c:tx>
            <c:strRef>
              <c:f>'Figura 5'!$G$24</c:f>
              <c:strCache>
                <c:ptCount val="1"/>
                <c:pt idx="0">
                  <c:v>Ianuarie - aprilie 2021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5'!$A$25:$A$40</c:f>
              <c:strCache>
                <c:ptCount val="16"/>
                <c:pt idx="0">
                  <c:v>România</c:v>
                </c:pt>
                <c:pt idx="1">
                  <c:v>Germania</c:v>
                </c:pt>
                <c:pt idx="2">
                  <c:v>Turcia</c:v>
                </c:pt>
                <c:pt idx="3">
                  <c:v>Federaţia Rusă</c:v>
                </c:pt>
                <c:pt idx="4">
                  <c:v>Italia</c:v>
                </c:pt>
                <c:pt idx="5">
                  <c:v>Polonia</c:v>
                </c:pt>
                <c:pt idx="6">
                  <c:v>Republica Cehă</c:v>
                </c:pt>
                <c:pt idx="7">
                  <c:v>Ucraina</c:v>
                </c:pt>
                <c:pt idx="8">
                  <c:v>Belarus</c:v>
                </c:pt>
                <c:pt idx="9">
                  <c:v>Spania</c:v>
                </c:pt>
                <c:pt idx="10">
                  <c:v>Regatul Unit </c:v>
                </c:pt>
                <c:pt idx="11">
                  <c:v>Ungaria</c:v>
                </c:pt>
                <c:pt idx="12">
                  <c:v>Olanda</c:v>
                </c:pt>
                <c:pt idx="13">
                  <c:v>Bulgaria</c:v>
                </c:pt>
                <c:pt idx="14">
                  <c:v>Elveţia</c:v>
                </c:pt>
                <c:pt idx="15">
                  <c:v>Franţa</c:v>
                </c:pt>
              </c:strCache>
            </c:strRef>
          </c:cat>
          <c:val>
            <c:numRef>
              <c:f>'Figura 5'!$G$25:$G$40</c:f>
              <c:numCache>
                <c:formatCode>#\ ##0,0</c:formatCode>
                <c:ptCount val="16"/>
                <c:pt idx="0">
                  <c:v>27.440997144459129</c:v>
                </c:pt>
                <c:pt idx="1">
                  <c:v>10.487319735071905</c:v>
                </c:pt>
                <c:pt idx="2">
                  <c:v>9.7468500586323632</c:v>
                </c:pt>
                <c:pt idx="3">
                  <c:v>9.4958248805892183</c:v>
                </c:pt>
                <c:pt idx="4">
                  <c:v>6.4207820465565115</c:v>
                </c:pt>
                <c:pt idx="5">
                  <c:v>4.0149085869448546</c:v>
                </c:pt>
                <c:pt idx="6">
                  <c:v>3.067990038417689</c:v>
                </c:pt>
                <c:pt idx="7">
                  <c:v>3.0310848763140665</c:v>
                </c:pt>
                <c:pt idx="8">
                  <c:v>2.5121508719264893</c:v>
                </c:pt>
                <c:pt idx="9">
                  <c:v>1.8230954762365428</c:v>
                </c:pt>
                <c:pt idx="10">
                  <c:v>1.6017755652106809</c:v>
                </c:pt>
                <c:pt idx="11">
                  <c:v>1.573261447319751</c:v>
                </c:pt>
                <c:pt idx="12">
                  <c:v>1.4546689886397912</c:v>
                </c:pt>
                <c:pt idx="13">
                  <c:v>1.4530917618179697</c:v>
                </c:pt>
                <c:pt idx="14">
                  <c:v>1.4159706980450706</c:v>
                </c:pt>
                <c:pt idx="15">
                  <c:v>1.3828620899070485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0DD-42D8-B371-6A71C526E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5881504"/>
        <c:axId val="176386208"/>
      </c:barChart>
      <c:catAx>
        <c:axId val="175881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6386208"/>
        <c:crosses val="autoZero"/>
        <c:auto val="1"/>
        <c:lblAlgn val="ctr"/>
        <c:lblOffset val="100"/>
        <c:noMultiLvlLbl val="0"/>
      </c:catAx>
      <c:valAx>
        <c:axId val="176386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5881504"/>
        <c:crosses val="autoZero"/>
        <c:crossBetween val="between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6.1721869924078618E-2"/>
          <c:y val="0.85455733441174841"/>
          <c:w val="0.86542765271252975"/>
          <c:h val="0.109188889153206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800" b="1"/>
              <a:t>Ianuarie -</a:t>
            </a:r>
            <a:r>
              <a:rPr lang="en-US" sz="800" b="1"/>
              <a:t> aprilie</a:t>
            </a:r>
            <a:r>
              <a:rPr lang="ro-RO" sz="800" b="1"/>
              <a:t>  2020</a:t>
            </a:r>
            <a:endParaRPr lang="en-US" sz="800" b="1"/>
          </a:p>
        </c:rich>
      </c:tx>
      <c:layout>
        <c:manualLayout>
          <c:xMode val="edge"/>
          <c:yMode val="edge"/>
          <c:x val="0.42653005894935031"/>
          <c:y val="3.445782571628923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450967090652131"/>
          <c:y val="0.14671776027996497"/>
          <c:w val="0.60529683020391678"/>
          <c:h val="0.60159470891826594"/>
        </c:manualLayout>
      </c:layout>
      <c:pieChart>
        <c:varyColors val="1"/>
        <c:ser>
          <c:idx val="0"/>
          <c:order val="0"/>
          <c:tx>
            <c:strRef>
              <c:f>'Figura 6'!$B$23</c:f>
              <c:strCache>
                <c:ptCount val="1"/>
                <c:pt idx="0">
                  <c:v>%</c:v>
                </c:pt>
              </c:strCache>
            </c:strRef>
          </c:tx>
          <c:spPr>
            <a:effectLst>
              <a:outerShdw blurRad="254000" sx="102000" sy="102000" algn="ctr" rotWithShape="0">
                <a:schemeClr val="bg1">
                  <a:alpha val="20000"/>
                </a:schemeClr>
              </a:outerShdw>
            </a:effectLst>
          </c:spPr>
          <c:dPt>
            <c:idx val="0"/>
            <c:bubble3D val="0"/>
            <c:spPr>
              <a:solidFill>
                <a:schemeClr val="accent1">
                  <a:tint val="44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812-4B6E-845E-70CFFD92003C}"/>
              </c:ext>
            </c:extLst>
          </c:dPt>
          <c:dPt>
            <c:idx val="1"/>
            <c:bubble3D val="0"/>
            <c:spPr>
              <a:solidFill>
                <a:schemeClr val="accent1">
                  <a:tint val="58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812-4B6E-845E-70CFFD92003C}"/>
              </c:ext>
            </c:extLst>
          </c:dPt>
          <c:dPt>
            <c:idx val="2"/>
            <c:bubble3D val="0"/>
            <c:spPr>
              <a:solidFill>
                <a:schemeClr val="accent1">
                  <a:tint val="72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812-4B6E-845E-70CFFD92003C}"/>
              </c:ext>
            </c:extLst>
          </c:dPt>
          <c:dPt>
            <c:idx val="3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812-4B6E-845E-70CFFD92003C}"/>
              </c:ext>
            </c:extLst>
          </c:dPt>
          <c:dPt>
            <c:idx val="4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812-4B6E-845E-70CFFD92003C}"/>
              </c:ext>
            </c:extLst>
          </c:dPt>
          <c:dPt>
            <c:idx val="5"/>
            <c:bubble3D val="0"/>
            <c:spPr>
              <a:solidFill>
                <a:schemeClr val="accent1">
                  <a:shade val="8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F812-4B6E-845E-70CFFD92003C}"/>
              </c:ext>
            </c:extLst>
          </c:dPt>
          <c:dPt>
            <c:idx val="6"/>
            <c:bubble3D val="0"/>
            <c:spPr>
              <a:solidFill>
                <a:schemeClr val="accent1">
                  <a:shade val="72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F812-4B6E-845E-70CFFD92003C}"/>
              </c:ext>
            </c:extLst>
          </c:dPt>
          <c:dPt>
            <c:idx val="7"/>
            <c:bubble3D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F812-4B6E-845E-70CFFD92003C}"/>
              </c:ext>
            </c:extLst>
          </c:dPt>
          <c:dPt>
            <c:idx val="8"/>
            <c:bubble3D val="0"/>
            <c:spPr>
              <a:solidFill>
                <a:schemeClr val="accent1">
                  <a:shade val="44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F812-4B6E-845E-70CFFD92003C}"/>
              </c:ext>
            </c:extLst>
          </c:dPt>
          <c:dLbls>
            <c:dLbl>
              <c:idx val="0"/>
              <c:layout>
                <c:manualLayout>
                  <c:x val="-1.3550787392822771E-2"/>
                  <c:y val="5.524563476014094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608963510168494"/>
                      <c:h val="0.1986620587114213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812-4B6E-845E-70CFFD92003C}"/>
                </c:ext>
              </c:extLst>
            </c:dLbl>
            <c:dLbl>
              <c:idx val="1"/>
              <c:layout>
                <c:manualLayout>
                  <c:x val="2.6178648717351333E-2"/>
                  <c:y val="-0.161479686104265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340117862625661"/>
                      <c:h val="0.17004621897010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812-4B6E-845E-70CFFD92003C}"/>
                </c:ext>
              </c:extLst>
            </c:dLbl>
            <c:dLbl>
              <c:idx val="2"/>
              <c:layout>
                <c:manualLayout>
                  <c:x val="5.8687659298078308E-2"/>
                  <c:y val="-0.131949213078407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59854074844418"/>
                      <c:h val="0.212265436517405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F812-4B6E-845E-70CFFD92003C}"/>
                </c:ext>
              </c:extLst>
            </c:dLbl>
            <c:dLbl>
              <c:idx val="3"/>
              <c:layout>
                <c:manualLayout>
                  <c:x val="6.4741469548634786E-2"/>
                  <c:y val="-6.155235523639569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438329352794318"/>
                      <c:h val="0.1583954306464424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F812-4B6E-845E-70CFFD92003C}"/>
                </c:ext>
              </c:extLst>
            </c:dLbl>
            <c:dLbl>
              <c:idx val="4"/>
              <c:layout>
                <c:manualLayout>
                  <c:x val="-2.3404675353295042E-2"/>
                  <c:y val="2.99734710385502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336407578843182"/>
                      <c:h val="0.1712591036455317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F812-4B6E-845E-70CFFD92003C}"/>
                </c:ext>
              </c:extLst>
            </c:dLbl>
            <c:dLbl>
              <c:idx val="5"/>
              <c:layout>
                <c:manualLayout>
                  <c:x val="-3.5644712004538878E-2"/>
                  <c:y val="1.09529258236561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765520960896637"/>
                      <c:h val="0.1592046839947509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F812-4B6E-845E-70CFFD92003C}"/>
                </c:ext>
              </c:extLst>
            </c:dLbl>
            <c:dLbl>
              <c:idx val="6"/>
              <c:layout>
                <c:manualLayout>
                  <c:x val="-3.3227271541063023E-2"/>
                  <c:y val="-0.109864598275726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511971096550706"/>
                      <c:h val="0.1890499474803669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F812-4B6E-845E-70CFFD92003C}"/>
                </c:ext>
              </c:extLst>
            </c:dLbl>
            <c:dLbl>
              <c:idx val="7"/>
              <c:layout>
                <c:manualLayout>
                  <c:x val="7.7784306812394627E-3"/>
                  <c:y val="-6.96428883179460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739718729188702"/>
                      <c:h val="0.245371636237777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F812-4B6E-845E-70CFFD92003C}"/>
                </c:ext>
              </c:extLst>
            </c:dLbl>
            <c:dLbl>
              <c:idx val="8"/>
              <c:layout>
                <c:manualLayout>
                  <c:x val="-2.4158281355656473E-2"/>
                  <c:y val="7.34818850582957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077091329448482"/>
                      <c:h val="0.1942884535368553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F812-4B6E-845E-70CFFD92003C}"/>
                </c:ext>
              </c:extLst>
            </c:dLbl>
            <c:numFmt formatCode="0,0%" sourceLinked="0"/>
            <c:spPr>
              <a:noFill/>
              <a:ln>
                <a:noFill/>
              </a:ln>
              <a:effectLst>
                <a:outerShdw sx="1000" sy="1000" algn="tl" rotWithShape="0">
                  <a:schemeClr val="bg1"/>
                </a:outerShdw>
              </a:effectLst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bg2">
                      <a:lumMod val="7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'Figura 6'!$A$24:$A$32</c:f>
              <c:strCache>
                <c:ptCount val="9"/>
                <c:pt idx="0">
                  <c:v>Produse alimentare și animale vii</c:v>
                </c:pt>
                <c:pt idx="1">
                  <c:v>Băuturi și tutun</c:v>
                </c:pt>
                <c:pt idx="2">
                  <c:v>Materiale brute necomestibile</c:v>
                </c:pt>
                <c:pt idx="3">
                  <c:v>Combustibili minerali</c:v>
                </c:pt>
                <c:pt idx="4">
                  <c:v>Uleiuri și grăsimi </c:v>
                </c:pt>
                <c:pt idx="5">
                  <c:v>Produse chimice</c:v>
                </c:pt>
                <c:pt idx="6">
                  <c:v>Mărfuri manufacturate </c:v>
                </c:pt>
                <c:pt idx="7">
                  <c:v>Mașini și echipamente pentru transport</c:v>
                </c:pt>
                <c:pt idx="8">
                  <c:v>Articole manufacturate diverse</c:v>
                </c:pt>
              </c:strCache>
            </c:strRef>
          </c:cat>
          <c:val>
            <c:numRef>
              <c:f>'Figura 6'!$B$24:$B$32</c:f>
              <c:numCache>
                <c:formatCode>#\ ##0,0</c:formatCode>
                <c:ptCount val="9"/>
                <c:pt idx="0">
                  <c:v>30.2</c:v>
                </c:pt>
                <c:pt idx="1">
                  <c:v>7.2</c:v>
                </c:pt>
                <c:pt idx="2">
                  <c:v>9.6999999999999993</c:v>
                </c:pt>
                <c:pt idx="3">
                  <c:v>0.2</c:v>
                </c:pt>
                <c:pt idx="4">
                  <c:v>5.4</c:v>
                </c:pt>
                <c:pt idx="5">
                  <c:v>4</c:v>
                </c:pt>
                <c:pt idx="6">
                  <c:v>6.1</c:v>
                </c:pt>
                <c:pt idx="7">
                  <c:v>19.2</c:v>
                </c:pt>
                <c:pt idx="8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812-4B6E-845E-70CFFD92003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8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Ianuarie - </a:t>
            </a:r>
            <a:r>
              <a:rPr lang="en-US" sz="8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aprilie</a:t>
            </a:r>
            <a:r>
              <a:rPr lang="ro-RO" sz="8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8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ro-RO" sz="8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2021</a:t>
            </a:r>
            <a:endParaRPr lang="en-US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475905243472126"/>
          <c:y val="6.52902846056366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758989501312333"/>
          <c:y val="0.16552125228950701"/>
          <c:w val="0.59277007696872541"/>
          <c:h val="0.59143950440538373"/>
        </c:manualLayout>
      </c:layout>
      <c:pieChart>
        <c:varyColors val="1"/>
        <c:ser>
          <c:idx val="0"/>
          <c:order val="0"/>
          <c:tx>
            <c:strRef>
              <c:f>'Figura 6'!$B$34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4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4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4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378-4F5F-8973-1809C55EF17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tint val="5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5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5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378-4F5F-8973-1809C55EF17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tint val="7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7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7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378-4F5F-8973-1809C55EF17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tint val="8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8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8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378-4F5F-8973-1809C55EF17F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378-4F5F-8973-1809C55EF17F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8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8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8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378-4F5F-8973-1809C55EF17F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7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378-4F5F-8973-1809C55EF17F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1">
                      <a:shade val="5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5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5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378-4F5F-8973-1809C55EF17F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1">
                      <a:shade val="4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4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4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378-4F5F-8973-1809C55EF17F}"/>
              </c:ext>
            </c:extLst>
          </c:dPt>
          <c:dLbls>
            <c:dLbl>
              <c:idx val="0"/>
              <c:layout>
                <c:manualLayout>
                  <c:x val="-1.4603495985367832E-3"/>
                  <c:y val="5.2757621604940914E-2"/>
                </c:manualLayout>
              </c:layout>
              <c:numFmt formatCode="0,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9746213348652711"/>
                      <c:h val="0.1846075653867199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4378-4F5F-8973-1809C55EF17F}"/>
                </c:ext>
              </c:extLst>
            </c:dLbl>
            <c:dLbl>
              <c:idx val="1"/>
              <c:layout>
                <c:manualLayout>
                  <c:x val="-2.8157199690475704E-3"/>
                  <c:y val="-1.97051293590551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742204406952104"/>
                      <c:h val="0.174130046246094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4378-4F5F-8973-1809C55EF17F}"/>
                </c:ext>
              </c:extLst>
            </c:dLbl>
            <c:dLbl>
              <c:idx val="2"/>
              <c:layout>
                <c:manualLayout>
                  <c:x val="1.5990486605282909E-2"/>
                  <c:y val="-7.9583785150674838E-2"/>
                </c:manualLayout>
              </c:layout>
              <c:numFmt formatCode="0,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1371570056686254"/>
                      <c:h val="0.1885096242451257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4378-4F5F-8973-1809C55EF17F}"/>
                </c:ext>
              </c:extLst>
            </c:dLbl>
            <c:dLbl>
              <c:idx val="3"/>
              <c:layout>
                <c:manualLayout>
                  <c:x val="3.5241653329245469E-2"/>
                  <c:y val="-5.9935624065113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740088885785889"/>
                      <c:h val="0.160521950822271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4378-4F5F-8973-1809C55EF17F}"/>
                </c:ext>
              </c:extLst>
            </c:dLbl>
            <c:dLbl>
              <c:idx val="4"/>
              <c:layout>
                <c:manualLayout>
                  <c:x val="-1.2500000000000077E-2"/>
                  <c:y val="7.168216060838544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378-4F5F-8973-1809C55EF17F}"/>
                </c:ext>
              </c:extLst>
            </c:dLbl>
            <c:dLbl>
              <c:idx val="5"/>
              <c:layout>
                <c:manualLayout>
                  <c:x val="-9.583333333333334E-2"/>
                  <c:y val="5.24976034036668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378-4F5F-8973-1809C55EF17F}"/>
                </c:ext>
              </c:extLst>
            </c:dLbl>
            <c:dLbl>
              <c:idx val="6"/>
              <c:layout>
                <c:manualLayout>
                  <c:x val="-0.1647097526714684"/>
                  <c:y val="-1.19335139174027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01882593760992"/>
                      <c:h val="0.1638261106848907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4378-4F5F-8973-1809C55EF17F}"/>
                </c:ext>
              </c:extLst>
            </c:dLbl>
            <c:dLbl>
              <c:idx val="7"/>
              <c:layout>
                <c:manualLayout>
                  <c:x val="-2.0210004994336249E-2"/>
                  <c:y val="-0.142844418921820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073808492085958"/>
                      <c:h val="0.2442428112825040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4378-4F5F-8973-1809C55EF17F}"/>
                </c:ext>
              </c:extLst>
            </c:dLbl>
            <c:dLbl>
              <c:idx val="8"/>
              <c:layout>
                <c:manualLayout>
                  <c:x val="-1.320120116473821E-2"/>
                  <c:y val="7.86733642783566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436369560273632"/>
                      <c:h val="0.22609868405074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4378-4F5F-8973-1809C55EF17F}"/>
                </c:ext>
              </c:extLst>
            </c:dLbl>
            <c:numFmt formatCode="0,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bg1">
                      <a:lumMod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'Figura 6'!$A$35:$A$43</c:f>
              <c:strCache>
                <c:ptCount val="9"/>
                <c:pt idx="0">
                  <c:v>Produse alimentare și animale vii</c:v>
                </c:pt>
                <c:pt idx="1">
                  <c:v>Băuturi și tutun</c:v>
                </c:pt>
                <c:pt idx="2">
                  <c:v>Materiale brute necomestibile</c:v>
                </c:pt>
                <c:pt idx="3">
                  <c:v>Combustibili minerali</c:v>
                </c:pt>
                <c:pt idx="4">
                  <c:v>Uleiuri și grăsimi </c:v>
                </c:pt>
                <c:pt idx="5">
                  <c:v>Produse chimice</c:v>
                </c:pt>
                <c:pt idx="6">
                  <c:v>Mărfuri manufacturate </c:v>
                </c:pt>
                <c:pt idx="7">
                  <c:v>Mașini și echipamente pentru transport</c:v>
                </c:pt>
                <c:pt idx="8">
                  <c:v>Articole manufacturate diverse</c:v>
                </c:pt>
              </c:strCache>
            </c:strRef>
          </c:cat>
          <c:val>
            <c:numRef>
              <c:f>'Figura 6'!$B$35:$B$43</c:f>
              <c:numCache>
                <c:formatCode>#\ ##0,0</c:formatCode>
                <c:ptCount val="9"/>
                <c:pt idx="0">
                  <c:v>17.2</c:v>
                </c:pt>
                <c:pt idx="1">
                  <c:v>7.3</c:v>
                </c:pt>
                <c:pt idx="2">
                  <c:v>11.1</c:v>
                </c:pt>
                <c:pt idx="3">
                  <c:v>1.4</c:v>
                </c:pt>
                <c:pt idx="4">
                  <c:v>2.8</c:v>
                </c:pt>
                <c:pt idx="5">
                  <c:v>5.0999999999999996</c:v>
                </c:pt>
                <c:pt idx="6">
                  <c:v>7.8</c:v>
                </c:pt>
                <c:pt idx="7">
                  <c:v>26.1</c:v>
                </c:pt>
                <c:pt idx="8">
                  <c:v>21.2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378-4F5F-8973-1809C55EF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315800362667183E-2"/>
          <c:y val="8.2824526452265762E-2"/>
          <c:w val="0.94068416183226722"/>
          <c:h val="0.729464840991261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'Figura 7'!$B$22</c:f>
              <c:strCache>
                <c:ptCount val="1"/>
                <c:pt idx="0">
                  <c:v>Ianuarie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7'!$B$23:$B$28</c:f>
              <c:numCache>
                <c:formatCode>#\ ##0,0</c:formatCode>
                <c:ptCount val="6"/>
                <c:pt idx="0">
                  <c:v>207.3</c:v>
                </c:pt>
                <c:pt idx="1">
                  <c:v>266.8</c:v>
                </c:pt>
                <c:pt idx="2">
                  <c:v>374.3</c:v>
                </c:pt>
                <c:pt idx="3">
                  <c:v>372.6</c:v>
                </c:pt>
                <c:pt idx="4">
                  <c:v>379.8</c:v>
                </c:pt>
                <c:pt idx="5">
                  <c:v>399.4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85-4F6B-A686-03D9A8D64A69}"/>
            </c:ext>
          </c:extLst>
        </c:ser>
        <c:ser>
          <c:idx val="2"/>
          <c:order val="1"/>
          <c:tx>
            <c:strRef>
              <c:f>'Figura 7'!$C$22</c:f>
              <c:strCache>
                <c:ptCount val="1"/>
                <c:pt idx="0">
                  <c:v>Februarie</c:v>
                </c:pt>
              </c:strCache>
            </c:strRef>
          </c:tx>
          <c:spPr>
            <a:solidFill>
              <a:schemeClr val="accent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7'!$C$23:$C$28</c:f>
              <c:numCache>
                <c:formatCode>#\ ##0,0</c:formatCode>
                <c:ptCount val="6"/>
                <c:pt idx="0">
                  <c:v>287</c:v>
                </c:pt>
                <c:pt idx="1">
                  <c:v>332.7</c:v>
                </c:pt>
                <c:pt idx="2">
                  <c:v>427.6</c:v>
                </c:pt>
                <c:pt idx="3">
                  <c:v>459.3</c:v>
                </c:pt>
                <c:pt idx="4">
                  <c:v>484.8</c:v>
                </c:pt>
                <c:pt idx="5">
                  <c:v>521.5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85-4F6B-A686-03D9A8D64A69}"/>
            </c:ext>
          </c:extLst>
        </c:ser>
        <c:ser>
          <c:idx val="3"/>
          <c:order val="2"/>
          <c:tx>
            <c:strRef>
              <c:f>'Figura 7'!$D$22</c:f>
              <c:strCache>
                <c:ptCount val="1"/>
                <c:pt idx="0">
                  <c:v>Martie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7'!$D$23:$D$28</c:f>
              <c:numCache>
                <c:formatCode>#\ ##0,0</c:formatCode>
                <c:ptCount val="6"/>
                <c:pt idx="0">
                  <c:v>366.8</c:v>
                </c:pt>
                <c:pt idx="1">
                  <c:v>431.2</c:v>
                </c:pt>
                <c:pt idx="2">
                  <c:v>524.1</c:v>
                </c:pt>
                <c:pt idx="3">
                  <c:v>533.79999999999995</c:v>
                </c:pt>
                <c:pt idx="4">
                  <c:v>500.5</c:v>
                </c:pt>
                <c:pt idx="5">
                  <c:v>630.20000000000005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85-4F6B-A686-03D9A8D64A69}"/>
            </c:ext>
          </c:extLst>
        </c:ser>
        <c:ser>
          <c:idx val="4"/>
          <c:order val="3"/>
          <c:tx>
            <c:strRef>
              <c:f>'Figura 7'!$E$22</c:f>
              <c:strCache>
                <c:ptCount val="1"/>
                <c:pt idx="0">
                  <c:v>Aprilie</c:v>
                </c:pt>
              </c:strCache>
            </c:strRef>
          </c:tx>
          <c:spPr>
            <a:solidFill>
              <a:schemeClr val="accent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7'!$E$23:$E$28</c:f>
              <c:numCache>
                <c:formatCode>#\ ##0,0</c:formatCode>
                <c:ptCount val="6"/>
                <c:pt idx="0">
                  <c:v>354.9</c:v>
                </c:pt>
                <c:pt idx="1">
                  <c:v>361.5</c:v>
                </c:pt>
                <c:pt idx="2">
                  <c:v>444.6</c:v>
                </c:pt>
                <c:pt idx="3">
                  <c:v>515.6</c:v>
                </c:pt>
                <c:pt idx="4">
                  <c:v>285.60000000000002</c:v>
                </c:pt>
                <c:pt idx="5">
                  <c:v>561.20000000000005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85-4F6B-A686-03D9A8D64A69}"/>
            </c:ext>
          </c:extLst>
        </c:ser>
        <c:ser>
          <c:idx val="5"/>
          <c:order val="4"/>
          <c:tx>
            <c:strRef>
              <c:f>'Figura 7'!$F$22</c:f>
              <c:strCache>
                <c:ptCount val="1"/>
                <c:pt idx="0">
                  <c:v>Mai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7'!$F$23:$F$28</c:f>
              <c:numCache>
                <c:formatCode>#\ ##0,0</c:formatCode>
                <c:ptCount val="6"/>
                <c:pt idx="0">
                  <c:v>327.7</c:v>
                </c:pt>
                <c:pt idx="1">
                  <c:v>400.4</c:v>
                </c:pt>
                <c:pt idx="2">
                  <c:v>505.6</c:v>
                </c:pt>
                <c:pt idx="3">
                  <c:v>481.6</c:v>
                </c:pt>
                <c:pt idx="4">
                  <c:v>329.4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85-4F6B-A686-03D9A8D64A69}"/>
            </c:ext>
          </c:extLst>
        </c:ser>
        <c:ser>
          <c:idx val="6"/>
          <c:order val="5"/>
          <c:tx>
            <c:strRef>
              <c:f>'Figura 7'!$G$22</c:f>
              <c:strCache>
                <c:ptCount val="1"/>
                <c:pt idx="0">
                  <c:v>Iunie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'Figura 7'!$A$23:$A$28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7'!$G$23:$G$28</c:f>
              <c:numCache>
                <c:formatCode>#\ ##0,0</c:formatCode>
                <c:ptCount val="6"/>
                <c:pt idx="0">
                  <c:v>324.60000000000002</c:v>
                </c:pt>
                <c:pt idx="1">
                  <c:v>388.8</c:v>
                </c:pt>
                <c:pt idx="2">
                  <c:v>458.7</c:v>
                </c:pt>
                <c:pt idx="3">
                  <c:v>445.4</c:v>
                </c:pt>
                <c:pt idx="4">
                  <c:v>413.5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385-4F6B-A686-03D9A8D64A69}"/>
            </c:ext>
          </c:extLst>
        </c:ser>
        <c:ser>
          <c:idx val="7"/>
          <c:order val="6"/>
          <c:tx>
            <c:strRef>
              <c:f>'Figura 7'!$H$22</c:f>
              <c:strCache>
                <c:ptCount val="1"/>
                <c:pt idx="0">
                  <c:v>Iulie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7'!$H$23:$H$28</c:f>
              <c:numCache>
                <c:formatCode>#\ ##0,0</c:formatCode>
                <c:ptCount val="6"/>
                <c:pt idx="0">
                  <c:v>314.10000000000002</c:v>
                </c:pt>
                <c:pt idx="1">
                  <c:v>396.9</c:v>
                </c:pt>
                <c:pt idx="2">
                  <c:v>488</c:v>
                </c:pt>
                <c:pt idx="3">
                  <c:v>499.1</c:v>
                </c:pt>
                <c:pt idx="4">
                  <c:v>496.6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385-4F6B-A686-03D9A8D64A69}"/>
            </c:ext>
          </c:extLst>
        </c:ser>
        <c:ser>
          <c:idx val="8"/>
          <c:order val="7"/>
          <c:tx>
            <c:strRef>
              <c:f>'Figura 7'!$I$22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chemeClr val="accent1">
                <a:shade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7'!$I$23:$I$28</c:f>
              <c:numCache>
                <c:formatCode>#\ ##0,0</c:formatCode>
                <c:ptCount val="6"/>
                <c:pt idx="0">
                  <c:v>351.1</c:v>
                </c:pt>
                <c:pt idx="1">
                  <c:v>429.7</c:v>
                </c:pt>
                <c:pt idx="2">
                  <c:v>480.7</c:v>
                </c:pt>
                <c:pt idx="3">
                  <c:v>464.3</c:v>
                </c:pt>
                <c:pt idx="4">
                  <c:v>433.6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85-4F6B-A686-03D9A8D64A69}"/>
            </c:ext>
          </c:extLst>
        </c:ser>
        <c:ser>
          <c:idx val="9"/>
          <c:order val="8"/>
          <c:tx>
            <c:strRef>
              <c:f>'Figura 7'!$J$22</c:f>
              <c:strCache>
                <c:ptCount val="1"/>
                <c:pt idx="0">
                  <c:v>Septembrie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7'!$J$23:$J$28</c:f>
              <c:numCache>
                <c:formatCode>#\ ##0,0</c:formatCode>
                <c:ptCount val="6"/>
                <c:pt idx="0">
                  <c:v>361.6</c:v>
                </c:pt>
                <c:pt idx="1">
                  <c:v>430.8</c:v>
                </c:pt>
                <c:pt idx="2">
                  <c:v>474</c:v>
                </c:pt>
                <c:pt idx="3">
                  <c:v>501.7</c:v>
                </c:pt>
                <c:pt idx="4">
                  <c:v>508.3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385-4F6B-A686-03D9A8D64A69}"/>
            </c:ext>
          </c:extLst>
        </c:ser>
        <c:ser>
          <c:idx val="10"/>
          <c:order val="9"/>
          <c:tx>
            <c:strRef>
              <c:f>'Figura 7'!$K$22</c:f>
              <c:strCache>
                <c:ptCount val="1"/>
                <c:pt idx="0">
                  <c:v>Octombrie</c:v>
                </c:pt>
              </c:strCache>
            </c:strRef>
          </c:tx>
          <c:spPr>
            <a:solidFill>
              <a:schemeClr val="accent1">
                <a:shade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7'!$K$23:$K$28</c:f>
              <c:numCache>
                <c:formatCode>#\ ##0,0</c:formatCode>
                <c:ptCount val="6"/>
                <c:pt idx="0">
                  <c:v>380.2</c:v>
                </c:pt>
                <c:pt idx="1">
                  <c:v>465.9</c:v>
                </c:pt>
                <c:pt idx="2">
                  <c:v>540.6</c:v>
                </c:pt>
                <c:pt idx="3">
                  <c:v>525.29999999999995</c:v>
                </c:pt>
                <c:pt idx="4">
                  <c:v>493.6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385-4F6B-A686-03D9A8D64A69}"/>
            </c:ext>
          </c:extLst>
        </c:ser>
        <c:ser>
          <c:idx val="11"/>
          <c:order val="10"/>
          <c:tx>
            <c:strRef>
              <c:f>'Figura 7'!$L$22</c:f>
              <c:strCache>
                <c:ptCount val="1"/>
                <c:pt idx="0">
                  <c:v>Noiembrie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7'!$L$23:$L$28</c:f>
              <c:numCache>
                <c:formatCode>#\ ##0,0</c:formatCode>
                <c:ptCount val="6"/>
                <c:pt idx="0">
                  <c:v>353.5</c:v>
                </c:pt>
                <c:pt idx="1">
                  <c:v>455.3</c:v>
                </c:pt>
                <c:pt idx="2">
                  <c:v>522.6</c:v>
                </c:pt>
                <c:pt idx="3">
                  <c:v>504.1</c:v>
                </c:pt>
                <c:pt idx="4">
                  <c:v>522.9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385-4F6B-A686-03D9A8D64A69}"/>
            </c:ext>
          </c:extLst>
        </c:ser>
        <c:ser>
          <c:idx val="12"/>
          <c:order val="11"/>
          <c:tx>
            <c:strRef>
              <c:f>'Figura 7'!$M$22</c:f>
              <c:strCache>
                <c:ptCount val="1"/>
                <c:pt idx="0">
                  <c:v>Decembrie</c:v>
                </c:pt>
              </c:strCache>
            </c:strRef>
          </c:tx>
          <c:spPr>
            <a:solidFill>
              <a:schemeClr val="accent1">
                <a:shade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7'!$M$23:$M$28</c:f>
              <c:numCache>
                <c:formatCode>#\ ##0,0</c:formatCode>
                <c:ptCount val="6"/>
                <c:pt idx="0">
                  <c:v>391.4</c:v>
                </c:pt>
                <c:pt idx="1">
                  <c:v>471.4</c:v>
                </c:pt>
                <c:pt idx="2">
                  <c:v>519.29999999999995</c:v>
                </c:pt>
                <c:pt idx="3">
                  <c:v>539.70000000000005</c:v>
                </c:pt>
                <c:pt idx="4">
                  <c:v>567.29999999999995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66-4E7F-B809-B086C29F2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77384832"/>
        <c:axId val="177385392"/>
      </c:barChart>
      <c:catAx>
        <c:axId val="177384832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7385392"/>
        <c:crosses val="autoZero"/>
        <c:auto val="0"/>
        <c:lblAlgn val="ctr"/>
        <c:lblOffset val="100"/>
        <c:tickLblSkip val="1"/>
        <c:noMultiLvlLbl val="0"/>
      </c:catAx>
      <c:valAx>
        <c:axId val="177385392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\.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7384832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0322762736849671"/>
          <c:w val="1"/>
          <c:h val="7.85074154887265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358010999798734E-2"/>
          <c:y val="6.6174643530060306E-2"/>
          <c:w val="0.93521022575280011"/>
          <c:h val="0.69543466641137941"/>
        </c:manualLayout>
      </c:layout>
      <c:lineChart>
        <c:grouping val="standard"/>
        <c:varyColors val="0"/>
        <c:ser>
          <c:idx val="0"/>
          <c:order val="0"/>
          <c:tx>
            <c:strRef>
              <c:f>'Figura 8'!$A$26</c:f>
              <c:strCache>
                <c:ptCount val="1"/>
                <c:pt idx="0">
                  <c:v>În % faţă de luna precedentă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6341781132602164E-2"/>
                  <c:y val="3.5646025728265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C5-4341-8624-B7AE9C654835}"/>
                </c:ext>
              </c:extLst>
            </c:dLbl>
            <c:dLbl>
              <c:idx val="1"/>
              <c:layout>
                <c:manualLayout>
                  <c:x val="-3.6681488343368845E-2"/>
                  <c:y val="-4.27368992669020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C5-4341-8624-B7AE9C654835}"/>
                </c:ext>
              </c:extLst>
            </c:dLbl>
            <c:dLbl>
              <c:idx val="2"/>
              <c:layout>
                <c:manualLayout>
                  <c:x val="-2.2899953682260325E-2"/>
                  <c:y val="-4.0719110738116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C5-4341-8624-B7AE9C654835}"/>
                </c:ext>
              </c:extLst>
            </c:dLbl>
            <c:dLbl>
              <c:idx val="3"/>
              <c:layout>
                <c:manualLayout>
                  <c:x val="-4.5405591906645469E-2"/>
                  <c:y val="2.89054078030455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C5-4341-8624-B7AE9C654835}"/>
                </c:ext>
              </c:extLst>
            </c:dLbl>
            <c:dLbl>
              <c:idx val="4"/>
              <c:layout>
                <c:manualLayout>
                  <c:x val="-3.4329218311433471E-2"/>
                  <c:y val="2.74708914397749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DC5-4341-8624-B7AE9C654835}"/>
                </c:ext>
              </c:extLst>
            </c:dLbl>
            <c:dLbl>
              <c:idx val="5"/>
              <c:layout>
                <c:manualLayout>
                  <c:x val="-1.935510267098969E-2"/>
                  <c:y val="3.9713672154617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DC5-4341-8624-B7AE9C654835}"/>
                </c:ext>
              </c:extLst>
            </c:dLbl>
            <c:dLbl>
              <c:idx val="6"/>
              <c:layout>
                <c:manualLayout>
                  <c:x val="-3.3150532654006484E-2"/>
                  <c:y val="-3.63257884300512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DC5-4341-8624-B7AE9C654835}"/>
                </c:ext>
              </c:extLst>
            </c:dLbl>
            <c:dLbl>
              <c:idx val="7"/>
              <c:layout>
                <c:manualLayout>
                  <c:x val="-3.2209443851064355E-2"/>
                  <c:y val="2.38335388799291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DC5-4341-8624-B7AE9C654835}"/>
                </c:ext>
              </c:extLst>
            </c:dLbl>
            <c:dLbl>
              <c:idx val="8"/>
              <c:layout>
                <c:manualLayout>
                  <c:x val="-3.2686971362284004E-2"/>
                  <c:y val="-3.33006119593141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DC5-4341-8624-B7AE9C654835}"/>
                </c:ext>
              </c:extLst>
            </c:dLbl>
            <c:dLbl>
              <c:idx val="9"/>
              <c:layout>
                <c:manualLayout>
                  <c:x val="-2.3270032422417784E-2"/>
                  <c:y val="-3.02612330198537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DC5-4341-8624-B7AE9C654835}"/>
                </c:ext>
              </c:extLst>
            </c:dLbl>
            <c:dLbl>
              <c:idx val="10"/>
              <c:layout>
                <c:manualLayout>
                  <c:x val="-2.7993243746739938E-2"/>
                  <c:y val="2.7723618884988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DC5-4341-8624-B7AE9C654835}"/>
                </c:ext>
              </c:extLst>
            </c:dLbl>
            <c:dLbl>
              <c:idx val="11"/>
              <c:layout>
                <c:manualLayout>
                  <c:x val="-3.9046271839231622E-2"/>
                  <c:y val="-2.6227106227106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DC5-4341-8624-B7AE9C654835}"/>
                </c:ext>
              </c:extLst>
            </c:dLbl>
            <c:dLbl>
              <c:idx val="12"/>
              <c:layout>
                <c:manualLayout>
                  <c:x val="-3.2892542843909217E-2"/>
                  <c:y val="4.00102024864446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DC5-4341-8624-B7AE9C654835}"/>
                </c:ext>
              </c:extLst>
            </c:dLbl>
            <c:dLbl>
              <c:idx val="13"/>
              <c:layout>
                <c:manualLayout>
                  <c:x val="-3.2892542843909217E-2"/>
                  <c:y val="-3.9219674343214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DC5-4341-8624-B7AE9C654835}"/>
                </c:ext>
              </c:extLst>
            </c:dLbl>
            <c:dLbl>
              <c:idx val="14"/>
              <c:layout>
                <c:manualLayout>
                  <c:x val="-9.0875405280223046E-3"/>
                  <c:y val="-5.830227334435898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DC5-4341-8624-B7AE9C654835}"/>
                </c:ext>
              </c:extLst>
            </c:dLbl>
            <c:dLbl>
              <c:idx val="15"/>
              <c:layout>
                <c:manualLayout>
                  <c:x val="-5.6661260626003837E-2"/>
                  <c:y val="-1.13593865282968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DC5-4341-8624-B7AE9C654835}"/>
                </c:ext>
              </c:extLst>
            </c:dLbl>
            <c:dLbl>
              <c:idx val="16"/>
              <c:layout>
                <c:manualLayout>
                  <c:x val="-5.6322952999575383E-2"/>
                  <c:y val="-1.93482197704010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DC5-4341-8624-B7AE9C654835}"/>
                </c:ext>
              </c:extLst>
            </c:dLbl>
            <c:dLbl>
              <c:idx val="17"/>
              <c:layout>
                <c:manualLayout>
                  <c:x val="-3.2759302146055269E-2"/>
                  <c:y val="-3.00667275524728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DC5-4341-8624-B7AE9C654835}"/>
                </c:ext>
              </c:extLst>
            </c:dLbl>
            <c:dLbl>
              <c:idx val="18"/>
              <c:layout>
                <c:manualLayout>
                  <c:x val="-9.7415470125057895E-3"/>
                  <c:y val="-2.65952492615539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DC5-4341-8624-B7AE9C654835}"/>
                </c:ext>
              </c:extLst>
            </c:dLbl>
            <c:dLbl>
              <c:idx val="19"/>
              <c:layout>
                <c:manualLayout>
                  <c:x val="-2.7306774446621555E-2"/>
                  <c:y val="2.8361384896817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DC5-4341-8624-B7AE9C654835}"/>
                </c:ext>
              </c:extLst>
            </c:dLbl>
            <c:dLbl>
              <c:idx val="20"/>
              <c:layout>
                <c:manualLayout>
                  <c:x val="-3.1676393392002469E-2"/>
                  <c:y val="-3.10070018677132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DC5-4341-8624-B7AE9C654835}"/>
                </c:ext>
              </c:extLst>
            </c:dLbl>
            <c:dLbl>
              <c:idx val="21"/>
              <c:layout>
                <c:manualLayout>
                  <c:x val="-2.4913385826771654E-2"/>
                  <c:y val="-3.6851710150651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DC5-4341-8624-B7AE9C654835}"/>
                </c:ext>
              </c:extLst>
            </c:dLbl>
            <c:dLbl>
              <c:idx val="22"/>
              <c:layout>
                <c:manualLayout>
                  <c:x val="-4.5779218774123824E-2"/>
                  <c:y val="-3.6536749520730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DC5-4341-8624-B7AE9C654835}"/>
                </c:ext>
              </c:extLst>
            </c:dLbl>
            <c:dLbl>
              <c:idx val="23"/>
              <c:layout>
                <c:manualLayout>
                  <c:x val="-3.0487880191446659E-2"/>
                  <c:y val="-4.2673051448506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DC5-4341-8624-B7AE9C654835}"/>
                </c:ext>
              </c:extLst>
            </c:dLbl>
            <c:dLbl>
              <c:idx val="24"/>
              <c:layout>
                <c:manualLayout>
                  <c:x val="-3.3282538212135247E-2"/>
                  <c:y val="3.65867746155554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DC5-4341-8624-B7AE9C654835}"/>
                </c:ext>
              </c:extLst>
            </c:dLbl>
            <c:dLbl>
              <c:idx val="25"/>
              <c:layout>
                <c:manualLayout>
                  <c:x val="-4.1176470588235294E-2"/>
                  <c:y val="-3.7646845868404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DC5-4341-8624-B7AE9C654835}"/>
                </c:ext>
              </c:extLst>
            </c:dLbl>
            <c:dLbl>
              <c:idx val="26"/>
              <c:layout>
                <c:manualLayout>
                  <c:x val="-7.5332957385631834E-3"/>
                  <c:y val="9.736655258518217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D4A-4771-815B-774A7F3D2701}"/>
                </c:ext>
              </c:extLst>
            </c:dLbl>
            <c:dLbl>
              <c:idx val="27"/>
              <c:layout>
                <c:manualLayout>
                  <c:x val="0"/>
                  <c:y val="3.51202494672491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4A-4771-815B-774A7F3D2701}"/>
                </c:ext>
              </c:extLst>
            </c:dLbl>
            <c:numFmt formatCode="# ##0,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8'!$B$24:$AC$25</c:f>
              <c:multiLvlStrCache>
                <c:ptCount val="28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 </c:v>
                  </c:pt>
                  <c:pt idx="6">
                    <c:v>VII</c:v>
                  </c:pt>
                  <c:pt idx="7">
                    <c:v>VIII </c:v>
                  </c:pt>
                  <c:pt idx="8">
                    <c:v>IX</c:v>
                  </c:pt>
                  <c:pt idx="9">
                    <c:v>X 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'Figura 8'!$B$26:$AC$26</c:f>
              <c:numCache>
                <c:formatCode>#\ ##0,0</c:formatCode>
                <c:ptCount val="28"/>
                <c:pt idx="0">
                  <c:v>71.738158213015794</c:v>
                </c:pt>
                <c:pt idx="1">
                  <c:v>123.27227087030982</c:v>
                </c:pt>
                <c:pt idx="2">
                  <c:v>116.24365644398502</c:v>
                </c:pt>
                <c:pt idx="3">
                  <c:v>96.580225893758936</c:v>
                </c:pt>
                <c:pt idx="4">
                  <c:v>93.408604141465986</c:v>
                </c:pt>
                <c:pt idx="5">
                  <c:v>92.490171422142794</c:v>
                </c:pt>
                <c:pt idx="6">
                  <c:v>112.04816621722891</c:v>
                </c:pt>
                <c:pt idx="7">
                  <c:v>93.020207912369386</c:v>
                </c:pt>
                <c:pt idx="8">
                  <c:v>108.06099409813686</c:v>
                </c:pt>
                <c:pt idx="9">
                  <c:v>104.71321760096355</c:v>
                </c:pt>
                <c:pt idx="10">
                  <c:v>95.961007942682357</c:v>
                </c:pt>
                <c:pt idx="11">
                  <c:v>107.05149255623367</c:v>
                </c:pt>
                <c:pt idx="12">
                  <c:v>70.382208343865415</c:v>
                </c:pt>
                <c:pt idx="13">
                  <c:v>127.63158194440297</c:v>
                </c:pt>
                <c:pt idx="14">
                  <c:v>103.24095247310265</c:v>
                </c:pt>
                <c:pt idx="15">
                  <c:v>57.064146061655876</c:v>
                </c:pt>
                <c:pt idx="16">
                  <c:v>115.32045479750228</c:v>
                </c:pt>
                <c:pt idx="17">
                  <c:v>125.55839051166471</c:v>
                </c:pt>
                <c:pt idx="18">
                  <c:v>120.09478099934977</c:v>
                </c:pt>
                <c:pt idx="19">
                  <c:v>87.312042792465732</c:v>
                </c:pt>
                <c:pt idx="20">
                  <c:v>117.22959939467061</c:v>
                </c:pt>
                <c:pt idx="21">
                  <c:v>97.096953437578748</c:v>
                </c:pt>
                <c:pt idx="22">
                  <c:v>105.93754706899317</c:v>
                </c:pt>
                <c:pt idx="23">
                  <c:v>108.49423751970338</c:v>
                </c:pt>
                <c:pt idx="24">
                  <c:v>70.407885353173725</c:v>
                </c:pt>
                <c:pt idx="25">
                  <c:v>130.56132614820868</c:v>
                </c:pt>
                <c:pt idx="26">
                  <c:v>120.84190761120013</c:v>
                </c:pt>
                <c:pt idx="27">
                  <c:v>89.050696698531382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7DC5-4341-8624-B7AE9C654835}"/>
            </c:ext>
          </c:extLst>
        </c:ser>
        <c:ser>
          <c:idx val="1"/>
          <c:order val="1"/>
          <c:tx>
            <c:strRef>
              <c:f>'Figura 8'!$A$27</c:f>
              <c:strCache>
                <c:ptCount val="1"/>
                <c:pt idx="0">
                  <c:v>În % faţă de luna corespunzătoare din anul precedent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1.5060830631465185E-2"/>
                  <c:y val="-3.01977143139239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DC5-4341-8624-B7AE9C654835}"/>
                </c:ext>
              </c:extLst>
            </c:dLbl>
            <c:dLbl>
              <c:idx val="2"/>
              <c:layout>
                <c:manualLayout>
                  <c:x val="-3.1184552635145978E-2"/>
                  <c:y val="2.34612631463024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DC5-4341-8624-B7AE9C654835}"/>
                </c:ext>
              </c:extLst>
            </c:dLbl>
            <c:dLbl>
              <c:idx val="3"/>
              <c:layout>
                <c:manualLayout>
                  <c:x val="-6.5345067160722916E-3"/>
                  <c:y val="-2.00926451591670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DC5-4341-8624-B7AE9C654835}"/>
                </c:ext>
              </c:extLst>
            </c:dLbl>
            <c:dLbl>
              <c:idx val="4"/>
              <c:layout>
                <c:manualLayout>
                  <c:x val="-2.0040335333670146E-2"/>
                  <c:y val="-2.6030976897118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7DC5-4341-8624-B7AE9C654835}"/>
                </c:ext>
              </c:extLst>
            </c:dLbl>
            <c:dLbl>
              <c:idx val="5"/>
              <c:layout>
                <c:manualLayout>
                  <c:x val="-3.4778094052797429E-2"/>
                  <c:y val="-4.4182631017276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7DC5-4341-8624-B7AE9C654835}"/>
                </c:ext>
              </c:extLst>
            </c:dLbl>
            <c:dLbl>
              <c:idx val="6"/>
              <c:layout>
                <c:manualLayout>
                  <c:x val="-3.5559055118110236E-2"/>
                  <c:y val="4.11848048774466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7DC5-4341-8624-B7AE9C654835}"/>
                </c:ext>
              </c:extLst>
            </c:dLbl>
            <c:dLbl>
              <c:idx val="7"/>
              <c:layout>
                <c:manualLayout>
                  <c:x val="-3.0471731574093778E-2"/>
                  <c:y val="-4.45879841942834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7DC5-4341-8624-B7AE9C654835}"/>
                </c:ext>
              </c:extLst>
            </c:dLbl>
            <c:dLbl>
              <c:idx val="8"/>
              <c:layout>
                <c:manualLayout>
                  <c:x val="-3.5101721635033417E-2"/>
                  <c:y val="5.24133635837892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7DC5-4341-8624-B7AE9C654835}"/>
                </c:ext>
              </c:extLst>
            </c:dLbl>
            <c:dLbl>
              <c:idx val="9"/>
              <c:layout>
                <c:manualLayout>
                  <c:x val="-3.8917271491298332E-2"/>
                  <c:y val="2.5909488586653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7DC5-4341-8624-B7AE9C654835}"/>
                </c:ext>
              </c:extLst>
            </c:dLbl>
            <c:dLbl>
              <c:idx val="10"/>
              <c:layout>
                <c:manualLayout>
                  <c:x val="-2.8802049611172675E-2"/>
                  <c:y val="-3.48428786827179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D4A-4771-815B-774A7F3D2701}"/>
                </c:ext>
              </c:extLst>
            </c:dLbl>
            <c:dLbl>
              <c:idx val="11"/>
              <c:layout>
                <c:manualLayout>
                  <c:x val="-3.4794795212932599E-2"/>
                  <c:y val="3.2136833959584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7DC5-4341-8624-B7AE9C654835}"/>
                </c:ext>
              </c:extLst>
            </c:dLbl>
            <c:dLbl>
              <c:idx val="12"/>
              <c:layout>
                <c:manualLayout>
                  <c:x val="-3.2407248828644493E-2"/>
                  <c:y val="-3.45154727999426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7DC5-4341-8624-B7AE9C654835}"/>
                </c:ext>
              </c:extLst>
            </c:dLbl>
            <c:dLbl>
              <c:idx val="13"/>
              <c:layout>
                <c:manualLayout>
                  <c:x val="-2.6921105450054109E-2"/>
                  <c:y val="-3.31511695834258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7DC5-4341-8624-B7AE9C654835}"/>
                </c:ext>
              </c:extLst>
            </c:dLbl>
            <c:dLbl>
              <c:idx val="14"/>
              <c:layout>
                <c:manualLayout>
                  <c:x val="-5.2268488497761306E-2"/>
                  <c:y val="1.49449970791268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7DC5-4341-8624-B7AE9C654835}"/>
                </c:ext>
              </c:extLst>
            </c:dLbl>
            <c:dLbl>
              <c:idx val="15"/>
              <c:layout>
                <c:manualLayout>
                  <c:x val="-5.3189172248991265E-3"/>
                  <c:y val="1.05613411226822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7DC5-4341-8624-B7AE9C654835}"/>
                </c:ext>
              </c:extLst>
            </c:dLbl>
            <c:dLbl>
              <c:idx val="16"/>
              <c:layout>
                <c:manualLayout>
                  <c:x val="-7.1542380731821004E-3"/>
                  <c:y val="1.60870173359991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7DC5-4341-8624-B7AE9C654835}"/>
                </c:ext>
              </c:extLst>
            </c:dLbl>
            <c:dLbl>
              <c:idx val="17"/>
              <c:layout>
                <c:manualLayout>
                  <c:x val="-5.100154392465648E-2"/>
                  <c:y val="-1.85306773957330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7DC5-4341-8624-B7AE9C654835}"/>
                </c:ext>
              </c:extLst>
            </c:dLbl>
            <c:dLbl>
              <c:idx val="18"/>
              <c:layout>
                <c:manualLayout>
                  <c:x val="-3.3168732457338729E-2"/>
                  <c:y val="-2.72136103468994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7DC5-4341-8624-B7AE9C654835}"/>
                </c:ext>
              </c:extLst>
            </c:dLbl>
            <c:dLbl>
              <c:idx val="19"/>
              <c:layout>
                <c:manualLayout>
                  <c:x val="-6.0159024239617104E-3"/>
                  <c:y val="1.31822707114587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7DC5-4341-8624-B7AE9C654835}"/>
                </c:ext>
              </c:extLst>
            </c:dLbl>
            <c:dLbl>
              <c:idx val="20"/>
              <c:layout>
                <c:manualLayout>
                  <c:x val="-4.0181411147136019E-2"/>
                  <c:y val="-3.04299031586568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4773082942097026E-2"/>
                      <c:h val="4.203674540682414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D-7DC5-4341-8624-B7AE9C654835}"/>
                </c:ext>
              </c:extLst>
            </c:dLbl>
            <c:dLbl>
              <c:idx val="21"/>
              <c:layout>
                <c:manualLayout>
                  <c:x val="-3.1298824816415834E-2"/>
                  <c:y val="2.63008649342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7DC5-4341-8624-B7AE9C654835}"/>
                </c:ext>
              </c:extLst>
            </c:dLbl>
            <c:dLbl>
              <c:idx val="22"/>
              <c:layout>
                <c:manualLayout>
                  <c:x val="-2.9824070399688103E-2"/>
                  <c:y val="3.76768861339140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7DC5-4341-8624-B7AE9C654835}"/>
                </c:ext>
              </c:extLst>
            </c:dLbl>
            <c:dLbl>
              <c:idx val="23"/>
              <c:layout>
                <c:manualLayout>
                  <c:x val="-2.4260322897303621E-2"/>
                  <c:y val="3.09296444327437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7DC5-4341-8624-B7AE9C654835}"/>
                </c:ext>
              </c:extLst>
            </c:dLbl>
            <c:dLbl>
              <c:idx val="24"/>
              <c:layout>
                <c:manualLayout>
                  <c:x val="-2.6644434151613546E-2"/>
                  <c:y val="-3.03948526810324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7DC5-4341-8624-B7AE9C654835}"/>
                </c:ext>
              </c:extLst>
            </c:dLbl>
            <c:dLbl>
              <c:idx val="25"/>
              <c:layout>
                <c:manualLayout>
                  <c:x val="-1.3725490196078575E-2"/>
                  <c:y val="2.94792618007388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7DC5-4341-8624-B7AE9C654835}"/>
                </c:ext>
              </c:extLst>
            </c:dLbl>
            <c:dLbl>
              <c:idx val="26"/>
              <c:layout>
                <c:manualLayout>
                  <c:x val="-5.7649491426303807E-3"/>
                  <c:y val="-2.2684823971471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4A-4771-815B-774A7F3D2701}"/>
                </c:ext>
              </c:extLst>
            </c:dLbl>
            <c:dLbl>
              <c:idx val="27"/>
              <c:layout>
                <c:manualLayout>
                  <c:x val="-1.2967725232572088E-16"/>
                  <c:y val="-3.1501168736886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D4A-4771-815B-774A7F3D2701}"/>
                </c:ext>
              </c:extLst>
            </c:dLbl>
            <c:numFmt formatCode="# ##0,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8'!$B$24:$AC$25</c:f>
              <c:multiLvlStrCache>
                <c:ptCount val="28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 </c:v>
                  </c:pt>
                  <c:pt idx="6">
                    <c:v>VII</c:v>
                  </c:pt>
                  <c:pt idx="7">
                    <c:v>VIII </c:v>
                  </c:pt>
                  <c:pt idx="8">
                    <c:v>IX</c:v>
                  </c:pt>
                  <c:pt idx="9">
                    <c:v>X 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'Figura 8'!$B$27:$AC$27</c:f>
              <c:numCache>
                <c:formatCode>#\ ##0,0</c:formatCode>
                <c:ptCount val="28"/>
                <c:pt idx="0">
                  <c:v>99.543424894989869</c:v>
                </c:pt>
                <c:pt idx="1">
                  <c:v>107.40131750961253</c:v>
                </c:pt>
                <c:pt idx="2">
                  <c:v>101.84987714724333</c:v>
                </c:pt>
                <c:pt idx="3">
                  <c:v>115.96700414337735</c:v>
                </c:pt>
                <c:pt idx="4">
                  <c:v>95.255444572503052</c:v>
                </c:pt>
                <c:pt idx="5">
                  <c:v>97.112719321999705</c:v>
                </c:pt>
                <c:pt idx="6">
                  <c:v>102.26719836939048</c:v>
                </c:pt>
                <c:pt idx="7">
                  <c:v>96.591868428897087</c:v>
                </c:pt>
                <c:pt idx="8">
                  <c:v>105.84853894732886</c:v>
                </c:pt>
                <c:pt idx="9">
                  <c:v>97.174714783775727</c:v>
                </c:pt>
                <c:pt idx="10">
                  <c:v>96.469519333115954</c:v>
                </c:pt>
                <c:pt idx="11">
                  <c:v>103.91915692353963</c:v>
                </c:pt>
                <c:pt idx="12">
                  <c:v>101.95494191241148</c:v>
                </c:pt>
                <c:pt idx="13">
                  <c:v>105.56040244460927</c:v>
                </c:pt>
                <c:pt idx="14">
                  <c:v>93.752698643620619</c:v>
                </c:pt>
                <c:pt idx="15">
                  <c:v>55.393509795256001</c:v>
                </c:pt>
                <c:pt idx="16">
                  <c:v>68.38775508029515</c:v>
                </c:pt>
                <c:pt idx="17">
                  <c:v>92.838583025180498</c:v>
                </c:pt>
                <c:pt idx="18">
                  <c:v>99.505682896081424</c:v>
                </c:pt>
                <c:pt idx="19">
                  <c:v>93.399537993946922</c:v>
                </c:pt>
                <c:pt idx="20">
                  <c:v>101.32416894790069</c:v>
                </c:pt>
                <c:pt idx="21">
                  <c:v>93.954405564414117</c:v>
                </c:pt>
                <c:pt idx="22">
                  <c:v>103.7223292586142</c:v>
                </c:pt>
                <c:pt idx="23">
                  <c:v>105.12020671519058</c:v>
                </c:pt>
                <c:pt idx="24">
                  <c:v>105.15855692598718</c:v>
                </c:pt>
                <c:pt idx="25">
                  <c:v>107.57243966520365</c:v>
                </c:pt>
                <c:pt idx="26">
                  <c:v>125.91184509771578</c:v>
                </c:pt>
                <c:pt idx="27">
                  <c:v>196.49006078938584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7DC5-4341-8624-B7AE9C65483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7388752"/>
        <c:axId val="177389312"/>
      </c:lineChart>
      <c:catAx>
        <c:axId val="17738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7389312"/>
        <c:crossesAt val="50"/>
        <c:auto val="1"/>
        <c:lblAlgn val="ctr"/>
        <c:lblOffset val="100"/>
        <c:noMultiLvlLbl val="0"/>
      </c:catAx>
      <c:valAx>
        <c:axId val="177389312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7388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3370396497048047"/>
          <c:w val="1"/>
          <c:h val="5.44482787109238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3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5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6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9525</xdr:rowOff>
    </xdr:from>
    <xdr:to>
      <xdr:col>9</xdr:col>
      <xdr:colOff>371475</xdr:colOff>
      <xdr:row>17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333376</xdr:colOff>
      <xdr:row>2</xdr:row>
      <xdr:rowOff>9525</xdr:rowOff>
    </xdr:from>
    <xdr:to>
      <xdr:col>9</xdr:col>
      <xdr:colOff>504825</xdr:colOff>
      <xdr:row>18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0.04791</cdr:x>
      <cdr:y>0</cdr:y>
    </cdr:from>
    <cdr:to>
      <cdr:x>0.19629</cdr:x>
      <cdr:y>0.38554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527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milioane dolari SUA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12</xdr:col>
      <xdr:colOff>19050</xdr:colOff>
      <xdr:row>22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0.04699</cdr:x>
      <cdr:y>0</cdr:y>
    </cdr:from>
    <cdr:to>
      <cdr:x>0.18796</cdr:x>
      <cdr:y>0.30094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480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142875</xdr:rowOff>
    </xdr:from>
    <xdr:to>
      <xdr:col>6</xdr:col>
      <xdr:colOff>219075</xdr:colOff>
      <xdr:row>23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2</xdr:row>
      <xdr:rowOff>9525</xdr:rowOff>
    </xdr:from>
    <xdr:to>
      <xdr:col>4</xdr:col>
      <xdr:colOff>590550</xdr:colOff>
      <xdr:row>19</xdr:row>
      <xdr:rowOff>114301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0.05634</cdr:x>
      <cdr:y>0</cdr:y>
    </cdr:from>
    <cdr:to>
      <cdr:x>0.22535</cdr:x>
      <cdr:y>0.35688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480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</xdr:row>
      <xdr:rowOff>142875</xdr:rowOff>
    </xdr:from>
    <xdr:to>
      <xdr:col>6</xdr:col>
      <xdr:colOff>447675</xdr:colOff>
      <xdr:row>20</xdr:row>
      <xdr:rowOff>95251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2</xdr:row>
      <xdr:rowOff>28574</xdr:rowOff>
    </xdr:from>
    <xdr:to>
      <xdr:col>3</xdr:col>
      <xdr:colOff>790575</xdr:colOff>
      <xdr:row>19</xdr:row>
      <xdr:rowOff>85725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8AC8D441-CD51-4F87-8AA9-88FB1D1B584A}"/>
            </a:ext>
          </a:extLst>
        </xdr:cNvPr>
        <xdr:cNvGrpSpPr/>
      </xdr:nvGrpSpPr>
      <xdr:grpSpPr>
        <a:xfrm>
          <a:off x="57151" y="333374"/>
          <a:ext cx="6191249" cy="2647951"/>
          <a:chOff x="57151" y="333374"/>
          <a:chExt cx="6191249" cy="2647951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id="{00000000-0008-0000-0B00-000002000000}"/>
              </a:ext>
            </a:extLst>
          </xdr:cNvPr>
          <xdr:cNvGraphicFramePr>
            <a:graphicFrameLocks/>
          </xdr:cNvGraphicFramePr>
        </xdr:nvGraphicFramePr>
        <xdr:xfrm>
          <a:off x="57151" y="333374"/>
          <a:ext cx="3143250" cy="26289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00000000-0008-0000-0B00-000003000000}"/>
              </a:ext>
            </a:extLst>
          </xdr:cNvPr>
          <xdr:cNvGraphicFramePr>
            <a:graphicFrameLocks/>
          </xdr:cNvGraphicFramePr>
        </xdr:nvGraphicFramePr>
        <xdr:xfrm>
          <a:off x="3171825" y="333374"/>
          <a:ext cx="3076575" cy="264795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</xdr:row>
      <xdr:rowOff>152399</xdr:rowOff>
    </xdr:from>
    <xdr:to>
      <xdr:col>9</xdr:col>
      <xdr:colOff>323850</xdr:colOff>
      <xdr:row>19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0.04716</cdr:x>
      <cdr:y>0</cdr:y>
    </cdr:from>
    <cdr:to>
      <cdr:x>0.1932</cdr:x>
      <cdr:y>0.32542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527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o-RO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milioane dolari SUA</a:t>
          </a:r>
          <a:endParaRPr lang="en-US" sz="8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0.03771</cdr:x>
      <cdr:y>0</cdr:y>
    </cdr:from>
    <cdr:to>
      <cdr:x>0.1825</cdr:x>
      <cdr:y>0.35821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812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milioane dolari SUA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447676</xdr:colOff>
      <xdr:row>1</xdr:row>
      <xdr:rowOff>152399</xdr:rowOff>
    </xdr:from>
    <xdr:to>
      <xdr:col>4</xdr:col>
      <xdr:colOff>133350</xdr:colOff>
      <xdr:row>21</xdr:row>
      <xdr:rowOff>66674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0.05882</cdr:x>
      <cdr:y>0</cdr:y>
    </cdr:from>
    <cdr:to>
      <cdr:x>0.21569</cdr:x>
      <cdr:y>0.30868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290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milioane dolari SUA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</xdr:row>
      <xdr:rowOff>9524</xdr:rowOff>
    </xdr:from>
    <xdr:to>
      <xdr:col>13</xdr:col>
      <xdr:colOff>266700</xdr:colOff>
      <xdr:row>21</xdr:row>
      <xdr:rowOff>38099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0.05054</cdr:x>
      <cdr:y>0</cdr:y>
    </cdr:from>
    <cdr:to>
      <cdr:x>0.18827</cdr:x>
      <cdr:y>0.29357</cdr:y>
    </cdr:to>
    <cdr:sp macro="" textlink="">
      <cdr:nvSpPr>
        <cdr:cNvPr id="2" name="Text Box 1"/>
        <cdr:cNvSpPr txBox="1"/>
      </cdr:nvSpPr>
      <cdr:spPr>
        <a:xfrm xmlns:a="http://schemas.openxmlformats.org/drawingml/2006/main">
          <a:off x="352886" y="0"/>
          <a:ext cx="961607" cy="858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266701</xdr:colOff>
      <xdr:row>2</xdr:row>
      <xdr:rowOff>19049</xdr:rowOff>
    </xdr:from>
    <xdr:to>
      <xdr:col>5</xdr:col>
      <xdr:colOff>704850</xdr:colOff>
      <xdr:row>19</xdr:row>
      <xdr:rowOff>142874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2</xdr:row>
      <xdr:rowOff>0</xdr:rowOff>
    </xdr:from>
    <xdr:to>
      <xdr:col>4</xdr:col>
      <xdr:colOff>581025</xdr:colOff>
      <xdr:row>18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0.07979</cdr:x>
      <cdr:y>0</cdr:y>
    </cdr:from>
    <cdr:to>
      <cdr:x>0.25</cdr:x>
      <cdr:y>0.41202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862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247649</xdr:colOff>
      <xdr:row>2</xdr:row>
      <xdr:rowOff>19050</xdr:rowOff>
    </xdr:from>
    <xdr:to>
      <xdr:col>6</xdr:col>
      <xdr:colOff>523875</xdr:colOff>
      <xdr:row>22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47625</xdr:rowOff>
    </xdr:from>
    <xdr:to>
      <xdr:col>6</xdr:col>
      <xdr:colOff>600075</xdr:colOff>
      <xdr:row>20</xdr:row>
      <xdr:rowOff>104775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352425"/>
          <a:ext cx="7648575" cy="2800350"/>
          <a:chOff x="9525" y="390525"/>
          <a:chExt cx="5897266" cy="2648466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GraphicFramePr>
            <a:graphicFrameLocks/>
          </xdr:cNvGraphicFramePr>
        </xdr:nvGraphicFramePr>
        <xdr:xfrm>
          <a:off x="9525" y="390525"/>
          <a:ext cx="3190875" cy="26003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GraphicFramePr>
            <a:graphicFrameLocks/>
          </xdr:cNvGraphicFramePr>
        </xdr:nvGraphicFramePr>
        <xdr:xfrm>
          <a:off x="2858791" y="391041"/>
          <a:ext cx="3048000" cy="26479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Table18" displayName="Table18" ref="A25:D31" totalsRowShown="0" headerRowDxfId="8" dataDxfId="6" headerRowBorderDxfId="7" tableBorderDxfId="5" totalsRowBorderDxfId="4">
  <tableColumns count="4">
    <tableColumn id="1" xr3:uid="{00000000-0010-0000-0000-000001000000}" name="Perioada" dataDxfId="3"/>
    <tableColumn id="2" xr3:uid="{00000000-0010-0000-0000-000002000000}" name="Export" dataDxfId="2"/>
    <tableColumn id="4" xr3:uid="{00000000-0010-0000-0000-000004000000}" name="Import" dataDxfId="1"/>
    <tableColumn id="3" xr3:uid="{00000000-0010-0000-0000-000003000000}" name="Balanţa Comercială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25"/>
  <sheetViews>
    <sheetView tabSelected="1" workbookViewId="0">
      <selection activeCell="E24" sqref="E24"/>
    </sheetView>
  </sheetViews>
  <sheetFormatPr defaultRowHeight="12"/>
  <cols>
    <col min="1" max="1" width="8.85546875" style="3" customWidth="1"/>
    <col min="2" max="2" width="10.140625" style="3" customWidth="1"/>
    <col min="3" max="3" width="11.28515625" style="3" customWidth="1"/>
    <col min="4" max="9" width="9.140625" style="3"/>
    <col min="10" max="10" width="11.85546875" style="3" customWidth="1"/>
    <col min="11" max="11" width="10.5703125" style="3" customWidth="1"/>
    <col min="12" max="12" width="10.28515625" style="3" customWidth="1"/>
    <col min="13" max="13" width="10.7109375" style="3" customWidth="1"/>
    <col min="14" max="16384" width="9.140625" style="3"/>
  </cols>
  <sheetData>
    <row r="2" spans="1:13" s="112" customFormat="1">
      <c r="A2" s="111" t="s">
        <v>100</v>
      </c>
      <c r="B2" s="111"/>
      <c r="C2" s="111"/>
      <c r="D2" s="111"/>
      <c r="E2" s="111"/>
      <c r="F2" s="111"/>
      <c r="G2" s="111"/>
      <c r="H2" s="111"/>
      <c r="I2" s="111"/>
      <c r="J2" s="118"/>
      <c r="K2" s="118"/>
      <c r="L2" s="118"/>
      <c r="M2" s="118"/>
    </row>
    <row r="3" spans="1:13">
      <c r="A3" s="1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>
      <c r="A4" s="1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>
      <c r="A5" s="1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>
      <c r="A6" s="1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13">
      <c r="A7" s="1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3">
      <c r="A8" s="1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13">
      <c r="A9" s="1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13">
      <c r="A10" s="1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1:13">
      <c r="A11" s="1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2" spans="1:13">
      <c r="A12" s="1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</row>
    <row r="13" spans="1:13">
      <c r="A13" s="1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</row>
    <row r="14" spans="1:13">
      <c r="A14" s="1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</row>
    <row r="15" spans="1:13">
      <c r="A15" s="1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</row>
    <row r="16" spans="1:13">
      <c r="A16" s="1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</row>
    <row r="17" spans="1:14">
      <c r="A17" s="1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</row>
    <row r="18" spans="1:14">
      <c r="N18" s="6"/>
    </row>
    <row r="19" spans="1:14">
      <c r="A19" s="50" t="s">
        <v>0</v>
      </c>
      <c r="B19" s="51" t="s">
        <v>1</v>
      </c>
      <c r="C19" s="51" t="s">
        <v>2</v>
      </c>
      <c r="D19" s="51" t="s">
        <v>3</v>
      </c>
      <c r="E19" s="51" t="s">
        <v>4</v>
      </c>
      <c r="F19" s="51" t="s">
        <v>5</v>
      </c>
      <c r="G19" s="51" t="s">
        <v>6</v>
      </c>
      <c r="H19" s="51" t="s">
        <v>7</v>
      </c>
      <c r="I19" s="51" t="s">
        <v>8</v>
      </c>
      <c r="J19" s="51" t="s">
        <v>9</v>
      </c>
      <c r="K19" s="51" t="s">
        <v>10</v>
      </c>
      <c r="L19" s="51" t="s">
        <v>11</v>
      </c>
      <c r="M19" s="51" t="s">
        <v>12</v>
      </c>
    </row>
    <row r="20" spans="1:14">
      <c r="A20" s="75">
        <v>2016</v>
      </c>
      <c r="B20" s="93">
        <v>116.8</v>
      </c>
      <c r="C20" s="93">
        <v>138.5</v>
      </c>
      <c r="D20" s="93">
        <v>161.30000000000001</v>
      </c>
      <c r="E20" s="93">
        <v>178.5</v>
      </c>
      <c r="F20" s="93">
        <v>153</v>
      </c>
      <c r="G20" s="93">
        <v>157.4</v>
      </c>
      <c r="H20" s="93">
        <v>165.6</v>
      </c>
      <c r="I20" s="93">
        <v>168</v>
      </c>
      <c r="J20" s="93">
        <v>193.6</v>
      </c>
      <c r="K20" s="93">
        <v>200.8</v>
      </c>
      <c r="L20" s="93">
        <v>217.6</v>
      </c>
      <c r="M20" s="94">
        <v>193.5</v>
      </c>
    </row>
    <row r="21" spans="1:14">
      <c r="A21" s="76">
        <v>2017</v>
      </c>
      <c r="B21" s="93">
        <v>139.5</v>
      </c>
      <c r="C21" s="93">
        <v>176.6</v>
      </c>
      <c r="D21" s="93">
        <v>212.1</v>
      </c>
      <c r="E21" s="93">
        <v>154.19999999999999</v>
      </c>
      <c r="F21" s="93">
        <v>174.7</v>
      </c>
      <c r="G21" s="93">
        <v>171.1</v>
      </c>
      <c r="H21" s="93">
        <v>191.6</v>
      </c>
      <c r="I21" s="93">
        <v>207.9</v>
      </c>
      <c r="J21" s="93">
        <v>223.9</v>
      </c>
      <c r="K21" s="93">
        <v>268.2</v>
      </c>
      <c r="L21" s="93">
        <v>272.10000000000002</v>
      </c>
      <c r="M21" s="94">
        <v>233.1</v>
      </c>
    </row>
    <row r="22" spans="1:14">
      <c r="A22" s="76">
        <v>2018</v>
      </c>
      <c r="B22" s="93">
        <v>220.3</v>
      </c>
      <c r="C22" s="93">
        <v>215.5</v>
      </c>
      <c r="D22" s="93">
        <v>242.1</v>
      </c>
      <c r="E22" s="93">
        <v>199.7</v>
      </c>
      <c r="F22" s="93">
        <v>223</v>
      </c>
      <c r="G22" s="93">
        <v>214.1</v>
      </c>
      <c r="H22" s="93">
        <v>218.8</v>
      </c>
      <c r="I22" s="93">
        <v>218.6</v>
      </c>
      <c r="J22" s="93">
        <v>207.3</v>
      </c>
      <c r="K22" s="93">
        <v>259</v>
      </c>
      <c r="L22" s="93">
        <v>268.89999999999998</v>
      </c>
      <c r="M22" s="94">
        <v>218.8</v>
      </c>
    </row>
    <row r="23" spans="1:14">
      <c r="A23" s="76">
        <v>2019</v>
      </c>
      <c r="B23" s="93">
        <v>234.3</v>
      </c>
      <c r="C23" s="93">
        <v>241.4</v>
      </c>
      <c r="D23" s="93">
        <v>257.2</v>
      </c>
      <c r="E23" s="93">
        <v>215.6</v>
      </c>
      <c r="F23" s="93">
        <v>210.5</v>
      </c>
      <c r="G23" s="93">
        <v>202.2</v>
      </c>
      <c r="H23" s="93">
        <v>220.2</v>
      </c>
      <c r="I23" s="93">
        <v>205.8</v>
      </c>
      <c r="J23" s="93">
        <v>238.8</v>
      </c>
      <c r="K23" s="93">
        <v>268.3</v>
      </c>
      <c r="L23" s="93">
        <v>266.60000000000002</v>
      </c>
      <c r="M23" s="94">
        <v>218.3</v>
      </c>
    </row>
    <row r="24" spans="1:14">
      <c r="A24" s="76">
        <v>2020</v>
      </c>
      <c r="B24" s="93">
        <v>219.5</v>
      </c>
      <c r="C24" s="93">
        <v>245.3</v>
      </c>
      <c r="D24" s="93">
        <v>210.2</v>
      </c>
      <c r="E24" s="93">
        <v>149.80000000000001</v>
      </c>
      <c r="F24" s="93">
        <v>155.69999999999999</v>
      </c>
      <c r="G24" s="93">
        <v>189.6</v>
      </c>
      <c r="H24" s="93">
        <v>191.1</v>
      </c>
      <c r="I24" s="93">
        <v>163.9</v>
      </c>
      <c r="J24" s="93">
        <v>212.3</v>
      </c>
      <c r="K24" s="93">
        <v>249.4</v>
      </c>
      <c r="L24" s="93">
        <v>262</v>
      </c>
      <c r="M24" s="94">
        <v>218.3</v>
      </c>
    </row>
    <row r="25" spans="1:14">
      <c r="A25" s="77">
        <v>2021</v>
      </c>
      <c r="B25" s="95">
        <v>198.4</v>
      </c>
      <c r="C25" s="95">
        <v>227</v>
      </c>
      <c r="D25" s="95">
        <v>259.2</v>
      </c>
      <c r="E25" s="95">
        <v>218.3</v>
      </c>
      <c r="F25" s="95"/>
      <c r="G25" s="95"/>
      <c r="H25" s="95"/>
      <c r="I25" s="95"/>
      <c r="J25" s="95"/>
      <c r="K25" s="95"/>
      <c r="L25" s="95"/>
      <c r="M25" s="96"/>
    </row>
  </sheetData>
  <mergeCells count="1">
    <mergeCell ref="A2:I2"/>
  </mergeCells>
  <pageMargins left="0.7" right="0.7" top="0.75" bottom="0.75" header="0.3" footer="0.3"/>
  <pageSetup paperSize="9" orientation="portrait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G26"/>
  <sheetViews>
    <sheetView workbookViewId="0">
      <selection activeCell="A2" sqref="A2:I2"/>
    </sheetView>
  </sheetViews>
  <sheetFormatPr defaultRowHeight="12"/>
  <cols>
    <col min="1" max="1" width="27.28515625" style="3" customWidth="1"/>
    <col min="2" max="2" width="16.140625" style="3" customWidth="1"/>
    <col min="3" max="4" width="15.85546875" style="3" customWidth="1"/>
    <col min="5" max="5" width="15.7109375" style="3" customWidth="1"/>
    <col min="6" max="6" width="15.85546875" style="3" customWidth="1"/>
    <col min="7" max="7" width="16" style="3" customWidth="1"/>
    <col min="8" max="16384" width="9.140625" style="3"/>
  </cols>
  <sheetData>
    <row r="2" spans="1:7" s="112" customFormat="1">
      <c r="A2" s="114" t="s">
        <v>91</v>
      </c>
      <c r="B2" s="114"/>
      <c r="C2" s="114"/>
      <c r="D2" s="114"/>
      <c r="E2" s="114"/>
      <c r="F2" s="113"/>
      <c r="G2" s="113"/>
    </row>
    <row r="3" spans="1:7">
      <c r="A3" s="4"/>
      <c r="B3" s="4"/>
      <c r="C3" s="4"/>
      <c r="D3" s="4"/>
      <c r="E3" s="4"/>
      <c r="F3" s="4"/>
      <c r="G3" s="4"/>
    </row>
    <row r="4" spans="1:7">
      <c r="A4" s="4"/>
      <c r="B4" s="4"/>
      <c r="C4" s="4"/>
      <c r="D4" s="4"/>
      <c r="E4" s="4"/>
      <c r="F4" s="4"/>
      <c r="G4" s="4"/>
    </row>
    <row r="5" spans="1:7">
      <c r="A5" s="4"/>
      <c r="B5" s="4"/>
      <c r="C5" s="4"/>
      <c r="D5" s="4"/>
      <c r="E5" s="4"/>
      <c r="F5" s="4"/>
      <c r="G5" s="4"/>
    </row>
    <row r="6" spans="1:7">
      <c r="A6" s="4"/>
      <c r="B6" s="4"/>
      <c r="C6" s="4"/>
      <c r="D6" s="4"/>
      <c r="E6" s="4"/>
      <c r="F6" s="4"/>
      <c r="G6" s="4"/>
    </row>
    <row r="7" spans="1:7">
      <c r="A7" s="4"/>
      <c r="B7" s="4"/>
      <c r="C7" s="4"/>
      <c r="D7" s="4"/>
      <c r="E7" s="4"/>
      <c r="F7" s="4"/>
      <c r="G7" s="4"/>
    </row>
    <row r="8" spans="1:7">
      <c r="A8" s="4"/>
      <c r="B8" s="4"/>
      <c r="C8" s="4"/>
      <c r="D8" s="4"/>
      <c r="E8" s="4"/>
      <c r="F8" s="4"/>
      <c r="G8" s="4"/>
    </row>
    <row r="9" spans="1:7">
      <c r="A9" s="4"/>
      <c r="B9" s="4"/>
      <c r="C9" s="4"/>
      <c r="D9" s="4"/>
      <c r="E9" s="4"/>
      <c r="F9" s="4"/>
      <c r="G9" s="4"/>
    </row>
    <row r="10" spans="1:7">
      <c r="A10" s="4"/>
      <c r="B10" s="4"/>
      <c r="C10" s="4"/>
      <c r="D10" s="4"/>
      <c r="E10" s="4"/>
      <c r="F10" s="4"/>
      <c r="G10" s="4"/>
    </row>
    <row r="11" spans="1:7">
      <c r="A11" s="4"/>
      <c r="B11" s="4"/>
      <c r="C11" s="4"/>
      <c r="D11" s="4"/>
      <c r="E11" s="4"/>
      <c r="F11" s="4"/>
      <c r="G11" s="4"/>
    </row>
    <row r="12" spans="1:7">
      <c r="A12" s="4"/>
      <c r="B12" s="4"/>
      <c r="C12" s="4"/>
      <c r="D12" s="4"/>
      <c r="E12" s="4"/>
      <c r="F12" s="4"/>
      <c r="G12" s="4"/>
    </row>
    <row r="13" spans="1:7">
      <c r="A13" s="4"/>
      <c r="B13" s="4"/>
      <c r="C13" s="4"/>
      <c r="D13" s="4"/>
      <c r="E13" s="4"/>
      <c r="F13" s="4"/>
      <c r="G13" s="4"/>
    </row>
    <row r="14" spans="1:7">
      <c r="A14" s="4"/>
      <c r="B14" s="4"/>
      <c r="C14" s="4"/>
      <c r="D14" s="4"/>
      <c r="E14" s="4"/>
      <c r="F14" s="4"/>
      <c r="G14" s="4"/>
    </row>
    <row r="15" spans="1:7">
      <c r="A15" s="4"/>
      <c r="B15" s="4"/>
      <c r="C15" s="4"/>
      <c r="D15" s="4"/>
      <c r="E15" s="4"/>
      <c r="F15" s="4"/>
      <c r="G15" s="4"/>
    </row>
    <row r="16" spans="1:7">
      <c r="A16" s="4"/>
      <c r="B16" s="4"/>
      <c r="C16" s="4"/>
      <c r="D16" s="4"/>
      <c r="E16" s="4"/>
      <c r="F16" s="4"/>
      <c r="G16" s="4"/>
    </row>
    <row r="17" spans="1:7">
      <c r="A17" s="4"/>
      <c r="B17" s="4"/>
      <c r="C17" s="4"/>
      <c r="D17" s="4"/>
      <c r="E17" s="4"/>
      <c r="F17" s="4"/>
      <c r="G17" s="4"/>
    </row>
    <row r="18" spans="1:7">
      <c r="A18" s="4"/>
      <c r="B18" s="4"/>
      <c r="C18" s="4"/>
      <c r="D18" s="4"/>
      <c r="E18" s="4"/>
      <c r="F18" s="4"/>
      <c r="G18" s="4"/>
    </row>
    <row r="19" spans="1:7">
      <c r="A19" s="5"/>
    </row>
    <row r="20" spans="1:7">
      <c r="A20" s="5"/>
    </row>
    <row r="21" spans="1:7">
      <c r="A21" s="5"/>
    </row>
    <row r="22" spans="1:7" ht="24">
      <c r="A22" s="38"/>
      <c r="B22" s="14" t="s">
        <v>84</v>
      </c>
      <c r="C22" s="14" t="s">
        <v>83</v>
      </c>
      <c r="D22" s="14" t="s">
        <v>82</v>
      </c>
      <c r="E22" s="15" t="s">
        <v>81</v>
      </c>
      <c r="F22" s="15" t="s">
        <v>80</v>
      </c>
      <c r="G22" s="15" t="s">
        <v>79</v>
      </c>
    </row>
    <row r="23" spans="1:7" ht="15" customHeight="1">
      <c r="A23" s="27" t="s">
        <v>65</v>
      </c>
      <c r="B23" s="80">
        <f>IF(561410.98782="","-",561410.98782/1216006.77752*100)</f>
        <v>46.168409436415857</v>
      </c>
      <c r="C23" s="80">
        <f>IF(653945.94231="","-",653945.94231/1392173.93156*100)</f>
        <v>46.973005849723179</v>
      </c>
      <c r="D23" s="80">
        <f>IF(869112.06575="","-",869112.06575/1770611.63183*100)</f>
        <v>49.085414899920025</v>
      </c>
      <c r="E23" s="80">
        <f>IF(897363.0078="","-",897363.0078/1881236.72041*100)</f>
        <v>47.700695933918787</v>
      </c>
      <c r="F23" s="80">
        <f>IF(777506.77513="","-",777506.77513/1650717.59844*100)</f>
        <v>47.101138066546191</v>
      </c>
      <c r="G23" s="81">
        <f>IF(1004999.71908="","-",1004999.71908/2112289.07699*100)</f>
        <v>47.578701704603752</v>
      </c>
    </row>
    <row r="24" spans="1:7" ht="15" customHeight="1">
      <c r="A24" s="28" t="s">
        <v>66</v>
      </c>
      <c r="B24" s="80">
        <f>IF(334853.23633="","-",334853.23633/1216006.77752*100)</f>
        <v>27.537119243111501</v>
      </c>
      <c r="C24" s="80">
        <f>IF(364648.24585="","-",364648.24585/1392173.93156*100)</f>
        <v>26.192721870707175</v>
      </c>
      <c r="D24" s="80">
        <f>IF(423763.37047="","-",423763.37047/1770611.63183*100)</f>
        <v>23.933163142728432</v>
      </c>
      <c r="E24" s="80">
        <f>IF(499013.03224="","-",499013.03224/1881236.72041*100)</f>
        <v>26.52579693060872</v>
      </c>
      <c r="F24" s="80">
        <f>IF(411933.80685="","-",411933.80685/1650717.59844*100)</f>
        <v>24.954832203842457</v>
      </c>
      <c r="G24" s="81">
        <f>IF(489586.39373="","-",489586.39373/2112289.07699*100)</f>
        <v>23.178001489628393</v>
      </c>
    </row>
    <row r="25" spans="1:7" ht="15.75" customHeight="1">
      <c r="A25" s="29" t="s">
        <v>67</v>
      </c>
      <c r="B25" s="30">
        <f>IF(319742.55337="","-",319742.55337/1216006.77752*100)</f>
        <v>26.294471320472645</v>
      </c>
      <c r="C25" s="16">
        <f>IF(373579.7434="","-",373579.7434/1392173.93156*100)</f>
        <v>26.83427227956965</v>
      </c>
      <c r="D25" s="16">
        <f>IF(477736.19561="","-",477736.19561/1770611.63183*100)</f>
        <v>26.981421957351536</v>
      </c>
      <c r="E25" s="16">
        <f>IF(484860.68037="","-",484860.68037/1881236.72041*100)</f>
        <v>25.773507135472489</v>
      </c>
      <c r="F25" s="16">
        <f>IF(461277.01646="","-",461277.01646/1650717.59844*100)</f>
        <v>27.944029729611341</v>
      </c>
      <c r="G25" s="18">
        <f>IF(617702.96418="","-",617702.96418/2112289.07699*100)</f>
        <v>29.243296805767855</v>
      </c>
    </row>
    <row r="26" spans="1:7">
      <c r="G26" s="8"/>
    </row>
  </sheetData>
  <mergeCells count="1">
    <mergeCell ref="A2:E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G40"/>
  <sheetViews>
    <sheetView workbookViewId="0">
      <selection activeCell="A2" sqref="A2:I2"/>
    </sheetView>
  </sheetViews>
  <sheetFormatPr defaultRowHeight="12"/>
  <cols>
    <col min="1" max="2" width="14.85546875" style="3" customWidth="1"/>
    <col min="3" max="3" width="15" style="3" customWidth="1"/>
    <col min="4" max="4" width="14.42578125" style="3" customWidth="1"/>
    <col min="5" max="5" width="14.7109375" style="3" customWidth="1"/>
    <col min="6" max="6" width="15" style="3" customWidth="1"/>
    <col min="7" max="7" width="15.85546875" style="3" customWidth="1"/>
    <col min="8" max="16384" width="9.140625" style="3"/>
  </cols>
  <sheetData>
    <row r="2" spans="1:7" s="112" customFormat="1">
      <c r="A2" s="114" t="s">
        <v>90</v>
      </c>
      <c r="B2" s="114"/>
      <c r="C2" s="114"/>
      <c r="D2" s="114"/>
      <c r="E2" s="114"/>
      <c r="F2" s="114"/>
      <c r="G2" s="114"/>
    </row>
    <row r="23" spans="1:7" ht="24">
      <c r="A23" s="58"/>
      <c r="B23" s="15" t="s">
        <v>85</v>
      </c>
      <c r="C23" s="15" t="s">
        <v>83</v>
      </c>
      <c r="D23" s="15" t="s">
        <v>82</v>
      </c>
      <c r="E23" s="15" t="s">
        <v>86</v>
      </c>
      <c r="F23" s="15" t="s">
        <v>80</v>
      </c>
      <c r="G23" s="15" t="s">
        <v>79</v>
      </c>
    </row>
    <row r="24" spans="1:7">
      <c r="A24" s="70" t="s">
        <v>36</v>
      </c>
      <c r="B24" s="100">
        <f>IF(OR(147692.11339="",147692.11339="***"),"-",147692.11339/1216006.77752*100)</f>
        <v>12.145665313742125</v>
      </c>
      <c r="C24" s="101">
        <f>IF(OR(187909.12864="",187909.12864="***"),"-",187909.12864/1392173.93156*100)</f>
        <v>13.497532483562487</v>
      </c>
      <c r="D24" s="101">
        <f>IF(OR(238024.83274="",238024.83274="***"),"-",238024.83274/1770611.63183*100)</f>
        <v>13.443085341870905</v>
      </c>
      <c r="E24" s="101">
        <f>IF(OR(255550.20883="",255550.20883="***"),"-",255550.20883/1881236.72041*100)</f>
        <v>13.584160146220455</v>
      </c>
      <c r="F24" s="101">
        <f>IF(OR(205243.41173="",205243.41173="***"),"-",205243.41173/1650717.59844*100)</f>
        <v>12.433587181960377</v>
      </c>
      <c r="G24" s="72">
        <f>IF(OR(260078.14261="",260078.14261="***"),"-",260078.14261/2112289.07699*100)</f>
        <v>12.312620722378108</v>
      </c>
    </row>
    <row r="25" spans="1:7">
      <c r="A25" s="71" t="s">
        <v>39</v>
      </c>
      <c r="B25" s="102">
        <f>IF(OR(196570.01183="",196570.01183="***"),"-",196570.01183/1216006.77752*100)</f>
        <v>16.165206926798316</v>
      </c>
      <c r="C25" s="68">
        <f>IF(OR(198185.78706="",198185.78706="***"),"-",198185.78706/1392173.93156*100)</f>
        <v>14.235705939266008</v>
      </c>
      <c r="D25" s="68">
        <f>IF(OR(240695.97184="",240695.97184="***"),"-",240695.97184/1770611.63183*100)</f>
        <v>13.593945025156692</v>
      </c>
      <c r="E25" s="68">
        <f>IF(OR(276238.40681="",276238.40681="***"),"-",276238.40681/1881236.72041*100)</f>
        <v>14.683872785015387</v>
      </c>
      <c r="F25" s="68">
        <f>IF(OR(220849.55435="",220849.55435="***"),"-",220849.55435/1650717.59844*100)</f>
        <v>13.379002838445075</v>
      </c>
      <c r="G25" s="73">
        <f>IF(OR(257714.5563="",257714.5563="***"),"-",257714.5563/2112289.07699*100)</f>
        <v>12.200723807521733</v>
      </c>
    </row>
    <row r="26" spans="1:7">
      <c r="A26" s="98" t="s">
        <v>70</v>
      </c>
      <c r="B26" s="102">
        <f>IF(OR(106595.09461="",106595.09461="***"),"-",106595.09461/1216006.77752*100)</f>
        <v>8.7659951063263541</v>
      </c>
      <c r="C26" s="68">
        <f>IF(OR(132595.19271="",132595.19271="***"),"-",132595.19271/1392173.93156*100)</f>
        <v>9.5243266451211674</v>
      </c>
      <c r="D26" s="68">
        <f>IF(OR(187044.43351="",187044.43351="***"),"-",187044.43351/1770611.63183*100)</f>
        <v>10.563831737436507</v>
      </c>
      <c r="E26" s="68">
        <f>IF(OR(182532.82735="",182532.82735="***"),"-",182532.82735/1881236.72041*100)</f>
        <v>9.7028101444999688</v>
      </c>
      <c r="F26" s="68">
        <f>IF(OR(168421.35423="",168421.35423="***"),"-",168421.35423/1650717.59844*100)</f>
        <v>10.20291746990312</v>
      </c>
      <c r="G26" s="73">
        <f>IF(OR(237239.38881="",237239.38881="***"),"-",237239.38881/2112289.07699*100)</f>
        <v>11.23138832626379</v>
      </c>
    </row>
    <row r="27" spans="1:7">
      <c r="A27" s="71" t="s">
        <v>42</v>
      </c>
      <c r="B27" s="102">
        <f>IF(OR(106250.96142="",106250.96142="***"),"-",106250.96142/1216006.77752*100)</f>
        <v>8.7376948372520449</v>
      </c>
      <c r="C27" s="68">
        <f>IF(OR(127452.94665="",127452.94665="***"),"-",127452.94665/1392173.93156*100)</f>
        <v>9.1549585695217441</v>
      </c>
      <c r="D27" s="68">
        <f>IF(OR(153470.36396="",153470.36396="***"),"-",153470.36396/1770611.63183*100)</f>
        <v>8.6676468854653361</v>
      </c>
      <c r="E27" s="68">
        <f>IF(OR(174829.22995="",174829.22995="***"),"-",174829.22995/1881236.72041*100)</f>
        <v>9.2933137043964038</v>
      </c>
      <c r="F27" s="68">
        <f>IF(OR(148843.56904="",148843.56904="***"),"-",148843.56904/1650717.59844*100)</f>
        <v>9.0169008424374741</v>
      </c>
      <c r="G27" s="73">
        <f>IF(OR(183385.7866="",183385.7866="***"),"-",183385.7866/2112289.07699*100)</f>
        <v>8.6818508222995554</v>
      </c>
    </row>
    <row r="28" spans="1:7">
      <c r="A28" s="71" t="s">
        <v>37</v>
      </c>
      <c r="B28" s="102">
        <f>IF(OR(96287.49868="",96287.49868="***"),"-",96287.49868/1216006.77752*100)</f>
        <v>7.9183356918762184</v>
      </c>
      <c r="C28" s="68">
        <f>IF(OR(111028.28488="",111028.28488="***"),"-",111028.28488/1392173.93156*100)</f>
        <v>7.97517338624401</v>
      </c>
      <c r="D28" s="68">
        <f>IF(OR(153873.81093="",153873.81093="***"),"-",153873.81093/1770611.63183*100)</f>
        <v>8.6904326258698017</v>
      </c>
      <c r="E28" s="68">
        <f>IF(OR(156512.43294="",156512.43294="***"),"-",156512.43294/1881236.72041*100)</f>
        <v>8.3196564920277236</v>
      </c>
      <c r="F28" s="68">
        <f>IF(OR(139334.43134="",139334.43134="***"),"-",139334.43134/1650717.59844*100)</f>
        <v>8.4408400002324502</v>
      </c>
      <c r="G28" s="73">
        <f>IF(OR(180321.87636="",180321.87636="***"),"-",180321.87636/2112289.07699*100)</f>
        <v>8.5367991684621902</v>
      </c>
    </row>
    <row r="29" spans="1:7">
      <c r="A29" s="71" t="s">
        <v>38</v>
      </c>
      <c r="B29" s="102">
        <f>IF(OR(85765.14381="",85765.14381="***"),"-",85765.14381/1216006.77752*100)</f>
        <v>7.0530152788222749</v>
      </c>
      <c r="C29" s="68">
        <f>IF(OR(95412.5188="",95412.5188="***"),"-",95412.5188/1392173.93156*100)</f>
        <v>6.853491265497663</v>
      </c>
      <c r="D29" s="68">
        <f>IF(OR(108137.72188="",108137.72188="***"),"-",108137.72188/1770611.63183*100)</f>
        <v>6.10736538357851</v>
      </c>
      <c r="E29" s="68">
        <f>IF(OR(121095.01835="",121095.01835="***"),"-",121095.01835/1881236.72041*100)</f>
        <v>6.4369899351958404</v>
      </c>
      <c r="F29" s="68">
        <f>IF(OR(112021.7743="",112021.7743="***"),"-",112021.7743/1650717.59844*100)</f>
        <v>6.7862470483058672</v>
      </c>
      <c r="G29" s="73">
        <f>IF(OR(156498.79644="",156498.79644="***"),"-",156498.79644/2112289.07699*100)</f>
        <v>7.4089668002738485</v>
      </c>
    </row>
    <row r="30" spans="1:7">
      <c r="A30" s="71" t="s">
        <v>40</v>
      </c>
      <c r="B30" s="102">
        <f>IF(OR(81266.8389="",81266.8389="***"),"-",81266.8389/1216006.77752*100)</f>
        <v>6.6830909500143294</v>
      </c>
      <c r="C30" s="68">
        <f>IF(OR(92532.05306="",92532.05306="***"),"-",92532.05306/1392173.93156*100)</f>
        <v>6.6465871082870551</v>
      </c>
      <c r="D30" s="68">
        <f>IF(OR(120295.37526="",120295.37526="***"),"-",120295.37526/1770611.63183*100)</f>
        <v>6.7940011856620286</v>
      </c>
      <c r="E30" s="68">
        <f>IF(OR(127566.18653="",127566.18653="***"),"-",127566.18653/1881236.72041*100)</f>
        <v>6.7809747250839338</v>
      </c>
      <c r="F30" s="68">
        <f>IF(OR(99670.36366="",99670.36366="***"),"-",99670.36366/1650717.59844*100)</f>
        <v>6.0380021242999309</v>
      </c>
      <c r="G30" s="73">
        <f>IF(OR(139541.49376="",139541.49376="***"),"-",139541.49376/2112289.07699*100)</f>
        <v>6.6061740923664596</v>
      </c>
    </row>
    <row r="31" spans="1:7">
      <c r="A31" s="71" t="s">
        <v>41</v>
      </c>
      <c r="B31" s="102">
        <f>IF(OR(35012.06554="",35012.06554="***"),"-",35012.06554/1216006.77752*100)</f>
        <v>2.8792656576639968</v>
      </c>
      <c r="C31" s="68">
        <f>IF(OR(42270.91597="",42270.91597="***"),"-",42270.91597/1392173.93156*100)</f>
        <v>3.0363243422201811</v>
      </c>
      <c r="D31" s="68">
        <f>IF(OR(61774.23896="",61774.23896="***"),"-",61774.23896/1770611.63183*100)</f>
        <v>3.4888644042258878</v>
      </c>
      <c r="E31" s="68">
        <f>IF(OR(61566.3334="",61566.3334="***"),"-",61566.3334/1881236.72041*100)</f>
        <v>3.2726521193240439</v>
      </c>
      <c r="F31" s="68">
        <f>IF(OR(63984.43875="",63984.43875="***"),"-",63984.43875/1650717.59844*100)</f>
        <v>3.8761589996052672</v>
      </c>
      <c r="G31" s="73">
        <f>IF(OR(83194.55229="",83194.55229="***"),"-",83194.55229/2112289.07699*100)</f>
        <v>3.9385969087409087</v>
      </c>
    </row>
    <row r="32" spans="1:7">
      <c r="A32" s="71" t="s">
        <v>50</v>
      </c>
      <c r="B32" s="102">
        <f>IF(OR(37624.18285="",37624.18285="***"),"-",37624.18285/1216006.77752*100)</f>
        <v>3.0940767391718902</v>
      </c>
      <c r="C32" s="68">
        <f>IF(OR(42264.63913="",42264.63913="***"),"-",42264.63913/1392173.93156*100)</f>
        <v>3.0358734761424802</v>
      </c>
      <c r="D32" s="68">
        <f>IF(OR(57260.91407="",57260.91407="***"),"-",57260.91407/1770611.63183*100)</f>
        <v>3.2339623800403077</v>
      </c>
      <c r="E32" s="68">
        <f>IF(OR(55362.34916="",55362.34916="***"),"-",55362.34916/1881236.72041*100)</f>
        <v>2.9428698982621513</v>
      </c>
      <c r="F32" s="68">
        <f>IF(OR(52235.77398="",52235.77398="***"),"-",52235.77398/1650717.59844*100)</f>
        <v>3.1644282480155952</v>
      </c>
      <c r="G32" s="73">
        <f>IF(OR(63866.58941="",63866.58941="***"),"-",63866.58941/2112289.07699*100)</f>
        <v>3.023572393841544</v>
      </c>
    </row>
    <row r="33" spans="1:7">
      <c r="A33" s="98" t="s">
        <v>45</v>
      </c>
      <c r="B33" s="102">
        <f>IF(OR(23704.5761="",23704.5761="***"),"-",23704.5761/1216006.77752*100)</f>
        <v>1.9493786168153264</v>
      </c>
      <c r="C33" s="68">
        <f>IF(OR(29765.5813="",29765.5813="***"),"-",29765.5813/1392173.93156*100)</f>
        <v>2.1380648369594302</v>
      </c>
      <c r="D33" s="68">
        <f>IF(OR(40917.38423="",40917.38423="***"),"-",40917.38423/1770611.63183*100)</f>
        <v>2.3109180745475055</v>
      </c>
      <c r="E33" s="68">
        <f>IF(OR(37636.46661="",37636.46661="***"),"-",37636.46661/1881236.72041*100)</f>
        <v>2.0006236430361324</v>
      </c>
      <c r="F33" s="68">
        <f>IF(OR(38048.09156="",38048.09156="***"),"-",38048.09156/1650717.59844*100)</f>
        <v>2.3049425047601781</v>
      </c>
      <c r="G33" s="73">
        <f>IF(OR(43964.32127="",43964.32127="***"),"-",43964.32127/2112289.07699*100)</f>
        <v>2.0813591164637804</v>
      </c>
    </row>
    <row r="34" spans="1:7">
      <c r="A34" s="71" t="s">
        <v>44</v>
      </c>
      <c r="B34" s="102">
        <f>IF(OR(28771.15515="",28771.15515="***"),"-",28771.15515/1216006.77752*100)</f>
        <v>2.3660357558761049</v>
      </c>
      <c r="C34" s="68">
        <f>IF(OR(36758.7676="",36758.7676="***"),"-",36758.7676/1392173.93156*100)</f>
        <v>2.64038614476928</v>
      </c>
      <c r="D34" s="68">
        <f>IF(OR(27011.96467="",27011.96467="***"),"-",27011.96467/1770611.63183*100)</f>
        <v>1.5255725301026077</v>
      </c>
      <c r="E34" s="68">
        <f>IF(OR(40098.1554="",40098.1554="***"),"-",40098.1554/1881236.72041*100)</f>
        <v>2.1314784558989972</v>
      </c>
      <c r="F34" s="68">
        <f>IF(OR(31036.23113="",31036.23113="***"),"-",31036.23113/1650717.59844*100)</f>
        <v>1.8801660053379565</v>
      </c>
      <c r="G34" s="73">
        <f>IF(OR(38965.31052="",38965.31052="***"),"-",38965.31052/2112289.07699*100)</f>
        <v>1.8446959246470822</v>
      </c>
    </row>
    <row r="35" spans="1:7">
      <c r="A35" s="98" t="s">
        <v>43</v>
      </c>
      <c r="B35" s="102">
        <f>IF(OR(16668.67856="",16668.67856="***"),"-",16668.67856/1216006.77752*100)</f>
        <v>1.3707718466828895</v>
      </c>
      <c r="C35" s="68">
        <f>IF(OR(18902.35735="",18902.35735="***"),"-",18902.35735/1392173.93156*100)</f>
        <v>1.3577583175127386</v>
      </c>
      <c r="D35" s="68">
        <f>IF(OR(26599.5177="",26599.5177="***"),"-",26599.5177/1770611.63183*100)</f>
        <v>1.502278490766962</v>
      </c>
      <c r="E35" s="68">
        <f>IF(OR(34668.93035="",34668.93035="***"),"-",34668.93035/1881236.72041*100)</f>
        <v>1.8428797383055651</v>
      </c>
      <c r="F35" s="68">
        <f>IF(OR(26097.18162="",26097.18162="***"),"-",26097.18162/1650717.59844*100)</f>
        <v>1.5809597986150368</v>
      </c>
      <c r="G35" s="73">
        <f>IF(OR(36102.73558="",36102.73558="***"),"-",36102.73558/2112289.07699*100)</f>
        <v>1.7091758875847711</v>
      </c>
    </row>
    <row r="36" spans="1:7">
      <c r="A36" s="98" t="s">
        <v>72</v>
      </c>
      <c r="B36" s="102">
        <f>IF(OR(17005.62572="",17005.62572="***"),"-",17005.62572/1216006.77752*100)</f>
        <v>1.3984811626364726</v>
      </c>
      <c r="C36" s="68">
        <f>IF(OR(28295.39277="",28295.39277="***"),"-",28295.39277/1392173.93156*100)</f>
        <v>2.0324610401441441</v>
      </c>
      <c r="D36" s="68">
        <f>IF(OR(25604.80354="",25604.80354="***"),"-",25604.80354/1770611.63183*100)</f>
        <v>1.4460993636157458</v>
      </c>
      <c r="E36" s="68">
        <f>IF(OR(24827.12116="",24827.12116="***"),"-",24827.12116/1881236.72041*100)</f>
        <v>1.3197233974142888</v>
      </c>
      <c r="F36" s="68">
        <f>IF(OR(22450.03475="",22450.03475="***"),"-",22450.03475/1650717.59844*100)</f>
        <v>1.3600166843326962</v>
      </c>
      <c r="G36" s="73">
        <f>IF(OR(31882.65246="",31882.65246="***"),"-",31882.65246/2112289.07699*100)</f>
        <v>1.5093886915058332</v>
      </c>
    </row>
    <row r="37" spans="1:7">
      <c r="A37" s="98" t="s">
        <v>47</v>
      </c>
      <c r="B37" s="102">
        <f>IF(OR(17190.76742="",17190.76742="***"),"-",17190.76742/1216006.77752*100)</f>
        <v>1.4137065465259926</v>
      </c>
      <c r="C37" s="68">
        <f>IF(OR(19255.68088="",19255.68088="***"),"-",19255.68088/1392173.93156*100)</f>
        <v>1.3831375838522599</v>
      </c>
      <c r="D37" s="68">
        <f>IF(OR(26558.60331="",26558.60331="***"),"-",26558.60331/1770611.63183*100)</f>
        <v>1.4999677417995152</v>
      </c>
      <c r="E37" s="68">
        <f>IF(OR(28483.26378="",28483.26378="***"),"-",28483.26378/1881236.72041*100)</f>
        <v>1.5140712208611529</v>
      </c>
      <c r="F37" s="68">
        <f>IF(OR(26933.85261="",26933.85261="***"),"-",26933.85261/1650717.59844*100)</f>
        <v>1.6316450878971462</v>
      </c>
      <c r="G37" s="73">
        <f>IF(OR(31194.20205="",31194.20205="***"),"-",31194.20205/2112289.07699*100)</f>
        <v>1.4767960687678015</v>
      </c>
    </row>
    <row r="38" spans="1:7">
      <c r="A38" s="98" t="s">
        <v>71</v>
      </c>
      <c r="B38" s="102">
        <f>IF(OR(24455.53459="",24455.53459="***"),"-",24455.53459/1216006.77752*100)</f>
        <v>2.0111347273800679</v>
      </c>
      <c r="C38" s="68">
        <f>IF(OR(21468.54102="",21468.54102="***"),"-",21468.54102/1392173.93156*100)</f>
        <v>1.54208756056389</v>
      </c>
      <c r="D38" s="68">
        <f>IF(OR(33601.62551="",33601.62551="***"),"-",33601.62551/1770611.63183*100)</f>
        <v>1.8977411480840287</v>
      </c>
      <c r="E38" s="68">
        <f>IF(OR(29700.83622="",29700.83622="***"),"-",29700.83622/1881236.72041*100)</f>
        <v>1.5787931363325156</v>
      </c>
      <c r="F38" s="68">
        <f>IF(OR(19853.67228="",19853.67228="***"),"-",19853.67228/1650717.59844*100)</f>
        <v>1.2027297884727577</v>
      </c>
      <c r="G38" s="73">
        <f>IF(OR(30778.98703="",30778.98703="***"),"-",30778.98703/2112289.07699*100)</f>
        <v>1.4571389572235958</v>
      </c>
    </row>
    <row r="39" spans="1:7">
      <c r="A39" s="98" t="s">
        <v>48</v>
      </c>
      <c r="B39" s="102">
        <f>IF(OR(17342.4899="",17342.4899="***"),"-",17342.4899/1216006.77752*100)</f>
        <v>1.4261836546149318</v>
      </c>
      <c r="C39" s="68">
        <f>IF(OR(18315.41616="",18315.41616="***"),"-",18315.41616/1392173.93156*100)</f>
        <v>1.3155982700722366</v>
      </c>
      <c r="D39" s="68">
        <f>IF(OR(18975.67845="",18975.67845="***"),"-",18975.67845/1770611.63183*100)</f>
        <v>1.0717018971793297</v>
      </c>
      <c r="E39" s="68">
        <f>IF(OR(14961.86687="",14961.86687="***"),"-",14961.86687/1881236.72041*100)</f>
        <v>0.79532079656297505</v>
      </c>
      <c r="F39" s="68">
        <f>IF(OR(17894.21449="",17894.21449="***"),"-",17894.21449/1650717.59844*100)</f>
        <v>1.0840263959692931</v>
      </c>
      <c r="G39" s="73">
        <f>IF(OR(23917.54425="",23917.54425="***"),"-",23917.54425/2112289.07699*100)</f>
        <v>1.1323044989695428</v>
      </c>
    </row>
    <row r="40" spans="1:7">
      <c r="A40" s="99" t="s">
        <v>49</v>
      </c>
      <c r="B40" s="103">
        <f>IF(OR(12532.8367="",12532.8367="***"),"-",12532.8367/1216006.77752*100)</f>
        <v>1.0306551683503151</v>
      </c>
      <c r="C40" s="69">
        <f>IF(OR(13860.32465="",13860.32465="***"),"-",13860.32465/1392173.93156*100)</f>
        <v>0.99558857810739343</v>
      </c>
      <c r="D40" s="69">
        <f>IF(OR(20461.93146="",20461.93146="***"),"-",20461.93146/1770611.63183*100)</f>
        <v>1.1556419878961119</v>
      </c>
      <c r="E40" s="69">
        <f>IF(OR(18909.6435="",18909.6435="***"),"-",18909.6435/1881236.72041*100)</f>
        <v>1.0051708695053962</v>
      </c>
      <c r="F40" s="69">
        <f>IF(OR(17622.66859="",17622.66859="***"),"-",17622.66859/1650717.59844*100)</f>
        <v>1.0675762230107795</v>
      </c>
      <c r="G40" s="74">
        <f>IF(OR(22345.23668="",22345.23668="***"),"-",22345.23668/2112289.07699*100)</f>
        <v>1.0578683061620446</v>
      </c>
    </row>
  </sheetData>
  <mergeCells count="1">
    <mergeCell ref="A2:G2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F41"/>
  <sheetViews>
    <sheetView workbookViewId="0">
      <selection activeCell="A2" sqref="A2:I2"/>
    </sheetView>
  </sheetViews>
  <sheetFormatPr defaultRowHeight="12"/>
  <cols>
    <col min="1" max="1" width="54.28515625" style="3" customWidth="1"/>
    <col min="2" max="2" width="18.42578125" style="3" customWidth="1"/>
    <col min="3" max="3" width="9.140625" style="3"/>
    <col min="4" max="4" width="12" style="3" customWidth="1"/>
    <col min="5" max="16384" width="9.140625" style="3"/>
  </cols>
  <sheetData>
    <row r="2" spans="1:6" s="112" customFormat="1">
      <c r="A2" s="111" t="s">
        <v>89</v>
      </c>
      <c r="B2" s="111"/>
      <c r="C2" s="111"/>
      <c r="D2" s="111"/>
      <c r="E2" s="113"/>
      <c r="F2" s="113"/>
    </row>
    <row r="3" spans="1:6">
      <c r="A3" s="4"/>
      <c r="B3" s="4"/>
      <c r="C3" s="4"/>
      <c r="D3" s="4"/>
      <c r="E3" s="4"/>
      <c r="F3" s="4"/>
    </row>
    <row r="4" spans="1:6">
      <c r="A4" s="4"/>
      <c r="B4" s="4"/>
      <c r="C4" s="4"/>
      <c r="D4" s="4"/>
      <c r="E4" s="4"/>
      <c r="F4" s="4"/>
    </row>
    <row r="5" spans="1:6">
      <c r="A5" s="4"/>
      <c r="B5" s="4"/>
      <c r="C5" s="4"/>
      <c r="D5" s="4"/>
      <c r="E5" s="4"/>
      <c r="F5" s="4"/>
    </row>
    <row r="6" spans="1:6">
      <c r="A6" s="4"/>
      <c r="B6" s="4"/>
      <c r="C6" s="4"/>
      <c r="D6" s="4"/>
      <c r="E6" s="4"/>
      <c r="F6" s="4"/>
    </row>
    <row r="7" spans="1:6">
      <c r="A7" s="4"/>
      <c r="B7" s="4"/>
      <c r="C7" s="4"/>
      <c r="D7" s="4"/>
      <c r="E7" s="4"/>
      <c r="F7" s="4"/>
    </row>
    <row r="8" spans="1:6">
      <c r="A8" s="4"/>
      <c r="B8" s="4"/>
      <c r="C8" s="4"/>
      <c r="D8" s="4"/>
      <c r="E8" s="4"/>
      <c r="F8" s="4"/>
    </row>
    <row r="9" spans="1:6">
      <c r="A9" s="4"/>
      <c r="B9" s="4"/>
      <c r="C9" s="4"/>
      <c r="D9" s="4"/>
      <c r="E9" s="4"/>
      <c r="F9" s="4"/>
    </row>
    <row r="10" spans="1:6">
      <c r="A10" s="4"/>
      <c r="B10" s="4"/>
      <c r="C10" s="4"/>
      <c r="D10" s="4"/>
      <c r="E10" s="4"/>
      <c r="F10" s="4"/>
    </row>
    <row r="11" spans="1:6">
      <c r="A11" s="4"/>
      <c r="B11" s="4"/>
      <c r="C11" s="4"/>
      <c r="D11" s="4"/>
      <c r="E11" s="4"/>
      <c r="F11" s="4"/>
    </row>
    <row r="12" spans="1:6">
      <c r="A12" s="4"/>
      <c r="B12" s="4"/>
      <c r="C12" s="4"/>
      <c r="D12" s="4"/>
      <c r="E12" s="4"/>
      <c r="F12" s="4"/>
    </row>
    <row r="13" spans="1:6">
      <c r="A13" s="4"/>
      <c r="B13" s="4"/>
      <c r="C13" s="4"/>
      <c r="D13" s="4"/>
      <c r="E13" s="4"/>
      <c r="F13" s="4"/>
    </row>
    <row r="14" spans="1:6">
      <c r="A14" s="4"/>
      <c r="B14" s="4"/>
      <c r="C14" s="4"/>
      <c r="D14" s="4"/>
      <c r="E14" s="4"/>
      <c r="F14" s="4"/>
    </row>
    <row r="15" spans="1:6">
      <c r="A15" s="4"/>
      <c r="B15" s="4"/>
      <c r="C15" s="4"/>
      <c r="D15" s="4"/>
      <c r="E15" s="4"/>
      <c r="F15" s="4"/>
    </row>
    <row r="16" spans="1:6">
      <c r="A16" s="4"/>
      <c r="B16" s="4"/>
      <c r="C16" s="4"/>
      <c r="D16" s="4"/>
      <c r="E16" s="4"/>
      <c r="F16" s="4"/>
    </row>
    <row r="17" spans="1:6">
      <c r="A17" s="4"/>
      <c r="B17" s="4"/>
      <c r="C17" s="4"/>
      <c r="D17" s="4"/>
      <c r="E17" s="4"/>
      <c r="F17" s="4"/>
    </row>
    <row r="18" spans="1:6">
      <c r="A18" s="4"/>
      <c r="B18" s="4"/>
      <c r="C18" s="4"/>
      <c r="D18" s="4"/>
      <c r="E18" s="4"/>
      <c r="F18" s="4"/>
    </row>
    <row r="19" spans="1:6">
      <c r="A19" s="4"/>
      <c r="B19" s="4"/>
      <c r="C19" s="4"/>
      <c r="D19" s="4"/>
      <c r="E19" s="4"/>
      <c r="F19" s="4"/>
    </row>
    <row r="20" spans="1:6">
      <c r="A20" s="5"/>
    </row>
    <row r="21" spans="1:6">
      <c r="A21" s="63" t="s">
        <v>80</v>
      </c>
      <c r="B21" s="59" t="s">
        <v>52</v>
      </c>
    </row>
    <row r="22" spans="1:6" ht="13.5" customHeight="1">
      <c r="A22" s="42" t="s">
        <v>53</v>
      </c>
      <c r="B22" s="82">
        <v>13.8</v>
      </c>
    </row>
    <row r="23" spans="1:6">
      <c r="A23" s="43" t="s">
        <v>54</v>
      </c>
      <c r="B23" s="83">
        <v>1.9</v>
      </c>
    </row>
    <row r="24" spans="1:6">
      <c r="A24" s="43" t="s">
        <v>55</v>
      </c>
      <c r="B24" s="83">
        <v>3.6</v>
      </c>
    </row>
    <row r="25" spans="1:6">
      <c r="A25" s="43" t="s">
        <v>56</v>
      </c>
      <c r="B25" s="83">
        <v>14.2</v>
      </c>
    </row>
    <row r="26" spans="1:6">
      <c r="A26" s="43" t="s">
        <v>68</v>
      </c>
      <c r="B26" s="83">
        <v>0.2</v>
      </c>
    </row>
    <row r="27" spans="1:6">
      <c r="A27" s="43" t="s">
        <v>69</v>
      </c>
      <c r="B27" s="83">
        <v>17.8</v>
      </c>
    </row>
    <row r="28" spans="1:6">
      <c r="A28" s="43" t="s">
        <v>59</v>
      </c>
      <c r="B28" s="83">
        <v>17.5</v>
      </c>
    </row>
    <row r="29" spans="1:6">
      <c r="A29" s="43" t="s">
        <v>60</v>
      </c>
      <c r="B29" s="83">
        <v>21.5</v>
      </c>
    </row>
    <row r="30" spans="1:6">
      <c r="A30" s="44" t="s">
        <v>61</v>
      </c>
      <c r="B30" s="84">
        <v>9.5</v>
      </c>
    </row>
    <row r="32" spans="1:6">
      <c r="A32" s="63" t="s">
        <v>79</v>
      </c>
      <c r="B32" s="59" t="s">
        <v>52</v>
      </c>
    </row>
    <row r="33" spans="1:2">
      <c r="A33" s="42" t="s">
        <v>53</v>
      </c>
      <c r="B33" s="82">
        <v>12.4</v>
      </c>
    </row>
    <row r="34" spans="1:2">
      <c r="A34" s="43" t="s">
        <v>54</v>
      </c>
      <c r="B34" s="83">
        <v>1.6</v>
      </c>
    </row>
    <row r="35" spans="1:2">
      <c r="A35" s="43" t="s">
        <v>55</v>
      </c>
      <c r="B35" s="83">
        <v>3.4</v>
      </c>
    </row>
    <row r="36" spans="1:2">
      <c r="A36" s="43" t="s">
        <v>56</v>
      </c>
      <c r="B36" s="83">
        <v>11.8</v>
      </c>
    </row>
    <row r="37" spans="1:2">
      <c r="A37" s="43" t="s">
        <v>57</v>
      </c>
      <c r="B37" s="83">
        <v>0.2</v>
      </c>
    </row>
    <row r="38" spans="1:2">
      <c r="A38" s="43" t="s">
        <v>58</v>
      </c>
      <c r="B38" s="83">
        <v>16.100000000000001</v>
      </c>
    </row>
    <row r="39" spans="1:2">
      <c r="A39" s="43" t="s">
        <v>59</v>
      </c>
      <c r="B39" s="83">
        <v>17.7</v>
      </c>
    </row>
    <row r="40" spans="1:2">
      <c r="A40" s="43" t="s">
        <v>60</v>
      </c>
      <c r="B40" s="83">
        <v>25.4</v>
      </c>
    </row>
    <row r="41" spans="1:2">
      <c r="A41" s="44" t="s">
        <v>61</v>
      </c>
      <c r="B41" s="84">
        <v>11.4</v>
      </c>
    </row>
  </sheetData>
  <mergeCells count="1">
    <mergeCell ref="A2:D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M28"/>
  <sheetViews>
    <sheetView workbookViewId="0">
      <selection activeCell="A2" sqref="A2:J2"/>
    </sheetView>
  </sheetViews>
  <sheetFormatPr defaultRowHeight="12"/>
  <cols>
    <col min="1" max="9" width="9.140625" style="3"/>
    <col min="10" max="10" width="11.42578125" style="3" customWidth="1"/>
    <col min="11" max="11" width="11.5703125" style="3" customWidth="1"/>
    <col min="12" max="12" width="11.28515625" style="3" customWidth="1"/>
    <col min="13" max="13" width="11.7109375" style="3" customWidth="1"/>
    <col min="14" max="16384" width="9.140625" style="3"/>
  </cols>
  <sheetData>
    <row r="2" spans="1:10" s="112" customFormat="1">
      <c r="A2" s="111" t="s">
        <v>88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3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3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3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3">
      <c r="A20" s="4"/>
      <c r="B20" s="4"/>
      <c r="C20" s="4"/>
      <c r="D20" s="4"/>
      <c r="E20" s="4"/>
      <c r="F20" s="4"/>
      <c r="G20" s="4"/>
      <c r="H20" s="4"/>
      <c r="I20" s="4"/>
      <c r="J20" s="4"/>
    </row>
    <row r="22" spans="1:13">
      <c r="A22" s="55" t="s">
        <v>0</v>
      </c>
      <c r="B22" s="56" t="s">
        <v>1</v>
      </c>
      <c r="C22" s="56" t="s">
        <v>2</v>
      </c>
      <c r="D22" s="56" t="s">
        <v>3</v>
      </c>
      <c r="E22" s="56" t="s">
        <v>4</v>
      </c>
      <c r="F22" s="56" t="s">
        <v>5</v>
      </c>
      <c r="G22" s="56" t="s">
        <v>6</v>
      </c>
      <c r="H22" s="56" t="s">
        <v>7</v>
      </c>
      <c r="I22" s="56" t="s">
        <v>8</v>
      </c>
      <c r="J22" s="56" t="s">
        <v>9</v>
      </c>
      <c r="K22" s="56" t="s">
        <v>10</v>
      </c>
      <c r="L22" s="56" t="s">
        <v>11</v>
      </c>
      <c r="M22" s="57" t="s">
        <v>12</v>
      </c>
    </row>
    <row r="23" spans="1:13">
      <c r="A23" s="54">
        <v>2016</v>
      </c>
      <c r="B23" s="93">
        <v>-90.5</v>
      </c>
      <c r="C23" s="93">
        <v>-148.5</v>
      </c>
      <c r="D23" s="93">
        <v>-205.5</v>
      </c>
      <c r="E23" s="93">
        <v>-176.4</v>
      </c>
      <c r="F23" s="93">
        <v>-174.7</v>
      </c>
      <c r="G23" s="93">
        <v>-167.2</v>
      </c>
      <c r="H23" s="93">
        <v>-148.5</v>
      </c>
      <c r="I23" s="93">
        <v>-183.1</v>
      </c>
      <c r="J23" s="93">
        <v>-168</v>
      </c>
      <c r="K23" s="93">
        <v>-179.4</v>
      </c>
      <c r="L23" s="93">
        <v>-135.9</v>
      </c>
      <c r="M23" s="93">
        <v>-197.9</v>
      </c>
    </row>
    <row r="24" spans="1:13">
      <c r="A24" s="54">
        <v>2017</v>
      </c>
      <c r="B24" s="93">
        <v>-127.3</v>
      </c>
      <c r="C24" s="93">
        <v>-156.1</v>
      </c>
      <c r="D24" s="93">
        <v>-219.1</v>
      </c>
      <c r="E24" s="93">
        <v>-207.3</v>
      </c>
      <c r="F24" s="93">
        <v>-225.7</v>
      </c>
      <c r="G24" s="93">
        <v>-217.7</v>
      </c>
      <c r="H24" s="93">
        <v>-205.3</v>
      </c>
      <c r="I24" s="93">
        <v>-221.8</v>
      </c>
      <c r="J24" s="93">
        <v>-206.9</v>
      </c>
      <c r="K24" s="93">
        <v>-197.7</v>
      </c>
      <c r="L24" s="93">
        <v>-183.2</v>
      </c>
      <c r="M24" s="93">
        <v>-238.3</v>
      </c>
    </row>
    <row r="25" spans="1:13">
      <c r="A25" s="54">
        <v>2018</v>
      </c>
      <c r="B25" s="93">
        <v>-154</v>
      </c>
      <c r="C25" s="93">
        <v>-212.1</v>
      </c>
      <c r="D25" s="93">
        <v>-282</v>
      </c>
      <c r="E25" s="93">
        <v>-244.9</v>
      </c>
      <c r="F25" s="93">
        <v>-282.60000000000002</v>
      </c>
      <c r="G25" s="93">
        <v>-244.6</v>
      </c>
      <c r="H25" s="93">
        <v>-269.2</v>
      </c>
      <c r="I25" s="93">
        <v>-262.10000000000002</v>
      </c>
      <c r="J25" s="93">
        <v>-266.7</v>
      </c>
      <c r="K25" s="93">
        <v>-281.60000000000002</v>
      </c>
      <c r="L25" s="93">
        <v>-253.70000000000005</v>
      </c>
      <c r="M25" s="93">
        <v>-300.49999999999994</v>
      </c>
    </row>
    <row r="26" spans="1:13">
      <c r="A26" s="54">
        <v>2019</v>
      </c>
      <c r="B26" s="93">
        <v>-138.30000000000001</v>
      </c>
      <c r="C26" s="93">
        <v>-217.9</v>
      </c>
      <c r="D26" s="93">
        <v>-276.60000000000002</v>
      </c>
      <c r="E26" s="93">
        <v>-300</v>
      </c>
      <c r="F26" s="93">
        <v>-271.10000000000002</v>
      </c>
      <c r="G26" s="93">
        <v>-243.2</v>
      </c>
      <c r="H26" s="93">
        <v>-278.89999999999998</v>
      </c>
      <c r="I26" s="93">
        <v>-258.5</v>
      </c>
      <c r="J26" s="93">
        <v>-262.89999999999998</v>
      </c>
      <c r="K26" s="93">
        <v>-257</v>
      </c>
      <c r="L26" s="93">
        <v>-237.5</v>
      </c>
      <c r="M26" s="93">
        <v>-321.39999999999998</v>
      </c>
    </row>
    <row r="27" spans="1:13">
      <c r="A27" s="54">
        <v>2020</v>
      </c>
      <c r="B27" s="93">
        <v>-160.30000000000001</v>
      </c>
      <c r="C27" s="93">
        <v>-239.5</v>
      </c>
      <c r="D27" s="93">
        <v>-290.3</v>
      </c>
      <c r="E27" s="93">
        <v>-135.80000000000001</v>
      </c>
      <c r="F27" s="93">
        <v>-173.7</v>
      </c>
      <c r="G27" s="93">
        <v>-223.9</v>
      </c>
      <c r="H27" s="93">
        <v>-305.5</v>
      </c>
      <c r="I27" s="93">
        <v>-269.7</v>
      </c>
      <c r="J27" s="93">
        <v>-296</v>
      </c>
      <c r="K27" s="93">
        <v>-244.2</v>
      </c>
      <c r="L27" s="93">
        <v>-260.89999999999998</v>
      </c>
      <c r="M27" s="93">
        <v>-349</v>
      </c>
    </row>
    <row r="28" spans="1:13">
      <c r="A28" s="49">
        <v>2021</v>
      </c>
      <c r="B28" s="95">
        <v>-201</v>
      </c>
      <c r="C28" s="95">
        <v>-294.5</v>
      </c>
      <c r="D28" s="95">
        <v>-371</v>
      </c>
      <c r="E28" s="95">
        <v>-342.9</v>
      </c>
      <c r="F28" s="95"/>
      <c r="G28" s="95"/>
      <c r="H28" s="95"/>
      <c r="I28" s="95"/>
      <c r="J28" s="95"/>
      <c r="K28" s="95"/>
      <c r="L28" s="95"/>
      <c r="M28" s="95"/>
    </row>
  </sheetData>
  <mergeCells count="1">
    <mergeCell ref="A2:J2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F31"/>
  <sheetViews>
    <sheetView workbookViewId="0">
      <selection activeCell="A2" sqref="A2:I2"/>
    </sheetView>
  </sheetViews>
  <sheetFormatPr defaultRowHeight="12"/>
  <cols>
    <col min="1" max="1" width="28.42578125" style="3" customWidth="1"/>
    <col min="2" max="2" width="17.7109375" style="3" customWidth="1"/>
    <col min="3" max="3" width="18" style="3" customWidth="1"/>
    <col min="4" max="4" width="22.140625" style="3" customWidth="1"/>
    <col min="5" max="16384" width="9.140625" style="3"/>
  </cols>
  <sheetData>
    <row r="2" spans="1:6" s="5" customFormat="1">
      <c r="A2" s="110" t="s">
        <v>87</v>
      </c>
      <c r="B2" s="110"/>
      <c r="C2" s="110"/>
      <c r="D2" s="110"/>
      <c r="E2" s="110"/>
      <c r="F2" s="10"/>
    </row>
    <row r="3" spans="1:6">
      <c r="A3" s="4"/>
      <c r="B3" s="4"/>
      <c r="C3" s="4"/>
      <c r="D3" s="4"/>
      <c r="E3" s="4"/>
      <c r="F3" s="4"/>
    </row>
    <row r="4" spans="1:6">
      <c r="A4" s="4"/>
      <c r="B4" s="4"/>
      <c r="C4" s="4"/>
      <c r="D4" s="4"/>
      <c r="E4" s="4"/>
      <c r="F4" s="4"/>
    </row>
    <row r="5" spans="1:6">
      <c r="A5" s="4"/>
      <c r="B5" s="4"/>
      <c r="C5" s="4"/>
      <c r="D5" s="4"/>
      <c r="E5" s="4"/>
      <c r="F5" s="4"/>
    </row>
    <row r="6" spans="1:6">
      <c r="A6" s="4"/>
      <c r="B6" s="4"/>
      <c r="C6" s="4"/>
      <c r="D6" s="4"/>
      <c r="E6" s="4"/>
      <c r="F6" s="4"/>
    </row>
    <row r="7" spans="1:6">
      <c r="A7" s="4"/>
      <c r="B7" s="4"/>
      <c r="C7" s="4"/>
      <c r="D7" s="4"/>
      <c r="E7" s="4"/>
      <c r="F7" s="4"/>
    </row>
    <row r="8" spans="1:6">
      <c r="A8" s="4"/>
      <c r="B8" s="4"/>
      <c r="C8" s="4"/>
      <c r="D8" s="4"/>
      <c r="E8" s="4"/>
      <c r="F8" s="4"/>
    </row>
    <row r="9" spans="1:6">
      <c r="A9" s="4"/>
      <c r="B9" s="4"/>
      <c r="C9" s="4"/>
      <c r="D9" s="4"/>
      <c r="E9" s="4"/>
      <c r="F9" s="4"/>
    </row>
    <row r="10" spans="1:6">
      <c r="A10" s="4"/>
      <c r="B10" s="4"/>
      <c r="C10" s="4"/>
      <c r="D10" s="4"/>
      <c r="E10" s="4"/>
      <c r="F10" s="4"/>
    </row>
    <row r="11" spans="1:6">
      <c r="A11" s="4"/>
      <c r="B11" s="4"/>
      <c r="C11" s="4"/>
      <c r="D11" s="4"/>
      <c r="E11" s="4"/>
      <c r="F11" s="4"/>
    </row>
    <row r="12" spans="1:6">
      <c r="A12" s="4"/>
      <c r="B12" s="4"/>
      <c r="C12" s="4"/>
      <c r="D12" s="4"/>
      <c r="E12" s="4"/>
      <c r="F12" s="4"/>
    </row>
    <row r="13" spans="1:6">
      <c r="A13" s="4"/>
      <c r="B13" s="4"/>
      <c r="C13" s="4"/>
      <c r="D13" s="4"/>
      <c r="E13" s="4"/>
      <c r="F13" s="4"/>
    </row>
    <row r="14" spans="1:6">
      <c r="A14" s="4"/>
      <c r="B14" s="4"/>
      <c r="C14" s="4"/>
      <c r="D14" s="4"/>
      <c r="E14" s="4"/>
      <c r="F14" s="4"/>
    </row>
    <row r="15" spans="1:6">
      <c r="A15" s="4"/>
      <c r="B15" s="4"/>
      <c r="C15" s="4"/>
      <c r="D15" s="4"/>
      <c r="E15" s="4"/>
      <c r="F15" s="4"/>
    </row>
    <row r="16" spans="1:6">
      <c r="A16" s="4"/>
      <c r="B16" s="4"/>
      <c r="C16" s="4"/>
      <c r="D16" s="4"/>
      <c r="E16" s="4"/>
      <c r="F16" s="4"/>
    </row>
    <row r="17" spans="1:6">
      <c r="A17" s="4"/>
      <c r="B17" s="4"/>
      <c r="C17" s="4"/>
      <c r="D17" s="4"/>
      <c r="E17" s="4"/>
      <c r="F17" s="4"/>
    </row>
    <row r="18" spans="1:6">
      <c r="A18" s="4"/>
      <c r="B18" s="4"/>
      <c r="C18" s="4"/>
      <c r="D18" s="4"/>
      <c r="E18" s="4"/>
      <c r="F18" s="4"/>
    </row>
    <row r="19" spans="1:6">
      <c r="A19" s="4"/>
      <c r="B19" s="4"/>
      <c r="C19" s="4"/>
      <c r="D19" s="4"/>
      <c r="E19" s="4"/>
      <c r="F19" s="4"/>
    </row>
    <row r="20" spans="1:6">
      <c r="A20" s="4"/>
      <c r="B20" s="4"/>
      <c r="C20" s="4"/>
      <c r="D20" s="4"/>
      <c r="E20" s="4"/>
      <c r="F20" s="4"/>
    </row>
    <row r="21" spans="1:6">
      <c r="A21" s="4"/>
      <c r="B21" s="4"/>
      <c r="C21" s="4"/>
      <c r="D21" s="4"/>
      <c r="E21" s="4"/>
      <c r="F21" s="4"/>
    </row>
    <row r="22" spans="1:6">
      <c r="A22" s="4"/>
      <c r="B22" s="4"/>
      <c r="C22" s="4"/>
      <c r="D22" s="4"/>
      <c r="E22" s="4"/>
      <c r="F22" s="4"/>
    </row>
    <row r="23" spans="1:6">
      <c r="A23" s="4"/>
      <c r="B23" s="4"/>
      <c r="C23" s="4"/>
      <c r="D23" s="4"/>
      <c r="E23" s="4"/>
      <c r="F23" s="4"/>
    </row>
    <row r="25" spans="1:6">
      <c r="A25" s="45" t="s">
        <v>73</v>
      </c>
      <c r="B25" s="46" t="s">
        <v>74</v>
      </c>
      <c r="C25" s="46" t="s">
        <v>75</v>
      </c>
      <c r="D25" s="47" t="s">
        <v>76</v>
      </c>
      <c r="E25" s="6"/>
    </row>
    <row r="26" spans="1:6" ht="15.75" customHeight="1">
      <c r="A26" s="19" t="s">
        <v>84</v>
      </c>
      <c r="B26" s="23">
        <v>594.9</v>
      </c>
      <c r="C26" s="23">
        <v>1216</v>
      </c>
      <c r="D26" s="89">
        <v>-621.1</v>
      </c>
      <c r="E26" s="6"/>
    </row>
    <row r="27" spans="1:6" ht="15" customHeight="1">
      <c r="A27" s="20" t="s">
        <v>83</v>
      </c>
      <c r="B27" s="23">
        <v>682.4</v>
      </c>
      <c r="C27" s="23">
        <v>1392.2</v>
      </c>
      <c r="D27" s="89">
        <v>-709.8</v>
      </c>
      <c r="E27" s="6"/>
    </row>
    <row r="28" spans="1:6" ht="14.25" customHeight="1">
      <c r="A28" s="20" t="s">
        <v>82</v>
      </c>
      <c r="B28" s="23">
        <v>877.6</v>
      </c>
      <c r="C28" s="23">
        <v>1770.6</v>
      </c>
      <c r="D28" s="24">
        <v>-893</v>
      </c>
      <c r="E28" s="6"/>
    </row>
    <row r="29" spans="1:6" ht="14.25" customHeight="1">
      <c r="A29" s="20" t="s">
        <v>81</v>
      </c>
      <c r="B29" s="23">
        <v>948.5</v>
      </c>
      <c r="C29" s="23">
        <v>1881.2</v>
      </c>
      <c r="D29" s="24">
        <v>-932.7</v>
      </c>
      <c r="E29" s="6"/>
    </row>
    <row r="30" spans="1:6" ht="13.5" customHeight="1">
      <c r="A30" s="20" t="s">
        <v>80</v>
      </c>
      <c r="B30" s="23">
        <v>824.9</v>
      </c>
      <c r="C30" s="23">
        <v>1650.7</v>
      </c>
      <c r="D30" s="24">
        <v>-825.8</v>
      </c>
      <c r="E30" s="6"/>
    </row>
    <row r="31" spans="1:6" ht="13.5" customHeight="1">
      <c r="A31" s="20" t="s">
        <v>79</v>
      </c>
      <c r="B31" s="23">
        <v>903</v>
      </c>
      <c r="C31" s="23">
        <v>2112.3000000000002</v>
      </c>
      <c r="D31" s="24">
        <v>-1209.3</v>
      </c>
      <c r="E31" s="6"/>
    </row>
  </sheetData>
  <mergeCells count="1">
    <mergeCell ref="A2:E2"/>
  </mergeCells>
  <pageMargins left="0.7" right="0.7" top="0.75" bottom="0.75" header="0.3" footer="0.3"/>
  <pageSetup paperSize="9" orientation="portrait" verticalDpi="1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D26"/>
  <sheetViews>
    <sheetView workbookViewId="0">
      <selection activeCell="A2" sqref="A2:O2"/>
    </sheetView>
  </sheetViews>
  <sheetFormatPr defaultRowHeight="12"/>
  <cols>
    <col min="1" max="1" width="17.85546875" style="3" customWidth="1"/>
    <col min="2" max="2" width="6.28515625" style="3" bestFit="1" customWidth="1"/>
    <col min="3" max="3" width="6.85546875" style="3" bestFit="1" customWidth="1"/>
    <col min="4" max="4" width="7.7109375" style="3" bestFit="1" customWidth="1"/>
    <col min="5" max="5" width="7.5703125" style="3" bestFit="1" customWidth="1"/>
    <col min="6" max="6" width="6.7109375" style="3" bestFit="1" customWidth="1"/>
    <col min="7" max="7" width="7.5703125" style="3" bestFit="1" customWidth="1"/>
    <col min="8" max="8" width="7.85546875" style="3" bestFit="1" customWidth="1"/>
    <col min="9" max="9" width="9.28515625" style="3" bestFit="1" customWidth="1"/>
    <col min="10" max="10" width="7.5703125" style="3" bestFit="1" customWidth="1"/>
    <col min="11" max="11" width="6.7109375" style="3" bestFit="1" customWidth="1"/>
    <col min="12" max="12" width="7.7109375" style="3" customWidth="1"/>
    <col min="13" max="13" width="8.42578125" style="3" bestFit="1" customWidth="1"/>
    <col min="14" max="14" width="6.140625" style="3" bestFit="1" customWidth="1"/>
    <col min="15" max="15" width="6.85546875" style="3" bestFit="1" customWidth="1"/>
    <col min="16" max="16" width="7.7109375" style="3" bestFit="1" customWidth="1"/>
    <col min="17" max="17" width="7.5703125" style="3" bestFit="1" customWidth="1"/>
    <col min="18" max="18" width="9.28515625" style="3" customWidth="1"/>
    <col min="19" max="20" width="9.28515625" style="3" bestFit="1" customWidth="1"/>
    <col min="21" max="21" width="8.28515625" style="3" customWidth="1"/>
    <col min="22" max="22" width="9.140625" style="3" customWidth="1"/>
    <col min="23" max="23" width="8.42578125" style="3" customWidth="1"/>
    <col min="24" max="26" width="9.28515625" style="3" bestFit="1" customWidth="1"/>
    <col min="27" max="28" width="9.28515625" style="3" customWidth="1"/>
    <col min="29" max="29" width="9.28515625" style="3" bestFit="1" customWidth="1"/>
    <col min="30" max="16384" width="9.140625" style="3"/>
  </cols>
  <sheetData>
    <row r="2" spans="1:15" s="112" customFormat="1">
      <c r="A2" s="111" t="s">
        <v>99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30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30">
      <c r="A18" s="5"/>
    </row>
    <row r="19" spans="1:30">
      <c r="A19" s="5"/>
      <c r="AD19" s="6"/>
    </row>
    <row r="20" spans="1:30">
      <c r="A20" s="5"/>
      <c r="AD20" s="6"/>
    </row>
    <row r="21" spans="1:30">
      <c r="A21" s="5"/>
      <c r="AD21" s="6"/>
    </row>
    <row r="22" spans="1:30">
      <c r="A22" s="5"/>
      <c r="AD22" s="6"/>
    </row>
    <row r="23" spans="1:30">
      <c r="A23" s="104"/>
      <c r="B23" s="106">
        <v>2019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>
        <v>2020</v>
      </c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>
        <v>2021</v>
      </c>
      <c r="AA23" s="107"/>
      <c r="AB23" s="107"/>
      <c r="AC23" s="106"/>
      <c r="AD23" s="6"/>
    </row>
    <row r="24" spans="1:30">
      <c r="A24" s="105"/>
      <c r="B24" s="39" t="s">
        <v>13</v>
      </c>
      <c r="C24" s="39" t="s">
        <v>14</v>
      </c>
      <c r="D24" s="39" t="s">
        <v>15</v>
      </c>
      <c r="E24" s="39" t="s">
        <v>16</v>
      </c>
      <c r="F24" s="39" t="s">
        <v>17</v>
      </c>
      <c r="G24" s="39" t="s">
        <v>18</v>
      </c>
      <c r="H24" s="39" t="s">
        <v>19</v>
      </c>
      <c r="I24" s="39" t="s">
        <v>20</v>
      </c>
      <c r="J24" s="39" t="s">
        <v>21</v>
      </c>
      <c r="K24" s="39" t="s">
        <v>22</v>
      </c>
      <c r="L24" s="39" t="s">
        <v>23</v>
      </c>
      <c r="M24" s="39" t="s">
        <v>24</v>
      </c>
      <c r="N24" s="39" t="s">
        <v>13</v>
      </c>
      <c r="O24" s="39" t="s">
        <v>14</v>
      </c>
      <c r="P24" s="39" t="s">
        <v>15</v>
      </c>
      <c r="Q24" s="39" t="s">
        <v>16</v>
      </c>
      <c r="R24" s="39" t="s">
        <v>17</v>
      </c>
      <c r="S24" s="39" t="s">
        <v>25</v>
      </c>
      <c r="T24" s="39" t="s">
        <v>19</v>
      </c>
      <c r="U24" s="39" t="s">
        <v>26</v>
      </c>
      <c r="V24" s="39" t="s">
        <v>21</v>
      </c>
      <c r="W24" s="39" t="s">
        <v>27</v>
      </c>
      <c r="X24" s="39" t="s">
        <v>23</v>
      </c>
      <c r="Y24" s="39" t="s">
        <v>24</v>
      </c>
      <c r="Z24" s="39" t="s">
        <v>13</v>
      </c>
      <c r="AA24" s="40" t="s">
        <v>14</v>
      </c>
      <c r="AB24" s="39" t="s">
        <v>15</v>
      </c>
      <c r="AC24" s="39" t="s">
        <v>16</v>
      </c>
      <c r="AD24" s="6"/>
    </row>
    <row r="25" spans="1:30" ht="28.5" customHeight="1">
      <c r="A25" s="37" t="s">
        <v>77</v>
      </c>
      <c r="B25" s="21">
        <v>107.04955714362214</v>
      </c>
      <c r="C25" s="21">
        <v>103.05469693630643</v>
      </c>
      <c r="D25" s="21">
        <v>106.5540849399146</v>
      </c>
      <c r="E25" s="21">
        <v>83.804058120513616</v>
      </c>
      <c r="F25" s="21">
        <v>97.663587687631406</v>
      </c>
      <c r="G25" s="21">
        <v>96.047232355670943</v>
      </c>
      <c r="H25" s="21">
        <v>108.87893967295254</v>
      </c>
      <c r="I25" s="21">
        <v>93.476142278451405</v>
      </c>
      <c r="J25" s="21">
        <v>116.03027535062083</v>
      </c>
      <c r="K25" s="21">
        <v>112.37403253245004</v>
      </c>
      <c r="L25" s="21">
        <v>99.332915825323369</v>
      </c>
      <c r="M25" s="17">
        <v>81.894486392152885</v>
      </c>
      <c r="N25" s="23">
        <v>100.54069338788538</v>
      </c>
      <c r="O25" s="23">
        <v>111.77933359663091</v>
      </c>
      <c r="P25" s="23">
        <v>85.694935103741471</v>
      </c>
      <c r="Q25" s="23">
        <v>71.283537880135214</v>
      </c>
      <c r="R25" s="23">
        <v>103.90424682350312</v>
      </c>
      <c r="S25" s="23">
        <v>121.75061963317823</v>
      </c>
      <c r="T25" s="23">
        <v>100.8184202333199</v>
      </c>
      <c r="U25" s="23">
        <v>78.376764810035453</v>
      </c>
      <c r="V25" s="23">
        <v>129.49769232961904</v>
      </c>
      <c r="W25" s="23">
        <v>117.47585360993436</v>
      </c>
      <c r="X25" s="23">
        <v>105.08585699580438</v>
      </c>
      <c r="Y25" s="17">
        <v>83.287463510424814</v>
      </c>
      <c r="Z25" s="34">
        <v>90.924906043100663</v>
      </c>
      <c r="AA25" s="24">
        <v>114.41186008293316</v>
      </c>
      <c r="AB25" s="64">
        <v>114.18675061706691</v>
      </c>
      <c r="AC25" s="33">
        <v>84.198294032010949</v>
      </c>
      <c r="AD25" s="6"/>
    </row>
    <row r="26" spans="1:30" ht="40.5" customHeight="1">
      <c r="A26" s="32" t="s">
        <v>78</v>
      </c>
      <c r="B26" s="30">
        <f>IF(220321.7383="","-",234254.08835/220321.7383*100)</f>
        <v>106.32363840150403</v>
      </c>
      <c r="C26" s="16">
        <f>IF(215472.31369="","-",241409.84081/215472.31369*100)</f>
        <v>112.03752197942065</v>
      </c>
      <c r="D26" s="16">
        <f>IF(242121.38159="","-",257232.04683/242121.38159*100)</f>
        <v>106.24094623150131</v>
      </c>
      <c r="E26" s="16">
        <f>IF(199735.58403="","-",215570.89403/199735.58403*100)</f>
        <v>107.92813662968615</v>
      </c>
      <c r="F26" s="16">
        <f>IF(223023.34378="","-",210534.26912/223023.34378*100)</f>
        <v>94.400104290284631</v>
      </c>
      <c r="G26" s="16">
        <f>IF(214123.17565="","-",202212.33865/214123.17565*100)</f>
        <v>94.437390084542201</v>
      </c>
      <c r="H26" s="16">
        <f>IF(218832.76993="","-",220166.65021/218832.76993*100)</f>
        <v>100.6095432052643</v>
      </c>
      <c r="I26" s="16">
        <f>IF(218601.82808="","-",205803.2912/218601.82808*100)</f>
        <v>94.145274542115814</v>
      </c>
      <c r="J26" s="16">
        <f>IF(207304.07378="","-",238794.12546/207304.07378*100)</f>
        <v>115.19027152038439</v>
      </c>
      <c r="K26" s="16">
        <f>IF(258965.48256="","-",268342.58823/258965.48256*100)</f>
        <v>103.62098669571817</v>
      </c>
      <c r="L26" s="16">
        <f>IF(268843.90574="","-",266552.51729/268843.90574*100)</f>
        <v>99.147688156183818</v>
      </c>
      <c r="M26" s="18">
        <f>IF(218827.70429="","-",218291.815/218827.70429*100)</f>
        <v>99.755109028932736</v>
      </c>
      <c r="N26" s="16">
        <f>IF(234254.08835="","-",219472.10441/234254.08835*100)</f>
        <v>93.68976480021378</v>
      </c>
      <c r="O26" s="16">
        <f>IF(241409.84081="","-",245324.45574/241409.84081*100)</f>
        <v>101.62156394157972</v>
      </c>
      <c r="P26" s="16">
        <f>IF(257232.04683="","-",210230.63314/257232.04683*100)</f>
        <v>81.728010071364707</v>
      </c>
      <c r="Q26" s="16">
        <f>IF(215570.89403="","-",149859.83301/215570.89403*100)</f>
        <v>69.517656214361068</v>
      </c>
      <c r="R26" s="16">
        <f>IF(210534.26912="","-",155710.73078/210534.26912*100)</f>
        <v>73.959803043393492</v>
      </c>
      <c r="S26" s="16">
        <f>IF(202212.33865="","-",189578.77956/202212.33865*100)</f>
        <v>93.752330261178145</v>
      </c>
      <c r="T26" s="16">
        <f>IF(220166.65021="","-",191130.33065/220166.65021*100)</f>
        <v>86.811663105059509</v>
      </c>
      <c r="U26" s="16">
        <f>IF(205803.2912="","-",163909.5874/205803.2912*100)</f>
        <v>79.643812518387932</v>
      </c>
      <c r="V26" s="16">
        <f>IF(238794.12546="","-",212259.13319/238794.12546*100)</f>
        <v>88.887920831852767</v>
      </c>
      <c r="W26" s="16">
        <f>IF(268342.58823="","-",249353.22858/268342.58823*100)</f>
        <v>92.923464078044901</v>
      </c>
      <c r="X26" s="16">
        <f>IF(266552.51729="","-",262034.9772/266552.51729*100)</f>
        <v>98.30519698859753</v>
      </c>
      <c r="Y26" s="18">
        <f>IF(218291.815="","-",218242.28602/218291.815*100)</f>
        <v>99.977310656379856</v>
      </c>
      <c r="Z26" s="30">
        <f>IF(219472.10441="","-",198436.59351/219472.10441*100)</f>
        <v>90.415405658705879</v>
      </c>
      <c r="AA26" s="16">
        <f>IF(245324.45574="","-",227034.99772/245324.45574*100)</f>
        <v>92.544788099159774</v>
      </c>
      <c r="AB26" s="65">
        <f>IF(210230.63314="","-",259243.88666/210230.63314*100)</f>
        <v>123.31403981805084</v>
      </c>
      <c r="AC26" s="18">
        <f>IF(149859.83301="","-",218278.92995/149859.83301*100)</f>
        <v>145.65539382086087</v>
      </c>
      <c r="AD26" s="6"/>
    </row>
  </sheetData>
  <mergeCells count="5">
    <mergeCell ref="A23:A24"/>
    <mergeCell ref="B23:M23"/>
    <mergeCell ref="N23:Y23"/>
    <mergeCell ref="Z23:AC23"/>
    <mergeCell ref="A2:O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27"/>
  <sheetViews>
    <sheetView workbookViewId="0">
      <selection activeCell="A22" sqref="A22"/>
    </sheetView>
  </sheetViews>
  <sheetFormatPr defaultRowHeight="12"/>
  <cols>
    <col min="1" max="1" width="24.42578125" style="3" customWidth="1"/>
    <col min="2" max="2" width="14.5703125" style="3" customWidth="1"/>
    <col min="3" max="3" width="14.85546875" style="3" customWidth="1"/>
    <col min="4" max="4" width="15" style="3" customWidth="1"/>
    <col min="5" max="5" width="14.7109375" style="3" customWidth="1"/>
    <col min="6" max="6" width="14.140625" style="3" customWidth="1"/>
    <col min="7" max="7" width="15.28515625" style="3" customWidth="1"/>
    <col min="8" max="16384" width="9.140625" style="3"/>
  </cols>
  <sheetData>
    <row r="2" spans="1:7" s="112" customFormat="1">
      <c r="A2" s="114" t="s">
        <v>98</v>
      </c>
      <c r="B2" s="114"/>
      <c r="C2" s="114"/>
      <c r="D2" s="114"/>
      <c r="E2" s="114"/>
      <c r="F2" s="114"/>
      <c r="G2" s="113"/>
    </row>
    <row r="3" spans="1:7">
      <c r="A3" s="4"/>
      <c r="B3" s="4"/>
      <c r="C3" s="4"/>
      <c r="D3" s="4"/>
      <c r="E3" s="4"/>
      <c r="F3" s="4"/>
      <c r="G3" s="4"/>
    </row>
    <row r="4" spans="1:7">
      <c r="A4" s="4"/>
      <c r="B4" s="4"/>
      <c r="C4" s="4"/>
      <c r="D4" s="4"/>
      <c r="E4" s="4"/>
      <c r="F4" s="4"/>
      <c r="G4" s="4"/>
    </row>
    <row r="5" spans="1:7">
      <c r="A5" s="4"/>
      <c r="B5" s="4"/>
      <c r="C5" s="4"/>
      <c r="D5" s="4"/>
      <c r="E5" s="4"/>
      <c r="F5" s="4"/>
      <c r="G5" s="4"/>
    </row>
    <row r="6" spans="1:7">
      <c r="A6" s="4"/>
      <c r="B6" s="4"/>
      <c r="C6" s="4"/>
      <c r="D6" s="4"/>
      <c r="E6" s="4"/>
      <c r="F6" s="4"/>
      <c r="G6" s="4"/>
    </row>
    <row r="7" spans="1:7">
      <c r="A7" s="4"/>
      <c r="B7" s="4"/>
      <c r="C7" s="4"/>
      <c r="D7" s="4"/>
      <c r="E7" s="4"/>
      <c r="F7" s="4"/>
      <c r="G7" s="4"/>
    </row>
    <row r="8" spans="1:7">
      <c r="A8" s="4"/>
      <c r="B8" s="4"/>
      <c r="C8" s="4"/>
      <c r="D8" s="4"/>
      <c r="E8" s="4"/>
      <c r="F8" s="4"/>
      <c r="G8" s="4"/>
    </row>
    <row r="9" spans="1:7">
      <c r="A9" s="4"/>
      <c r="B9" s="4"/>
      <c r="C9" s="4"/>
      <c r="D9" s="4"/>
      <c r="E9" s="4"/>
      <c r="F9" s="4"/>
      <c r="G9" s="4"/>
    </row>
    <row r="10" spans="1:7">
      <c r="A10" s="4"/>
      <c r="B10" s="4"/>
      <c r="C10" s="4"/>
      <c r="D10" s="4"/>
      <c r="E10" s="4"/>
      <c r="F10" s="4"/>
      <c r="G10" s="4"/>
    </row>
    <row r="11" spans="1:7">
      <c r="A11" s="4"/>
      <c r="B11" s="4"/>
      <c r="C11" s="4"/>
      <c r="D11" s="4"/>
      <c r="E11" s="4"/>
      <c r="F11" s="4"/>
      <c r="G11" s="4"/>
    </row>
    <row r="12" spans="1:7">
      <c r="A12" s="4"/>
      <c r="B12" s="4"/>
      <c r="C12" s="4"/>
      <c r="D12" s="4"/>
      <c r="E12" s="4"/>
      <c r="F12" s="4"/>
      <c r="G12" s="4"/>
    </row>
    <row r="13" spans="1:7">
      <c r="A13" s="4"/>
      <c r="B13" s="4"/>
      <c r="C13" s="4"/>
      <c r="D13" s="4"/>
      <c r="E13" s="4"/>
      <c r="F13" s="4"/>
      <c r="G13" s="4"/>
    </row>
    <row r="14" spans="1:7">
      <c r="A14" s="4"/>
      <c r="B14" s="4"/>
      <c r="C14" s="4"/>
      <c r="D14" s="4"/>
      <c r="E14" s="4"/>
      <c r="F14" s="4"/>
      <c r="G14" s="4"/>
    </row>
    <row r="15" spans="1:7">
      <c r="A15" s="4"/>
      <c r="B15" s="4"/>
      <c r="C15" s="4"/>
      <c r="D15" s="4"/>
      <c r="E15" s="4"/>
      <c r="F15" s="4"/>
      <c r="G15" s="4"/>
    </row>
    <row r="16" spans="1:7">
      <c r="A16" s="4"/>
      <c r="B16" s="4"/>
      <c r="C16" s="4"/>
      <c r="D16" s="4"/>
      <c r="E16" s="4"/>
      <c r="F16" s="4"/>
      <c r="G16" s="4"/>
    </row>
    <row r="17" spans="1:8">
      <c r="A17" s="4"/>
      <c r="B17" s="4"/>
      <c r="C17" s="4"/>
      <c r="D17" s="4"/>
      <c r="E17" s="4"/>
      <c r="F17" s="4"/>
      <c r="G17" s="4"/>
    </row>
    <row r="18" spans="1:8">
      <c r="A18" s="4"/>
      <c r="B18" s="4"/>
      <c r="C18" s="4"/>
      <c r="D18" s="4"/>
      <c r="E18" s="4"/>
      <c r="F18" s="4"/>
      <c r="G18" s="4"/>
    </row>
    <row r="19" spans="1:8">
      <c r="A19" s="4"/>
      <c r="B19" s="4"/>
      <c r="C19" s="4"/>
      <c r="D19" s="4"/>
      <c r="E19" s="4"/>
      <c r="F19" s="4"/>
      <c r="G19" s="4"/>
      <c r="H19" s="6"/>
    </row>
    <row r="20" spans="1:8">
      <c r="A20" s="4"/>
      <c r="B20" s="4"/>
      <c r="C20" s="4"/>
      <c r="D20" s="4"/>
      <c r="E20" s="4"/>
      <c r="F20" s="4"/>
      <c r="G20" s="4"/>
      <c r="H20" s="6"/>
    </row>
    <row r="21" spans="1:8">
      <c r="H21" s="6"/>
    </row>
    <row r="22" spans="1:8" ht="24">
      <c r="A22" s="53" t="s">
        <v>28</v>
      </c>
      <c r="B22" s="52" t="s">
        <v>79</v>
      </c>
      <c r="C22" s="15" t="s">
        <v>80</v>
      </c>
      <c r="D22" s="15" t="s">
        <v>81</v>
      </c>
      <c r="E22" s="15" t="s">
        <v>82</v>
      </c>
      <c r="F22" s="15" t="s">
        <v>83</v>
      </c>
      <c r="G22" s="15" t="s">
        <v>84</v>
      </c>
      <c r="H22" s="6"/>
    </row>
    <row r="23" spans="1:8">
      <c r="A23" s="78" t="s">
        <v>29</v>
      </c>
      <c r="B23" s="80">
        <v>4.9000000000000004</v>
      </c>
      <c r="C23" s="80">
        <v>9.9</v>
      </c>
      <c r="D23" s="80">
        <v>7.6</v>
      </c>
      <c r="E23" s="80">
        <v>7.7</v>
      </c>
      <c r="F23" s="80">
        <v>8.1</v>
      </c>
      <c r="G23" s="81">
        <v>5.2</v>
      </c>
    </row>
    <row r="24" spans="1:8">
      <c r="A24" s="78" t="s">
        <v>30</v>
      </c>
      <c r="B24" s="80">
        <v>0.8</v>
      </c>
      <c r="C24" s="80">
        <v>5.0999999999999996</v>
      </c>
      <c r="D24" s="80">
        <v>5.0999999999999996</v>
      </c>
      <c r="E24" s="80">
        <v>3.4</v>
      </c>
      <c r="F24" s="80">
        <v>1.8</v>
      </c>
      <c r="G24" s="81">
        <v>1.4</v>
      </c>
    </row>
    <row r="25" spans="1:8">
      <c r="A25" s="78" t="s">
        <v>31</v>
      </c>
      <c r="B25" s="80">
        <v>93.1</v>
      </c>
      <c r="C25" s="80">
        <v>83.6</v>
      </c>
      <c r="D25" s="80">
        <v>85.7</v>
      </c>
      <c r="E25" s="80">
        <v>87.1</v>
      </c>
      <c r="F25" s="80">
        <v>86.8</v>
      </c>
      <c r="G25" s="81">
        <v>91.9</v>
      </c>
    </row>
    <row r="26" spans="1:8">
      <c r="A26" s="78" t="s">
        <v>32</v>
      </c>
      <c r="B26" s="80">
        <v>1.1000000000000001</v>
      </c>
      <c r="C26" s="80">
        <v>1.3</v>
      </c>
      <c r="D26" s="80">
        <v>1.5</v>
      </c>
      <c r="E26" s="80">
        <v>1.7</v>
      </c>
      <c r="F26" s="80">
        <v>3.2</v>
      </c>
      <c r="G26" s="81">
        <v>1.3</v>
      </c>
    </row>
    <row r="27" spans="1:8">
      <c r="A27" s="79" t="s">
        <v>62</v>
      </c>
      <c r="B27" s="30">
        <v>0.1</v>
      </c>
      <c r="C27" s="16">
        <v>0.1</v>
      </c>
      <c r="D27" s="16">
        <v>0.1</v>
      </c>
      <c r="E27" s="16">
        <v>0.1</v>
      </c>
      <c r="F27" s="16">
        <v>0.1</v>
      </c>
      <c r="G27" s="18">
        <v>0.2</v>
      </c>
    </row>
  </sheetData>
  <mergeCells count="1">
    <mergeCell ref="A2:F2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23"/>
  <sheetViews>
    <sheetView workbookViewId="0">
      <selection activeCell="A2" sqref="A2:I2"/>
    </sheetView>
  </sheetViews>
  <sheetFormatPr defaultRowHeight="12"/>
  <cols>
    <col min="1" max="1" width="26.140625" style="3" customWidth="1"/>
    <col min="2" max="2" width="16.140625" style="3" customWidth="1"/>
    <col min="3" max="3" width="16" style="3" customWidth="1"/>
    <col min="4" max="4" width="16.85546875" style="3" customWidth="1"/>
    <col min="5" max="6" width="16.140625" style="3" customWidth="1"/>
    <col min="7" max="7" width="16" style="3" customWidth="1"/>
    <col min="8" max="16384" width="9.140625" style="3"/>
  </cols>
  <sheetData>
    <row r="2" spans="1:7" s="112" customFormat="1">
      <c r="A2" s="114" t="s">
        <v>97</v>
      </c>
      <c r="B2" s="114"/>
      <c r="C2" s="114"/>
      <c r="D2" s="114"/>
      <c r="E2" s="114"/>
      <c r="F2" s="117"/>
      <c r="G2" s="117"/>
    </row>
    <row r="3" spans="1:7">
      <c r="A3" s="4"/>
      <c r="B3" s="4"/>
      <c r="C3" s="4"/>
      <c r="D3" s="4"/>
      <c r="E3" s="4"/>
      <c r="F3" s="4"/>
      <c r="G3" s="4"/>
    </row>
    <row r="4" spans="1:7">
      <c r="A4" s="4"/>
      <c r="B4" s="4"/>
      <c r="C4" s="4"/>
      <c r="D4" s="4"/>
      <c r="E4" s="4"/>
      <c r="F4" s="4"/>
      <c r="G4" s="4"/>
    </row>
    <row r="5" spans="1:7">
      <c r="A5" s="4"/>
      <c r="B5" s="4"/>
      <c r="C5" s="4"/>
      <c r="D5" s="4"/>
      <c r="E5" s="4"/>
      <c r="F5" s="4"/>
      <c r="G5" s="4"/>
    </row>
    <row r="6" spans="1:7">
      <c r="A6" s="4"/>
      <c r="B6" s="4"/>
      <c r="C6" s="4"/>
      <c r="D6" s="4"/>
      <c r="E6" s="4"/>
      <c r="F6" s="4"/>
      <c r="G6" s="4"/>
    </row>
    <row r="7" spans="1:7">
      <c r="A7" s="4"/>
      <c r="B7" s="4"/>
      <c r="C7" s="4"/>
      <c r="D7" s="4"/>
      <c r="E7" s="4"/>
      <c r="F7" s="4"/>
      <c r="G7" s="4"/>
    </row>
    <row r="8" spans="1:7">
      <c r="A8" s="4"/>
      <c r="B8" s="4"/>
      <c r="C8" s="4"/>
      <c r="D8" s="4"/>
      <c r="E8" s="4"/>
      <c r="F8" s="4"/>
      <c r="G8" s="4"/>
    </row>
    <row r="9" spans="1:7">
      <c r="A9" s="4"/>
      <c r="B9" s="4"/>
      <c r="C9" s="4"/>
      <c r="D9" s="4"/>
      <c r="E9" s="4"/>
      <c r="F9" s="4"/>
      <c r="G9" s="4"/>
    </row>
    <row r="10" spans="1:7">
      <c r="A10" s="4"/>
      <c r="B10" s="4"/>
      <c r="C10" s="4"/>
      <c r="D10" s="4"/>
      <c r="E10" s="4"/>
      <c r="F10" s="4"/>
      <c r="G10" s="4"/>
    </row>
    <row r="11" spans="1:7">
      <c r="A11" s="4"/>
      <c r="B11" s="4"/>
      <c r="C11" s="4"/>
      <c r="D11" s="4"/>
      <c r="E11" s="4"/>
      <c r="F11" s="4"/>
      <c r="G11" s="4"/>
    </row>
    <row r="12" spans="1:7">
      <c r="A12" s="4"/>
      <c r="B12" s="4"/>
      <c r="C12" s="4"/>
      <c r="D12" s="4"/>
      <c r="E12" s="4"/>
      <c r="F12" s="4"/>
      <c r="G12" s="4"/>
    </row>
    <row r="13" spans="1:7">
      <c r="A13" s="4"/>
      <c r="B13" s="4"/>
      <c r="C13" s="4"/>
      <c r="D13" s="4"/>
      <c r="E13" s="4"/>
      <c r="F13" s="4"/>
      <c r="G13" s="4"/>
    </row>
    <row r="14" spans="1:7">
      <c r="A14" s="4"/>
      <c r="B14" s="4"/>
      <c r="C14" s="4"/>
      <c r="D14" s="4"/>
      <c r="E14" s="4"/>
      <c r="F14" s="4"/>
      <c r="G14" s="4"/>
    </row>
    <row r="15" spans="1:7">
      <c r="A15" s="4"/>
      <c r="B15" s="4"/>
      <c r="C15" s="4"/>
      <c r="D15" s="4"/>
      <c r="E15" s="4"/>
      <c r="F15" s="4"/>
      <c r="G15" s="4"/>
    </row>
    <row r="16" spans="1:7">
      <c r="A16" s="4"/>
      <c r="B16" s="4"/>
      <c r="C16" s="4"/>
      <c r="D16" s="4"/>
      <c r="E16" s="4"/>
      <c r="F16" s="4"/>
      <c r="G16" s="4"/>
    </row>
    <row r="17" spans="1:8">
      <c r="A17" s="4"/>
      <c r="B17" s="4"/>
      <c r="C17" s="4"/>
      <c r="D17" s="4"/>
      <c r="E17" s="4"/>
      <c r="F17" s="4"/>
      <c r="G17" s="4"/>
    </row>
    <row r="18" spans="1:8">
      <c r="A18" s="5"/>
    </row>
    <row r="19" spans="1:8">
      <c r="A19" s="5"/>
    </row>
    <row r="20" spans="1:8" ht="24">
      <c r="A20" s="41"/>
      <c r="B20" s="14" t="s">
        <v>84</v>
      </c>
      <c r="C20" s="14" t="s">
        <v>83</v>
      </c>
      <c r="D20" s="14" t="s">
        <v>82</v>
      </c>
      <c r="E20" s="15" t="s">
        <v>81</v>
      </c>
      <c r="F20" s="15" t="s">
        <v>80</v>
      </c>
      <c r="G20" s="15" t="s">
        <v>79</v>
      </c>
      <c r="H20" s="6"/>
    </row>
    <row r="21" spans="1:8" ht="15" customHeight="1">
      <c r="A21" s="27" t="s">
        <v>33</v>
      </c>
      <c r="B21" s="80">
        <f>IF(332765.83521="","-",332765.83521/594903.9049*100)</f>
        <v>55.936065046662634</v>
      </c>
      <c r="C21" s="80">
        <f>IF(392621.55493="","-",392621.55493/682384.58212*100)</f>
        <v>57.536697811990713</v>
      </c>
      <c r="D21" s="80">
        <f>IF(563383.20077="","-",563383.20077/877651.01761*100)</f>
        <v>64.192166301383978</v>
      </c>
      <c r="E21" s="80">
        <f>IF(585280.73053="","-",585280.73053/948466.87002*100)</f>
        <v>61.708083753906791</v>
      </c>
      <c r="F21" s="80">
        <f>IF(529563.49898="","-",529563.49898/824887.0263*100)</f>
        <v>64.198306203861307</v>
      </c>
      <c r="G21" s="81">
        <f>IF(581455.35975="","-",581455.35975/902994.40784*100)</f>
        <v>64.391911478263225</v>
      </c>
      <c r="H21" s="7"/>
    </row>
    <row r="22" spans="1:8" ht="14.25" customHeight="1">
      <c r="A22" s="28" t="s">
        <v>34</v>
      </c>
      <c r="B22" s="80">
        <f>IF(123620.22527="","-",123620.22527/594903.9049*100)</f>
        <v>20.779864487657022</v>
      </c>
      <c r="C22" s="80">
        <f>IF(143268.42372="","-",143268.42372/682384.58212*100)</f>
        <v>20.995260953127115</v>
      </c>
      <c r="D22" s="80">
        <f>IF(142764.8402="","-",142764.8402/877651.01761*100)</f>
        <v>16.26669796256536</v>
      </c>
      <c r="E22" s="80">
        <f>IF(138986.19225="","-",138986.19225/948466.87002*100)</f>
        <v>14.653774068784209</v>
      </c>
      <c r="F22" s="80">
        <f>IF(128972.26234="","-",128972.26234/824887.0263*100)</f>
        <v>15.635142538063699</v>
      </c>
      <c r="G22" s="81">
        <f>IF(144264.37249="","-",144264.37249/902994.40784*100)</f>
        <v>15.976219923120716</v>
      </c>
      <c r="H22" s="7"/>
    </row>
    <row r="23" spans="1:8" ht="15" customHeight="1">
      <c r="A23" s="29" t="s">
        <v>35</v>
      </c>
      <c r="B23" s="30">
        <f>IF(138517.84442="","-",138517.84442/594903.9049*100)</f>
        <v>23.284070465680351</v>
      </c>
      <c r="C23" s="16">
        <f>IF(146494.60347="","-",146494.60347/682384.58212*100)</f>
        <v>21.468041234882172</v>
      </c>
      <c r="D23" s="16">
        <f>IF(171502.97664="","-",171502.97664/877651.01761*100)</f>
        <v>19.541135736050663</v>
      </c>
      <c r="E23" s="16">
        <f>IF(224199.94724="","-",224199.94724/948466.87002*100)</f>
        <v>23.638142177308985</v>
      </c>
      <c r="F23" s="16">
        <f>IF(166351.26498="","-",166351.26498/824887.0263*100)</f>
        <v>20.166551258074989</v>
      </c>
      <c r="G23" s="18">
        <f>IF(177274.6756="","-",177274.6756/902994.40784*100)</f>
        <v>19.631868598616059</v>
      </c>
      <c r="H23" s="7"/>
    </row>
  </sheetData>
  <mergeCells count="1">
    <mergeCell ref="A2:E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41"/>
  <sheetViews>
    <sheetView workbookViewId="0">
      <selection activeCell="A2" sqref="A2:I2"/>
    </sheetView>
  </sheetViews>
  <sheetFormatPr defaultRowHeight="12"/>
  <cols>
    <col min="1" max="1" width="19.7109375" style="3" customWidth="1"/>
    <col min="2" max="2" width="15.28515625" style="3" customWidth="1"/>
    <col min="3" max="3" width="15.5703125" style="3" customWidth="1"/>
    <col min="4" max="4" width="15.42578125" style="3" customWidth="1"/>
    <col min="5" max="5" width="15.7109375" style="3" customWidth="1"/>
    <col min="6" max="7" width="15.5703125" style="3" customWidth="1"/>
    <col min="8" max="16384" width="9.140625" style="3"/>
  </cols>
  <sheetData>
    <row r="2" spans="1:9" s="112" customFormat="1">
      <c r="A2" s="114" t="s">
        <v>96</v>
      </c>
      <c r="B2" s="114"/>
      <c r="C2" s="114"/>
      <c r="D2" s="114"/>
      <c r="E2" s="114"/>
      <c r="F2" s="114"/>
      <c r="G2" s="114"/>
      <c r="H2" s="115"/>
      <c r="I2" s="115"/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spans="1:9">
      <c r="A4" s="4"/>
      <c r="B4" s="4"/>
      <c r="C4" s="4"/>
      <c r="D4" s="4"/>
      <c r="E4" s="4"/>
      <c r="F4" s="4"/>
      <c r="G4" s="4"/>
      <c r="H4" s="4"/>
      <c r="I4" s="4"/>
    </row>
    <row r="5" spans="1:9">
      <c r="A5" s="4"/>
      <c r="B5" s="4"/>
      <c r="C5" s="4"/>
      <c r="D5" s="4"/>
      <c r="E5" s="4"/>
      <c r="F5" s="4"/>
      <c r="G5" s="4"/>
      <c r="H5" s="4"/>
      <c r="I5" s="4"/>
    </row>
    <row r="6" spans="1:9">
      <c r="A6" s="4"/>
      <c r="B6" s="4"/>
      <c r="C6" s="4"/>
      <c r="D6" s="4"/>
      <c r="E6" s="4"/>
      <c r="F6" s="4"/>
      <c r="G6" s="4"/>
      <c r="H6" s="4"/>
      <c r="I6" s="4"/>
    </row>
    <row r="7" spans="1:9">
      <c r="A7" s="4"/>
      <c r="B7" s="4"/>
      <c r="C7" s="4"/>
      <c r="D7" s="4"/>
      <c r="E7" s="4"/>
      <c r="F7" s="4"/>
      <c r="G7" s="4"/>
      <c r="H7" s="4"/>
      <c r="I7" s="4"/>
    </row>
    <row r="8" spans="1:9">
      <c r="A8" s="4"/>
      <c r="B8" s="4"/>
      <c r="C8" s="4"/>
      <c r="D8" s="4"/>
      <c r="E8" s="4"/>
      <c r="F8" s="4"/>
      <c r="G8" s="4"/>
      <c r="H8" s="4"/>
      <c r="I8" s="4"/>
    </row>
    <row r="9" spans="1:9">
      <c r="A9" s="4"/>
      <c r="B9" s="4"/>
      <c r="C9" s="4"/>
      <c r="D9" s="4"/>
      <c r="E9" s="4"/>
      <c r="F9" s="4"/>
      <c r="G9" s="4"/>
      <c r="H9" s="4"/>
      <c r="I9" s="4"/>
    </row>
    <row r="10" spans="1:9">
      <c r="A10" s="4"/>
      <c r="B10" s="4"/>
      <c r="C10" s="4"/>
      <c r="D10" s="4"/>
      <c r="E10" s="4"/>
      <c r="F10" s="4"/>
      <c r="G10" s="4"/>
      <c r="H10" s="4"/>
      <c r="I10" s="4"/>
    </row>
    <row r="11" spans="1:9">
      <c r="A11" s="4"/>
      <c r="B11" s="4"/>
      <c r="C11" s="4"/>
      <c r="D11" s="4"/>
      <c r="E11" s="4"/>
      <c r="F11" s="4"/>
      <c r="G11" s="4"/>
      <c r="H11" s="4"/>
      <c r="I11" s="4"/>
    </row>
    <row r="12" spans="1:9">
      <c r="A12" s="4"/>
      <c r="B12" s="4"/>
      <c r="C12" s="4"/>
      <c r="D12" s="4"/>
      <c r="E12" s="4"/>
      <c r="F12" s="4"/>
      <c r="G12" s="4"/>
      <c r="H12" s="4"/>
      <c r="I12" s="4"/>
    </row>
    <row r="13" spans="1:9">
      <c r="A13" s="4"/>
      <c r="B13" s="4"/>
      <c r="C13" s="4"/>
      <c r="D13" s="4"/>
      <c r="E13" s="4"/>
      <c r="F13" s="4"/>
      <c r="G13" s="4"/>
      <c r="H13" s="4"/>
      <c r="I13" s="4"/>
    </row>
    <row r="14" spans="1:9">
      <c r="A14" s="4"/>
      <c r="B14" s="4"/>
      <c r="C14" s="4"/>
      <c r="D14" s="4"/>
      <c r="E14" s="4"/>
      <c r="F14" s="4"/>
      <c r="G14" s="4"/>
      <c r="H14" s="4"/>
      <c r="I14" s="4"/>
    </row>
    <row r="15" spans="1:9">
      <c r="A15" s="4"/>
      <c r="B15" s="4"/>
      <c r="C15" s="4"/>
      <c r="D15" s="4"/>
      <c r="E15" s="4"/>
      <c r="F15" s="4"/>
      <c r="G15" s="4"/>
      <c r="H15" s="4"/>
      <c r="I15" s="4"/>
    </row>
    <row r="16" spans="1:9">
      <c r="A16" s="4"/>
      <c r="B16" s="4"/>
      <c r="C16" s="4"/>
      <c r="D16" s="4"/>
      <c r="E16" s="4"/>
      <c r="F16" s="4"/>
      <c r="G16" s="4"/>
      <c r="H16" s="4"/>
      <c r="I16" s="4"/>
    </row>
    <row r="17" spans="1:9">
      <c r="A17" s="4"/>
      <c r="B17" s="4"/>
      <c r="C17" s="4"/>
      <c r="D17" s="4"/>
      <c r="E17" s="4"/>
      <c r="F17" s="4"/>
      <c r="G17" s="4"/>
      <c r="H17" s="4"/>
      <c r="I17" s="4"/>
    </row>
    <row r="18" spans="1:9">
      <c r="A18" s="4"/>
      <c r="B18" s="4"/>
      <c r="C18" s="4"/>
      <c r="D18" s="4"/>
      <c r="E18" s="4"/>
      <c r="F18" s="4"/>
      <c r="G18" s="4"/>
      <c r="H18" s="4"/>
      <c r="I18" s="4"/>
    </row>
    <row r="19" spans="1:9">
      <c r="A19" s="4"/>
      <c r="B19" s="4"/>
      <c r="C19" s="4"/>
      <c r="D19" s="4"/>
      <c r="E19" s="4"/>
      <c r="F19" s="4"/>
      <c r="G19" s="4"/>
      <c r="H19" s="4"/>
      <c r="I19" s="4"/>
    </row>
    <row r="20" spans="1:9">
      <c r="A20" s="4"/>
      <c r="B20" s="4"/>
      <c r="C20" s="4"/>
      <c r="D20" s="4"/>
      <c r="E20" s="4"/>
      <c r="F20" s="4"/>
      <c r="G20" s="4"/>
      <c r="H20" s="4"/>
      <c r="I20" s="4"/>
    </row>
    <row r="21" spans="1:9">
      <c r="A21" s="5"/>
    </row>
    <row r="22" spans="1:9">
      <c r="A22" s="5"/>
    </row>
    <row r="23" spans="1:9">
      <c r="A23" s="5"/>
    </row>
    <row r="24" spans="1:9" ht="32.25" customHeight="1">
      <c r="A24" s="38"/>
      <c r="B24" s="15" t="s">
        <v>85</v>
      </c>
      <c r="C24" s="15" t="s">
        <v>83</v>
      </c>
      <c r="D24" s="15" t="s">
        <v>82</v>
      </c>
      <c r="E24" s="15" t="s">
        <v>86</v>
      </c>
      <c r="F24" s="15" t="s">
        <v>80</v>
      </c>
      <c r="G24" s="15" t="s">
        <v>79</v>
      </c>
    </row>
    <row r="25" spans="1:9" ht="13.5" customHeight="1">
      <c r="A25" s="25" t="s">
        <v>36</v>
      </c>
      <c r="B25" s="80">
        <f>IF(OR(138777.50602="",138777.50602="***"),"-",138777.50602/594903.9049*100)</f>
        <v>23.327718120009269</v>
      </c>
      <c r="C25" s="80">
        <f>IF(OR(166215.85168="",166215.85168="***"),"-",166215.85168/682384.58212*100)</f>
        <v>24.358090149635046</v>
      </c>
      <c r="D25" s="80">
        <f>IF(OR(220622.30211="",220622.30211="***"),"-",220622.30211/877651.01761*100)</f>
        <v>25.137816476393294</v>
      </c>
      <c r="E25" s="80">
        <f>IF(OR(258147.78313="",258147.78313="***"),"-",258147.78313/948466.87002*100)</f>
        <v>27.217374827710799</v>
      </c>
      <c r="F25" s="80">
        <f>IF(OR(202944.70685="",202944.70685="***"),"-",202944.70685/824887.0263*100)</f>
        <v>24.602727449878913</v>
      </c>
      <c r="G25" s="17">
        <f>IF(OR(247790.66967="",247790.66967="***"),"-",247790.66967/902994.40784*100)</f>
        <v>27.440997144459129</v>
      </c>
    </row>
    <row r="26" spans="1:9" ht="14.25" customHeight="1">
      <c r="A26" s="26" t="s">
        <v>37</v>
      </c>
      <c r="B26" s="80">
        <f>IF(OR(38965.45881="",38965.45881="***"),"-",38965.45881/594903.9049*100)</f>
        <v>6.54987444006606</v>
      </c>
      <c r="C26" s="80">
        <f>IF(OR(46518.99388="",46518.99388="***"),"-",46518.99388/682384.58212*100)</f>
        <v>6.8171226459245311</v>
      </c>
      <c r="D26" s="80">
        <f>IF(OR(77517.95028="",77517.95028="***"),"-",77517.95028/877651.01761*100)</f>
        <v>8.8324343873143558</v>
      </c>
      <c r="E26" s="80">
        <f>IF(OR(83395.70219="",83395.70219="***"),"-",83395.70219/948466.87002*100)</f>
        <v>8.7926847870017291</v>
      </c>
      <c r="F26" s="80">
        <f>IF(OR(72591.21203="",72591.21203="***"),"-",72591.21203/824887.0263*100)</f>
        <v>8.8001398634677486</v>
      </c>
      <c r="G26" s="81">
        <f>IF(OR(94699.91074="",94699.91074="***"),"-",94699.91074/902994.40784*100)</f>
        <v>10.487319735071905</v>
      </c>
    </row>
    <row r="27" spans="1:9" ht="12.75" customHeight="1">
      <c r="A27" s="26" t="s">
        <v>38</v>
      </c>
      <c r="B27" s="80">
        <f>IF(OR(21065.72691="",21065.72691="***"),"-",21065.72691/594903.9049*100)</f>
        <v>3.5410301960517523</v>
      </c>
      <c r="C27" s="80">
        <f>IF(OR(34076.61162="",34076.61162="***"),"-",34076.61162/682384.58212*100)</f>
        <v>4.9937546235485577</v>
      </c>
      <c r="D27" s="80">
        <f>IF(OR(37989.82219="",37989.82219="***"),"-",37989.82219/877651.01761*100)</f>
        <v>4.3285795182523739</v>
      </c>
      <c r="E27" s="80">
        <f>IF(OR(95759.85917="",95759.85917="***"),"-",95759.85917/948466.87002*100)</f>
        <v>10.09627876279756</v>
      </c>
      <c r="F27" s="80">
        <f>IF(OR(52061.00263="",52061.00263="***"),"-",52061.00263/824887.0263*100)</f>
        <v>6.311288815332408</v>
      </c>
      <c r="G27" s="81">
        <f>IF(OR(88013.51097="",88013.51097="***"),"-",88013.51097/902994.40784*100)</f>
        <v>9.7468500586323632</v>
      </c>
    </row>
    <row r="28" spans="1:9" ht="14.25" customHeight="1">
      <c r="A28" s="26" t="s">
        <v>39</v>
      </c>
      <c r="B28" s="80">
        <f>IF(OR(62025.42033="",62025.42033="***"),"-",62025.42033/594903.9049*100)</f>
        <v>10.426124256223554</v>
      </c>
      <c r="C28" s="80">
        <f>IF(OR(81310.32899="",81310.32899="***"),"-",81310.32899/682384.58212*100)</f>
        <v>11.915616372425784</v>
      </c>
      <c r="D28" s="80">
        <f>IF(OR(74326.54526="",74326.54526="***"),"-",74326.54526/877651.01761*100)</f>
        <v>8.468804088258727</v>
      </c>
      <c r="E28" s="80">
        <f>IF(OR(80626.87187="",80626.87187="***"),"-",80626.87187/948466.87002*100)</f>
        <v>8.5007578460067723</v>
      </c>
      <c r="F28" s="80">
        <f>IF(OR(78161.21121="",78161.21121="***"),"-",78161.21121/824887.0263*100)</f>
        <v>9.4753837456492906</v>
      </c>
      <c r="G28" s="81">
        <f>IF(OR(85746.76765="",85746.76765="***"),"-",85746.76765/902994.40784*100)</f>
        <v>9.4958248805892183</v>
      </c>
    </row>
    <row r="29" spans="1:9" ht="12.75" customHeight="1">
      <c r="A29" s="26" t="s">
        <v>40</v>
      </c>
      <c r="B29" s="80">
        <f>IF(OR(60951.02122="",60951.02122="***"),"-",60951.02122/594903.9049*100)</f>
        <v>10.24552380947063</v>
      </c>
      <c r="C29" s="80">
        <f>IF(OR(61276.75972="",61276.75972="***"),"-",61276.75972/682384.58212*100)</f>
        <v>8.9797983901729239</v>
      </c>
      <c r="D29" s="80">
        <f>IF(OR(103918.87684="",103918.87684="***"),"-",103918.87684/877651.01761*100)</f>
        <v>11.840569287208211</v>
      </c>
      <c r="E29" s="80">
        <f>IF(OR(98423.23123="",98423.23123="***"),"-",98423.23123/948466.87002*100)</f>
        <v>10.377086890544167</v>
      </c>
      <c r="F29" s="80">
        <f>IF(OR(71436.16188="",71436.16188="***"),"-",71436.16188/824887.0263*100)</f>
        <v>8.6601146099271613</v>
      </c>
      <c r="G29" s="81">
        <f>IF(OR(57979.30282="",57979.30282="***"),"-",57979.30282/902994.40784*100)</f>
        <v>6.4207820465565115</v>
      </c>
    </row>
    <row r="30" spans="1:9" ht="13.5" customHeight="1">
      <c r="A30" s="26" t="s">
        <v>41</v>
      </c>
      <c r="B30" s="80">
        <f>IF(OR(20495.95838="",20495.95838="***"),"-",20495.95838/594903.9049*100)</f>
        <v>3.4452553111826116</v>
      </c>
      <c r="C30" s="80">
        <f>IF(OR(22501.14699="",22501.14699="***"),"-",22501.14699/682384.58212*100)</f>
        <v>3.2974289835351356</v>
      </c>
      <c r="D30" s="80">
        <f>IF(OR(29677.13317="",29677.13317="***"),"-",29677.13317/877651.01761*100)</f>
        <v>3.3814275349234051</v>
      </c>
      <c r="E30" s="80">
        <f>IF(OR(34323.76548="",34323.76548="***"),"-",34323.76548/948466.87002*100)</f>
        <v>3.6188681507954228</v>
      </c>
      <c r="F30" s="80">
        <f>IF(OR(35097.11766="",35097.11766="***"),"-",35097.11766/824887.0263*100)</f>
        <v>4.2547787201147793</v>
      </c>
      <c r="G30" s="81">
        <f>IF(OR(36254.40002="",36254.40002="***"),"-",36254.40002/902994.40784*100)</f>
        <v>4.0149085869448546</v>
      </c>
    </row>
    <row r="31" spans="1:9" ht="13.5" customHeight="1">
      <c r="A31" s="35" t="s">
        <v>43</v>
      </c>
      <c r="B31" s="80">
        <f>IF(OR(9867.5934="",9867.5934="***"),"-",9867.5934/594903.9049*100)</f>
        <v>1.6586869440130314</v>
      </c>
      <c r="C31" s="80">
        <f>IF(OR(8704.72309="",8704.72309="***"),"-",8704.72309/682384.58212*100)</f>
        <v>1.2756330254350969</v>
      </c>
      <c r="D31" s="80">
        <f>IF(OR(13346.83798="",13346.83798="***"),"-",13346.83798/877651.01761*100)</f>
        <v>1.5207454571574266</v>
      </c>
      <c r="E31" s="80">
        <f>IF(OR(16104.20487="",16104.20487="***"),"-",16104.20487/948466.87002*100)</f>
        <v>1.6979195983577597</v>
      </c>
      <c r="F31" s="80">
        <f>IF(OR(27218.5145="",27218.5145="***"),"-",27218.5145/824887.0263*100)</f>
        <v>3.299665727813375</v>
      </c>
      <c r="G31" s="81">
        <f>IF(OR(27703.77848="",27703.77848="***"),"-",27703.77848/902994.40784*100)</f>
        <v>3.067990038417689</v>
      </c>
    </row>
    <row r="32" spans="1:9" ht="13.5" customHeight="1">
      <c r="A32" s="26" t="s">
        <v>42</v>
      </c>
      <c r="B32" s="80">
        <f>IF(OR(15822.20164="",15822.20164="***"),"-",15822.20164/594903.9049*100)</f>
        <v>2.6596230936926903</v>
      </c>
      <c r="C32" s="80">
        <f>IF(OR(15620.38204="",15620.38204="***"),"-",15620.38204/682384.58212*100)</f>
        <v>2.2890877738578648</v>
      </c>
      <c r="D32" s="80">
        <f>IF(OR(24727.47955="",24727.47955="***"),"-",24727.47955/877651.01761*100)</f>
        <v>2.8174615027892669</v>
      </c>
      <c r="E32" s="80">
        <f>IF(OR(23341.71894="",23341.71894="***"),"-",23341.71894/948466.87002*100)</f>
        <v>2.4609946512425678</v>
      </c>
      <c r="F32" s="80">
        <f>IF(OR(20165.6553="",20165.6553="***"),"-",20165.6553/824887.0263*100)</f>
        <v>2.4446566204892677</v>
      </c>
      <c r="G32" s="81">
        <f>IF(OR(27370.52693="",27370.52693="***"),"-",27370.52693/902994.40784*100)</f>
        <v>3.0310848763140665</v>
      </c>
    </row>
    <row r="33" spans="1:7" ht="13.5" customHeight="1">
      <c r="A33" s="26" t="s">
        <v>44</v>
      </c>
      <c r="B33" s="80">
        <f>IF(OR(38770.05867="",38770.05867="***"),"-",38770.05867/594903.9049*100)</f>
        <v>6.5170287756838698</v>
      </c>
      <c r="C33" s="80">
        <f>IF(OR(39904.07583="",39904.07583="***"),"-",39904.07583/682384.58212*100)</f>
        <v>5.847739951279074</v>
      </c>
      <c r="D33" s="80">
        <f>IF(OR(35259.40404="",35259.40404="***"),"-",35259.40404/877651.01761*100)</f>
        <v>4.0174742958787464</v>
      </c>
      <c r="E33" s="80">
        <f>IF(OR(29232.55218="",29232.55218="***"),"-",29232.55218/948466.87002*100)</f>
        <v>3.0820846888814977</v>
      </c>
      <c r="F33" s="80">
        <f>IF(OR(24385.36998="",24385.36998="***"),"-",24385.36998/824887.0263*100)</f>
        <v>2.9562072383874995</v>
      </c>
      <c r="G33" s="81">
        <f>IF(OR(22684.58189="",22684.58189="***"),"-",22684.58189/902994.40784*100)</f>
        <v>2.5121508719264893</v>
      </c>
    </row>
    <row r="34" spans="1:7" ht="14.25" customHeight="1">
      <c r="A34" s="35" t="s">
        <v>47</v>
      </c>
      <c r="B34" s="80">
        <f>IF(OR(1012.44253="",1012.44253="***"),"-",1012.44253/594903.9049*100)</f>
        <v>0.17018589416893912</v>
      </c>
      <c r="C34" s="80">
        <f>IF(OR(9194.09635="",9194.09635="***"),"-",9194.09635/682384.58212*100)</f>
        <v>1.3473481949777086</v>
      </c>
      <c r="D34" s="80">
        <f>IF(OR(12106.81866="",12106.81866="***"),"-",12106.81866/877651.01761*100)</f>
        <v>1.3794570298532809</v>
      </c>
      <c r="E34" s="80">
        <f>IF(OR(11895.90062="",11895.90062="***"),"-",11895.90062/948466.87002*100)</f>
        <v>1.2542241585886027</v>
      </c>
      <c r="F34" s="80">
        <f>IF(OR(18552.75422="",18552.75422="***"),"-",18552.75422/824887.0263*100)</f>
        <v>2.2491266838342319</v>
      </c>
      <c r="G34" s="81">
        <f>IF(OR(16462.4502="",16462.4502="***"),"-",16462.4502/902994.40784*100)</f>
        <v>1.8230954762365428</v>
      </c>
    </row>
    <row r="35" spans="1:7" ht="13.5" customHeight="1">
      <c r="A35" s="26" t="s">
        <v>51</v>
      </c>
      <c r="B35" s="80">
        <f>IF(OR(38639.83151="",38639.83151="***"),"-",38639.83151/594903.9049*100)</f>
        <v>6.4951383226329877</v>
      </c>
      <c r="C35" s="80">
        <f>IF(OR(37072.43548="",37072.43548="***"),"-",37072.43548/682384.58212*100)</f>
        <v>5.4327774178052382</v>
      </c>
      <c r="D35" s="80">
        <f>IF(OR(31294.57658="",31294.57658="***"),"-",31294.57658/877651.01761*100)</f>
        <v>3.5657198535724035</v>
      </c>
      <c r="E35" s="80">
        <f>IF(OR(16767.65278="",16767.65278="***"),"-",16767.65278/948466.87002*100)</f>
        <v>1.7678691064503311</v>
      </c>
      <c r="F35" s="80">
        <f>IF(OR(12561.24668="",12561.24668="***"),"-",12561.24668/824887.0263*100)</f>
        <v>1.5227838818538586</v>
      </c>
      <c r="G35" s="81">
        <f>IF(OR(14463.94378="",14463.94378="***"),"-",14463.94378/902994.40784*100)</f>
        <v>1.6017755652106809</v>
      </c>
    </row>
    <row r="36" spans="1:7" ht="15" customHeight="1">
      <c r="A36" s="35" t="s">
        <v>45</v>
      </c>
      <c r="B36" s="80">
        <f>IF(OR(1473.21865="",1473.21865="***"),"-",1473.21865/594903.9049*100)</f>
        <v>0.24763976801390133</v>
      </c>
      <c r="C36" s="80">
        <f>IF(OR(1483.65459="",1483.65459="***"),"-",1483.65459/682384.58212*100)</f>
        <v>0.21742205625318387</v>
      </c>
      <c r="D36" s="80">
        <f>IF(OR(2645.57449="",2645.57449="***"),"-",2645.57449/877651.01761*100)</f>
        <v>0.3014380929226711</v>
      </c>
      <c r="E36" s="80">
        <f>IF(OR(2369.67324="",2369.67324="***"),"-",2369.67324/948466.87002*100)</f>
        <v>0.24984248948516585</v>
      </c>
      <c r="F36" s="80">
        <f>IF(OR(4852.2338="",4852.2338="***"),"-",4852.2338/824887.0263*100)</f>
        <v>0.58823010246197149</v>
      </c>
      <c r="G36" s="81">
        <f>IF(OR(14206.46289="",14206.46289="***"),"-",14206.46289/902994.40784*100)</f>
        <v>1.573261447319751</v>
      </c>
    </row>
    <row r="37" spans="1:7" ht="14.25" customHeight="1">
      <c r="A37" s="35" t="s">
        <v>49</v>
      </c>
      <c r="B37" s="80">
        <f>IF(OR(6450.8919="",6450.8919="***"),"-",6450.8919/594903.9049*100)</f>
        <v>1.0843586412639801</v>
      </c>
      <c r="C37" s="80">
        <f>IF(OR(7996.86307="",7996.86307="***"),"-",7996.86307/682384.58212*100)</f>
        <v>1.1718997292048605</v>
      </c>
      <c r="D37" s="80">
        <f>IF(OR(12875.95622="",12875.95622="***"),"-",12875.95622/877651.01761*100)</f>
        <v>1.4670929517137143</v>
      </c>
      <c r="E37" s="80">
        <f>IF(OR(13709.63237="",13709.63237="***"),"-",13709.63237/948466.87002*100)</f>
        <v>1.4454518975144497</v>
      </c>
      <c r="F37" s="80">
        <f>IF(OR(12528.30206="",12528.30206="***"),"-",12528.30206/824887.0263*100)</f>
        <v>1.5187900476741927</v>
      </c>
      <c r="G37" s="81">
        <f>IF(OR(13135.57962="",13135.57962="***"),"-",13135.57962/902994.40784*100)</f>
        <v>1.4546689886397912</v>
      </c>
    </row>
    <row r="38" spans="1:7" ht="14.25" customHeight="1">
      <c r="A38" s="26" t="s">
        <v>48</v>
      </c>
      <c r="B38" s="23">
        <f>IF(OR(14380.54289="",14380.54289="***"),"-",14380.54289/594903.9049*100)</f>
        <v>2.4172883673401486</v>
      </c>
      <c r="C38" s="23">
        <f>IF(OR(22436.4284="",22436.4284="***"),"-",22436.4284/682384.58212*100)</f>
        <v>3.2879448023716438</v>
      </c>
      <c r="D38" s="23">
        <f>IF(OR(18571.46893="",18571.46893="***"),"-",18571.46893/877651.01761*100)</f>
        <v>2.1160425450851084</v>
      </c>
      <c r="E38" s="23">
        <f>IF(OR(13834.40704="",13834.40704="***"),"-",13834.40704/948466.87002*100)</f>
        <v>1.4586073037752261</v>
      </c>
      <c r="F38" s="23">
        <f>IF(OR(15205.32653="",15205.32653="***"),"-",15205.32653/824887.0263*100)</f>
        <v>1.8433223029586154</v>
      </c>
      <c r="G38" s="81">
        <f>IF(OR(13121.33735="",13121.33735="***"),"-",13121.33735/902994.40784*100)</f>
        <v>1.4530917618179697</v>
      </c>
    </row>
    <row r="39" spans="1:7" ht="15" customHeight="1">
      <c r="A39" s="26" t="s">
        <v>46</v>
      </c>
      <c r="B39" s="23">
        <f>IF(OR(12378.81501="",12378.81501="***"),"-",12378.81501/594903.9049*100)</f>
        <v>2.0808091706980494</v>
      </c>
      <c r="C39" s="23">
        <f>IF(OR(9045.55388="",9045.55388="***"),"-",9045.55388/682384.58212*100)</f>
        <v>1.3255800492879986</v>
      </c>
      <c r="D39" s="23">
        <f>IF(OR(24760.19445="",24760.19445="***"),"-",24760.19445/877651.01761*100)</f>
        <v>2.821189055010318</v>
      </c>
      <c r="E39" s="23">
        <f>IF(OR(27795.22601="",27795.22601="***"),"-",27795.22601/948466.87002*100)</f>
        <v>2.9305426355497151</v>
      </c>
      <c r="F39" s="23">
        <f>IF(OR(31804.15603="",31804.15603="***"),"-",31804.15603/824887.0263*100)</f>
        <v>3.8555771900858176</v>
      </c>
      <c r="G39" s="81">
        <f>IF(OR(12786.13622="",12786.13622="***"),"-",12786.13622/902994.40784*100)</f>
        <v>1.4159706980450706</v>
      </c>
    </row>
    <row r="40" spans="1:7" ht="17.100000000000001" customHeight="1">
      <c r="A40" s="36" t="s">
        <v>50</v>
      </c>
      <c r="B40" s="16">
        <f>IF(OR(15749.13137="",15749.13137="***"),"-",15749.13137/594903.9049*100)</f>
        <v>2.64734039233569</v>
      </c>
      <c r="C40" s="16">
        <f>IF(OR(12810.60727="",12810.60727="***"),"-",12810.60727/682384.58212*100)</f>
        <v>1.8773295302482678</v>
      </c>
      <c r="D40" s="16">
        <f>IF(OR(16996.41854="",16996.41854="***"),"-",16996.41854/877651.01761*100)</f>
        <v>1.9365805085356447</v>
      </c>
      <c r="E40" s="16">
        <f>IF(OR(12974.08512="",12974.08512="***"),"-",12974.08512/948466.87002*100)</f>
        <v>1.367900717473286</v>
      </c>
      <c r="F40" s="16">
        <f>IF(OR(14373.34846="",14373.34846="***"),"-",14373.34846/824887.0263*100)</f>
        <v>1.7424626647931558</v>
      </c>
      <c r="G40" s="18">
        <f>IF(OR(12487.16734="",12487.16734="***"),"-",12487.16734/902994.40784*100)</f>
        <v>1.3828620899070485</v>
      </c>
    </row>
    <row r="41" spans="1:7" ht="17.100000000000001" customHeight="1">
      <c r="B41" s="8"/>
      <c r="C41" s="9"/>
      <c r="D41" s="9"/>
      <c r="G41" s="8"/>
    </row>
  </sheetData>
  <mergeCells count="1">
    <mergeCell ref="A2:G2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H43"/>
  <sheetViews>
    <sheetView workbookViewId="0">
      <selection activeCell="A2" sqref="A2:I2"/>
    </sheetView>
  </sheetViews>
  <sheetFormatPr defaultRowHeight="12"/>
  <cols>
    <col min="1" max="1" width="50.7109375" style="3" customWidth="1"/>
    <col min="2" max="2" width="18.42578125" style="3" customWidth="1"/>
    <col min="3" max="16384" width="9.140625" style="3"/>
  </cols>
  <sheetData>
    <row r="2" spans="1:8" s="112" customFormat="1">
      <c r="A2" s="116" t="s">
        <v>95</v>
      </c>
      <c r="B2" s="116"/>
      <c r="C2" s="116"/>
      <c r="D2" s="116"/>
      <c r="E2" s="116"/>
      <c r="F2" s="116"/>
      <c r="G2" s="116"/>
      <c r="H2" s="116"/>
    </row>
    <row r="23" spans="1:2">
      <c r="A23" s="62" t="s">
        <v>80</v>
      </c>
      <c r="B23" s="59" t="s">
        <v>52</v>
      </c>
    </row>
    <row r="24" spans="1:2">
      <c r="A24" s="90" t="s">
        <v>53</v>
      </c>
      <c r="B24" s="82">
        <v>30.2</v>
      </c>
    </row>
    <row r="25" spans="1:2">
      <c r="A25" s="91" t="s">
        <v>54</v>
      </c>
      <c r="B25" s="83">
        <v>7.2</v>
      </c>
    </row>
    <row r="26" spans="1:2">
      <c r="A26" s="91" t="s">
        <v>55</v>
      </c>
      <c r="B26" s="83">
        <v>9.6999999999999993</v>
      </c>
    </row>
    <row r="27" spans="1:2">
      <c r="A27" s="91" t="s">
        <v>56</v>
      </c>
      <c r="B27" s="83">
        <v>0.2</v>
      </c>
    </row>
    <row r="28" spans="1:2">
      <c r="A28" s="91" t="s">
        <v>57</v>
      </c>
      <c r="B28" s="83">
        <v>5.4</v>
      </c>
    </row>
    <row r="29" spans="1:2">
      <c r="A29" s="91" t="s">
        <v>58</v>
      </c>
      <c r="B29" s="83">
        <v>4</v>
      </c>
    </row>
    <row r="30" spans="1:2">
      <c r="A30" s="91" t="s">
        <v>59</v>
      </c>
      <c r="B30" s="83">
        <v>6.1</v>
      </c>
    </row>
    <row r="31" spans="1:2">
      <c r="A31" s="91" t="s">
        <v>60</v>
      </c>
      <c r="B31" s="83">
        <v>19.2</v>
      </c>
    </row>
    <row r="32" spans="1:2">
      <c r="A32" s="92" t="s">
        <v>61</v>
      </c>
      <c r="B32" s="84">
        <v>18</v>
      </c>
    </row>
    <row r="33" spans="1:2">
      <c r="B33" s="61"/>
    </row>
    <row r="34" spans="1:2">
      <c r="A34" s="62" t="s">
        <v>79</v>
      </c>
      <c r="B34" s="56" t="s">
        <v>52</v>
      </c>
    </row>
    <row r="35" spans="1:2">
      <c r="A35" s="90" t="s">
        <v>53</v>
      </c>
      <c r="B35" s="82">
        <v>17.2</v>
      </c>
    </row>
    <row r="36" spans="1:2">
      <c r="A36" s="91" t="s">
        <v>54</v>
      </c>
      <c r="B36" s="83">
        <v>7.3</v>
      </c>
    </row>
    <row r="37" spans="1:2">
      <c r="A37" s="91" t="s">
        <v>55</v>
      </c>
      <c r="B37" s="83">
        <v>11.1</v>
      </c>
    </row>
    <row r="38" spans="1:2">
      <c r="A38" s="91" t="s">
        <v>56</v>
      </c>
      <c r="B38" s="83">
        <v>1.4</v>
      </c>
    </row>
    <row r="39" spans="1:2">
      <c r="A39" s="91" t="s">
        <v>57</v>
      </c>
      <c r="B39" s="83">
        <v>2.8</v>
      </c>
    </row>
    <row r="40" spans="1:2">
      <c r="A40" s="91" t="s">
        <v>58</v>
      </c>
      <c r="B40" s="83">
        <v>5.0999999999999996</v>
      </c>
    </row>
    <row r="41" spans="1:2">
      <c r="A41" s="91" t="s">
        <v>59</v>
      </c>
      <c r="B41" s="83">
        <v>7.8</v>
      </c>
    </row>
    <row r="42" spans="1:2">
      <c r="A42" s="91" t="s">
        <v>60</v>
      </c>
      <c r="B42" s="83">
        <v>26.1</v>
      </c>
    </row>
    <row r="43" spans="1:2">
      <c r="A43" s="92" t="s">
        <v>61</v>
      </c>
      <c r="B43" s="84">
        <v>21.2</v>
      </c>
    </row>
  </sheetData>
  <mergeCells count="1">
    <mergeCell ref="A2:H2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M28"/>
  <sheetViews>
    <sheetView workbookViewId="0">
      <selection activeCell="A2" sqref="A2:J2"/>
    </sheetView>
  </sheetViews>
  <sheetFormatPr defaultRowHeight="12"/>
  <cols>
    <col min="1" max="1" width="9.85546875" style="3" customWidth="1"/>
    <col min="2" max="2" width="9.140625" style="3"/>
    <col min="3" max="3" width="10" style="3" customWidth="1"/>
    <col min="4" max="9" width="9.140625" style="3"/>
    <col min="10" max="10" width="11.7109375" style="3" bestFit="1" customWidth="1"/>
    <col min="11" max="11" width="11" style="3" bestFit="1" customWidth="1"/>
    <col min="12" max="12" width="10.85546875" style="3" bestFit="1" customWidth="1"/>
    <col min="13" max="13" width="11.28515625" style="3" bestFit="1" customWidth="1"/>
    <col min="14" max="16384" width="9.140625" style="3"/>
  </cols>
  <sheetData>
    <row r="2" spans="1:10" s="112" customFormat="1">
      <c r="A2" s="114" t="s">
        <v>94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3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3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3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3">
      <c r="A20" s="4"/>
      <c r="B20" s="4"/>
      <c r="C20" s="4"/>
      <c r="D20" s="4"/>
      <c r="E20" s="4"/>
      <c r="F20" s="4"/>
      <c r="G20" s="4"/>
      <c r="H20" s="4"/>
      <c r="I20" s="4"/>
      <c r="J20" s="4"/>
    </row>
    <row r="22" spans="1:13">
      <c r="A22" s="53" t="s">
        <v>0</v>
      </c>
      <c r="B22" s="50" t="s">
        <v>1</v>
      </c>
      <c r="C22" s="51" t="s">
        <v>2</v>
      </c>
      <c r="D22" s="51" t="s">
        <v>3</v>
      </c>
      <c r="E22" s="51" t="s">
        <v>4</v>
      </c>
      <c r="F22" s="51" t="s">
        <v>5</v>
      </c>
      <c r="G22" s="51" t="s">
        <v>6</v>
      </c>
      <c r="H22" s="51" t="s">
        <v>7</v>
      </c>
      <c r="I22" s="51" t="s">
        <v>8</v>
      </c>
      <c r="J22" s="51" t="s">
        <v>9</v>
      </c>
      <c r="K22" s="51" t="s">
        <v>10</v>
      </c>
      <c r="L22" s="51" t="s">
        <v>11</v>
      </c>
      <c r="M22" s="51" t="s">
        <v>12</v>
      </c>
    </row>
    <row r="23" spans="1:13">
      <c r="A23" s="54">
        <v>2016</v>
      </c>
      <c r="B23" s="97">
        <v>207.3</v>
      </c>
      <c r="C23" s="97">
        <v>287</v>
      </c>
      <c r="D23" s="97">
        <v>366.8</v>
      </c>
      <c r="E23" s="97">
        <v>354.9</v>
      </c>
      <c r="F23" s="97">
        <v>327.7</v>
      </c>
      <c r="G23" s="97">
        <v>324.60000000000002</v>
      </c>
      <c r="H23" s="97">
        <v>314.10000000000002</v>
      </c>
      <c r="I23" s="97">
        <v>351.1</v>
      </c>
      <c r="J23" s="97">
        <v>361.6</v>
      </c>
      <c r="K23" s="97">
        <v>380.2</v>
      </c>
      <c r="L23" s="97">
        <v>353.5</v>
      </c>
      <c r="M23" s="94">
        <v>391.4</v>
      </c>
    </row>
    <row r="24" spans="1:13">
      <c r="A24" s="54">
        <v>2017</v>
      </c>
      <c r="B24" s="97">
        <v>266.8</v>
      </c>
      <c r="C24" s="97">
        <v>332.7</v>
      </c>
      <c r="D24" s="97">
        <v>431.2</v>
      </c>
      <c r="E24" s="97">
        <v>361.5</v>
      </c>
      <c r="F24" s="97">
        <v>400.4</v>
      </c>
      <c r="G24" s="97">
        <v>388.8</v>
      </c>
      <c r="H24" s="97">
        <v>396.9</v>
      </c>
      <c r="I24" s="97">
        <v>429.7</v>
      </c>
      <c r="J24" s="97">
        <v>430.8</v>
      </c>
      <c r="K24" s="97">
        <v>465.9</v>
      </c>
      <c r="L24" s="97">
        <v>455.3</v>
      </c>
      <c r="M24" s="94">
        <v>471.4</v>
      </c>
    </row>
    <row r="25" spans="1:13">
      <c r="A25" s="54">
        <v>2018</v>
      </c>
      <c r="B25" s="97">
        <v>374.3</v>
      </c>
      <c r="C25" s="97">
        <v>427.6</v>
      </c>
      <c r="D25" s="97">
        <v>524.1</v>
      </c>
      <c r="E25" s="97">
        <v>444.6</v>
      </c>
      <c r="F25" s="97">
        <v>505.6</v>
      </c>
      <c r="G25" s="97">
        <v>458.7</v>
      </c>
      <c r="H25" s="97">
        <v>488</v>
      </c>
      <c r="I25" s="97">
        <v>480.7</v>
      </c>
      <c r="J25" s="97">
        <v>474</v>
      </c>
      <c r="K25" s="97">
        <v>540.6</v>
      </c>
      <c r="L25" s="97">
        <v>522.6</v>
      </c>
      <c r="M25" s="94">
        <v>519.29999999999995</v>
      </c>
    </row>
    <row r="26" spans="1:13">
      <c r="A26" s="54">
        <v>2019</v>
      </c>
      <c r="B26" s="97">
        <v>372.6</v>
      </c>
      <c r="C26" s="97">
        <v>459.3</v>
      </c>
      <c r="D26" s="97">
        <v>533.79999999999995</v>
      </c>
      <c r="E26" s="97">
        <v>515.6</v>
      </c>
      <c r="F26" s="97">
        <v>481.6</v>
      </c>
      <c r="G26" s="97">
        <v>445.4</v>
      </c>
      <c r="H26" s="97">
        <v>499.1</v>
      </c>
      <c r="I26" s="97">
        <v>464.3</v>
      </c>
      <c r="J26" s="97">
        <v>501.7</v>
      </c>
      <c r="K26" s="97">
        <v>525.29999999999995</v>
      </c>
      <c r="L26" s="97">
        <v>504.1</v>
      </c>
      <c r="M26" s="94">
        <v>539.70000000000005</v>
      </c>
    </row>
    <row r="27" spans="1:13">
      <c r="A27" s="54">
        <v>2020</v>
      </c>
      <c r="B27" s="97">
        <v>379.8</v>
      </c>
      <c r="C27" s="97">
        <v>484.8</v>
      </c>
      <c r="D27" s="97">
        <v>500.5</v>
      </c>
      <c r="E27" s="97">
        <v>285.60000000000002</v>
      </c>
      <c r="F27" s="97">
        <v>329.4</v>
      </c>
      <c r="G27" s="97">
        <v>413.5</v>
      </c>
      <c r="H27" s="97">
        <v>496.6</v>
      </c>
      <c r="I27" s="97">
        <v>433.6</v>
      </c>
      <c r="J27" s="97">
        <v>508.3</v>
      </c>
      <c r="K27" s="97">
        <v>493.6</v>
      </c>
      <c r="L27" s="97">
        <v>522.9</v>
      </c>
      <c r="M27" s="94">
        <v>567.29999999999995</v>
      </c>
    </row>
    <row r="28" spans="1:13">
      <c r="A28" s="49">
        <v>2021</v>
      </c>
      <c r="B28" s="95">
        <v>399.4</v>
      </c>
      <c r="C28" s="95">
        <v>521.5</v>
      </c>
      <c r="D28" s="95">
        <v>630.20000000000005</v>
      </c>
      <c r="E28" s="95">
        <v>561.20000000000005</v>
      </c>
      <c r="F28" s="95"/>
      <c r="G28" s="95"/>
      <c r="H28" s="95"/>
      <c r="I28" s="95"/>
      <c r="J28" s="95"/>
      <c r="K28" s="95"/>
      <c r="L28" s="95"/>
      <c r="M28" s="96"/>
    </row>
  </sheetData>
  <mergeCells count="1">
    <mergeCell ref="A2:J2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AC29"/>
  <sheetViews>
    <sheetView workbookViewId="0">
      <selection activeCell="A2" sqref="A2:L2"/>
    </sheetView>
  </sheetViews>
  <sheetFormatPr defaultRowHeight="12"/>
  <cols>
    <col min="1" max="1" width="17.5703125" style="3" customWidth="1"/>
    <col min="2" max="2" width="6.28515625" style="3" bestFit="1" customWidth="1"/>
    <col min="3" max="3" width="6.85546875" style="3" bestFit="1" customWidth="1"/>
    <col min="4" max="4" width="7.7109375" style="3" bestFit="1" customWidth="1"/>
    <col min="5" max="5" width="7.5703125" style="3" bestFit="1" customWidth="1"/>
    <col min="6" max="6" width="6.7109375" style="3" bestFit="1" customWidth="1"/>
    <col min="7" max="7" width="7.5703125" style="3" bestFit="1" customWidth="1"/>
    <col min="8" max="8" width="7.85546875" style="3" bestFit="1" customWidth="1"/>
    <col min="9" max="9" width="9.28515625" style="3" bestFit="1" customWidth="1"/>
    <col min="10" max="10" width="7.5703125" style="3" bestFit="1" customWidth="1"/>
    <col min="11" max="11" width="6.7109375" style="3" bestFit="1" customWidth="1"/>
    <col min="12" max="12" width="7.5703125" style="3" bestFit="1" customWidth="1"/>
    <col min="13" max="13" width="8.42578125" style="3" bestFit="1" customWidth="1"/>
    <col min="14" max="14" width="6.140625" style="3" bestFit="1" customWidth="1"/>
    <col min="15" max="15" width="6.85546875" style="3" bestFit="1" customWidth="1"/>
    <col min="16" max="16" width="7.7109375" style="3" bestFit="1" customWidth="1"/>
    <col min="17" max="17" width="7.5703125" style="3" bestFit="1" customWidth="1"/>
    <col min="18" max="18" width="7.28515625" style="3" customWidth="1"/>
    <col min="19" max="21" width="9.28515625" style="3" bestFit="1" customWidth="1"/>
    <col min="22" max="22" width="8.5703125" style="3" customWidth="1"/>
    <col min="23" max="23" width="9.28515625" style="3" bestFit="1" customWidth="1"/>
    <col min="24" max="24" width="9.28515625" style="3" customWidth="1"/>
    <col min="25" max="26" width="9.28515625" style="3" bestFit="1" customWidth="1"/>
    <col min="27" max="28" width="9.28515625" style="3" customWidth="1"/>
    <col min="29" max="29" width="9.28515625" style="3" bestFit="1" customWidth="1"/>
    <col min="30" max="16384" width="9.140625" style="3"/>
  </cols>
  <sheetData>
    <row r="2" spans="1:12" s="112" customFormat="1">
      <c r="A2" s="111" t="s">
        <v>93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2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2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2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2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29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29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29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29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29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29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29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29">
      <c r="A24" s="108"/>
      <c r="B24" s="106">
        <v>2019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>
        <v>2020</v>
      </c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>
        <v>2021</v>
      </c>
      <c r="AA24" s="106"/>
      <c r="AB24" s="107"/>
      <c r="AC24" s="106"/>
    </row>
    <row r="25" spans="1:29">
      <c r="A25" s="109"/>
      <c r="B25" s="39" t="s">
        <v>13</v>
      </c>
      <c r="C25" s="39" t="s">
        <v>14</v>
      </c>
      <c r="D25" s="39" t="s">
        <v>15</v>
      </c>
      <c r="E25" s="39" t="s">
        <v>16</v>
      </c>
      <c r="F25" s="39" t="s">
        <v>17</v>
      </c>
      <c r="G25" s="39" t="s">
        <v>18</v>
      </c>
      <c r="H25" s="39" t="s">
        <v>19</v>
      </c>
      <c r="I25" s="39" t="s">
        <v>20</v>
      </c>
      <c r="J25" s="39" t="s">
        <v>21</v>
      </c>
      <c r="K25" s="39" t="s">
        <v>22</v>
      </c>
      <c r="L25" s="39" t="s">
        <v>23</v>
      </c>
      <c r="M25" s="39" t="s">
        <v>24</v>
      </c>
      <c r="N25" s="39" t="s">
        <v>13</v>
      </c>
      <c r="O25" s="39" t="s">
        <v>14</v>
      </c>
      <c r="P25" s="39" t="s">
        <v>15</v>
      </c>
      <c r="Q25" s="39" t="s">
        <v>16</v>
      </c>
      <c r="R25" s="39" t="s">
        <v>17</v>
      </c>
      <c r="S25" s="39" t="s">
        <v>25</v>
      </c>
      <c r="T25" s="39" t="s">
        <v>19</v>
      </c>
      <c r="U25" s="39" t="s">
        <v>26</v>
      </c>
      <c r="V25" s="39" t="s">
        <v>21</v>
      </c>
      <c r="W25" s="39" t="s">
        <v>27</v>
      </c>
      <c r="X25" s="39" t="s">
        <v>23</v>
      </c>
      <c r="Y25" s="39" t="s">
        <v>24</v>
      </c>
      <c r="Z25" s="39" t="s">
        <v>13</v>
      </c>
      <c r="AA25" s="39" t="s">
        <v>14</v>
      </c>
      <c r="AB25" s="40" t="s">
        <v>15</v>
      </c>
      <c r="AC25" s="39" t="s">
        <v>16</v>
      </c>
    </row>
    <row r="26" spans="1:29" ht="27.75" customHeight="1">
      <c r="A26" s="31" t="s">
        <v>77</v>
      </c>
      <c r="B26" s="85">
        <v>71.738158213015794</v>
      </c>
      <c r="C26" s="21">
        <v>123.27227087030982</v>
      </c>
      <c r="D26" s="21">
        <v>116.24365644398502</v>
      </c>
      <c r="E26" s="21">
        <v>96.580225893758936</v>
      </c>
      <c r="F26" s="21">
        <v>93.408604141465986</v>
      </c>
      <c r="G26" s="21">
        <v>92.490171422142794</v>
      </c>
      <c r="H26" s="21">
        <v>112.04816621722891</v>
      </c>
      <c r="I26" s="21">
        <v>93.020207912369386</v>
      </c>
      <c r="J26" s="21">
        <v>108.06099409813686</v>
      </c>
      <c r="K26" s="21">
        <v>104.71321760096355</v>
      </c>
      <c r="L26" s="21">
        <v>95.961007942682357</v>
      </c>
      <c r="M26" s="17">
        <v>107.05149255623367</v>
      </c>
      <c r="N26" s="21">
        <v>70.382208343865415</v>
      </c>
      <c r="O26" s="21">
        <v>127.63158194440297</v>
      </c>
      <c r="P26" s="21">
        <v>103.24095247310265</v>
      </c>
      <c r="Q26" s="21">
        <v>57.064146061655876</v>
      </c>
      <c r="R26" s="21">
        <v>115.32045479750228</v>
      </c>
      <c r="S26" s="21">
        <v>125.55839051166471</v>
      </c>
      <c r="T26" s="21">
        <v>120.09478099934977</v>
      </c>
      <c r="U26" s="21">
        <v>87.312042792465732</v>
      </c>
      <c r="V26" s="21">
        <v>117.22959939467061</v>
      </c>
      <c r="W26" s="21">
        <v>97.096953437578748</v>
      </c>
      <c r="X26" s="21">
        <v>105.93754706899317</v>
      </c>
      <c r="Y26" s="17">
        <v>108.49423751970338</v>
      </c>
      <c r="Z26" s="66">
        <v>70.407885353173725</v>
      </c>
      <c r="AA26" s="22">
        <v>130.56132614820868</v>
      </c>
      <c r="AB26" s="22">
        <v>120.84190761120013</v>
      </c>
      <c r="AC26" s="67">
        <v>89.050696698531382</v>
      </c>
    </row>
    <row r="27" spans="1:29" ht="42" customHeight="1">
      <c r="A27" s="32" t="s">
        <v>78</v>
      </c>
      <c r="B27" s="30">
        <f>IF(374257.25828="","-",372548.49281/374257.25828*100)</f>
        <v>99.543424894989869</v>
      </c>
      <c r="C27" s="16">
        <f>IF(427600.8878="","-",459248.98718/427600.8878*100)</f>
        <v>107.40131750961253</v>
      </c>
      <c r="D27" s="16">
        <f>IF(524151.65323="","-",533847.81488/524151.65323*100)</f>
        <v>101.84987714724333</v>
      </c>
      <c r="E27" s="16">
        <f>IF(444601.83252="","-",515591.42554/444601.83252*100)</f>
        <v>115.96700414337735</v>
      </c>
      <c r="F27" s="16">
        <f>IF(505594.98812="","-",481606.75367/505594.98812*100)</f>
        <v>95.255444572503052</v>
      </c>
      <c r="G27" s="16">
        <f>IF(458682.35918="","-",445438.91205/458682.35918*100)</f>
        <v>97.112719321999705</v>
      </c>
      <c r="H27" s="16">
        <f>IF(488041.26888="","-",499106.13257/488041.26888*100)</f>
        <v>102.26719836939048</v>
      </c>
      <c r="I27" s="16">
        <f>IF(480650.77296="","-",464269.56222/480650.77296*100)</f>
        <v>96.591868428897087</v>
      </c>
      <c r="J27" s="16">
        <f>IF(473973.76404="","-",501694.30423/473973.76404*100)</f>
        <v>105.84853894732886</v>
      </c>
      <c r="K27" s="16">
        <f>IF(540614.13985="","-",525340.24848/540614.13985*100)</f>
        <v>97.174714783775727</v>
      </c>
      <c r="L27" s="16">
        <f>IF(522571.0681="","-",504121.79757/522571.0681*100)</f>
        <v>96.469519333115954</v>
      </c>
      <c r="M27" s="18">
        <f>IF(519317.05816="","-",539669.9086/519317.05816*100)</f>
        <v>103.91915692353963</v>
      </c>
      <c r="N27" s="16">
        <f>IF(372548.49281="","-",379831.59944/372548.49281*100)</f>
        <v>101.95494191241148</v>
      </c>
      <c r="O27" s="16">
        <f>IF(459248.98718="","-",484785.07909/459248.98718*100)</f>
        <v>105.56040244460927</v>
      </c>
      <c r="P27" s="16">
        <f>IF(533847.81488="","-",500496.7331/533847.81488*100)</f>
        <v>93.752698643620619</v>
      </c>
      <c r="Q27" s="16">
        <f>IF(515591.42554="","-",285604.18681/515591.42554*100)</f>
        <v>55.393509795256001</v>
      </c>
      <c r="R27" s="16">
        <f>IF(481606.75367="","-",329360.04715/481606.75367*100)</f>
        <v>68.38775508029515</v>
      </c>
      <c r="S27" s="16">
        <f>IF(445438.91205="","-",413539.17419/445438.91205*100)</f>
        <v>92.838583025180498</v>
      </c>
      <c r="T27" s="16">
        <f>IF(499106.13257="","-",496638.96559/499106.13257*100)</f>
        <v>99.505682896081424</v>
      </c>
      <c r="U27" s="16">
        <f>IF(464269.56222="","-",433625.62616/464269.56222*100)</f>
        <v>93.399537993946922</v>
      </c>
      <c r="V27" s="16">
        <f>IF(501694.30423="","-",508337.58442/501694.30423*100)</f>
        <v>101.32416894790069</v>
      </c>
      <c r="W27" s="16">
        <f>IF(525340.24848="","-",493580.30765/525340.24848*100)</f>
        <v>93.954405564414117</v>
      </c>
      <c r="X27" s="16">
        <f>IF(504121.79757="","-",522886.87074/504121.79757*100)</f>
        <v>103.7223292586142</v>
      </c>
      <c r="Y27" s="18">
        <f>IF(539669.9086="","-",567302.1235/539669.9086*100)</f>
        <v>105.12020671519058</v>
      </c>
      <c r="Z27" s="30">
        <f>IF(379831.59944="","-",399425.42872/379831.59944*100)</f>
        <v>105.15855692598718</v>
      </c>
      <c r="AA27" s="16">
        <f>IF(484785.07909="","-",521495.13671/484785.07909*100)</f>
        <v>107.57243966520365</v>
      </c>
      <c r="AB27" s="16">
        <f>IF(500496.7331="","-",630184.6713/500496.7331*100)</f>
        <v>125.91184509771578</v>
      </c>
      <c r="AC27" s="18">
        <f>IF(285604.18681="","-",561183.84028/285604.18681*100)</f>
        <v>196.49006078938584</v>
      </c>
    </row>
    <row r="28" spans="1:29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/>
      <c r="O28" s="13"/>
      <c r="P28" s="13"/>
      <c r="Q28" s="13"/>
      <c r="R28" s="13"/>
      <c r="S28" s="13"/>
      <c r="T28" s="13"/>
    </row>
    <row r="29" spans="1:29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3"/>
      <c r="O29" s="13"/>
      <c r="P29" s="13"/>
      <c r="Q29" s="13"/>
      <c r="R29" s="13"/>
      <c r="S29" s="13"/>
      <c r="T29" s="13"/>
    </row>
  </sheetData>
  <mergeCells count="5">
    <mergeCell ref="A2:L2"/>
    <mergeCell ref="A24:A25"/>
    <mergeCell ref="B24:M24"/>
    <mergeCell ref="N24:Y24"/>
    <mergeCell ref="Z24:AC2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G32"/>
  <sheetViews>
    <sheetView workbookViewId="0">
      <selection activeCell="A25" sqref="A25"/>
    </sheetView>
  </sheetViews>
  <sheetFormatPr defaultRowHeight="12"/>
  <cols>
    <col min="1" max="1" width="24" style="3" customWidth="1"/>
    <col min="2" max="7" width="14.85546875" style="3" bestFit="1" customWidth="1"/>
    <col min="8" max="16384" width="9.140625" style="3"/>
  </cols>
  <sheetData>
    <row r="2" spans="1:7" s="112" customFormat="1">
      <c r="A2" s="114" t="s">
        <v>92</v>
      </c>
      <c r="B2" s="114"/>
      <c r="C2" s="114"/>
      <c r="D2" s="114"/>
      <c r="E2" s="114"/>
      <c r="F2" s="114"/>
      <c r="G2" s="115"/>
    </row>
    <row r="3" spans="1:7">
      <c r="A3" s="4"/>
      <c r="B3" s="4"/>
      <c r="C3" s="4"/>
      <c r="D3" s="4"/>
      <c r="E3" s="4"/>
      <c r="F3" s="4"/>
      <c r="G3" s="4"/>
    </row>
    <row r="4" spans="1:7">
      <c r="A4" s="4"/>
      <c r="B4" s="4"/>
      <c r="C4" s="4"/>
      <c r="D4" s="4"/>
      <c r="E4" s="4"/>
      <c r="F4" s="4"/>
      <c r="G4" s="4"/>
    </row>
    <row r="5" spans="1:7">
      <c r="A5" s="4"/>
      <c r="B5" s="4"/>
      <c r="C5" s="4"/>
      <c r="D5" s="4"/>
      <c r="E5" s="4"/>
      <c r="F5" s="4"/>
      <c r="G5" s="4"/>
    </row>
    <row r="6" spans="1:7">
      <c r="A6" s="4"/>
      <c r="B6" s="4"/>
      <c r="C6" s="4"/>
      <c r="D6" s="4"/>
      <c r="E6" s="4"/>
      <c r="F6" s="4"/>
      <c r="G6" s="4"/>
    </row>
    <row r="7" spans="1:7">
      <c r="A7" s="4"/>
      <c r="B7" s="4"/>
      <c r="C7" s="4"/>
      <c r="D7" s="4"/>
      <c r="E7" s="4"/>
      <c r="F7" s="4"/>
      <c r="G7" s="4"/>
    </row>
    <row r="8" spans="1:7">
      <c r="A8" s="4"/>
      <c r="B8" s="4"/>
      <c r="C8" s="4"/>
      <c r="D8" s="4"/>
      <c r="E8" s="4"/>
      <c r="F8" s="4"/>
      <c r="G8" s="4"/>
    </row>
    <row r="9" spans="1:7">
      <c r="A9" s="4"/>
      <c r="B9" s="4"/>
      <c r="C9" s="4"/>
      <c r="D9" s="4"/>
      <c r="E9" s="4"/>
      <c r="F9" s="4"/>
      <c r="G9" s="4"/>
    </row>
    <row r="10" spans="1:7">
      <c r="A10" s="4"/>
      <c r="B10" s="4"/>
      <c r="C10" s="4"/>
      <c r="D10" s="4"/>
      <c r="E10" s="4"/>
      <c r="F10" s="4"/>
      <c r="G10" s="4"/>
    </row>
    <row r="11" spans="1:7">
      <c r="A11" s="4"/>
      <c r="B11" s="4"/>
      <c r="C11" s="4"/>
      <c r="D11" s="4"/>
      <c r="E11" s="4"/>
      <c r="F11" s="4"/>
      <c r="G11" s="4"/>
    </row>
    <row r="12" spans="1:7">
      <c r="A12" s="4"/>
      <c r="B12" s="4"/>
      <c r="C12" s="4"/>
      <c r="D12" s="4"/>
      <c r="E12" s="4"/>
      <c r="F12" s="4"/>
      <c r="G12" s="4"/>
    </row>
    <row r="13" spans="1:7">
      <c r="A13" s="4"/>
      <c r="B13" s="4"/>
      <c r="C13" s="4"/>
      <c r="D13" s="4"/>
      <c r="E13" s="4"/>
      <c r="F13" s="4"/>
      <c r="G13" s="4"/>
    </row>
    <row r="14" spans="1:7">
      <c r="A14" s="4"/>
      <c r="B14" s="4"/>
      <c r="C14" s="4"/>
      <c r="D14" s="4"/>
      <c r="E14" s="4"/>
      <c r="F14" s="4"/>
      <c r="G14" s="4"/>
    </row>
    <row r="15" spans="1:7">
      <c r="A15" s="4"/>
      <c r="B15" s="4"/>
      <c r="C15" s="4"/>
      <c r="D15" s="4"/>
      <c r="E15" s="4"/>
      <c r="F15" s="4"/>
      <c r="G15" s="4"/>
    </row>
    <row r="16" spans="1:7">
      <c r="A16" s="4"/>
      <c r="B16" s="4"/>
      <c r="C16" s="4"/>
      <c r="D16" s="4"/>
      <c r="E16" s="4"/>
      <c r="F16" s="4"/>
      <c r="G16" s="4"/>
    </row>
    <row r="17" spans="1:7">
      <c r="A17" s="4"/>
      <c r="B17" s="4"/>
      <c r="C17" s="4"/>
      <c r="D17" s="4"/>
      <c r="E17" s="4"/>
      <c r="F17" s="4"/>
      <c r="G17" s="4"/>
    </row>
    <row r="18" spans="1:7">
      <c r="A18" s="4"/>
      <c r="B18" s="4"/>
      <c r="C18" s="4"/>
      <c r="D18" s="4"/>
      <c r="E18" s="4"/>
      <c r="F18" s="4"/>
      <c r="G18" s="4"/>
    </row>
    <row r="19" spans="1:7">
      <c r="A19" s="4"/>
      <c r="B19" s="4"/>
      <c r="C19" s="4"/>
      <c r="D19" s="4"/>
      <c r="E19" s="4"/>
      <c r="F19" s="4"/>
      <c r="G19" s="4"/>
    </row>
    <row r="20" spans="1:7" ht="13.5" customHeight="1">
      <c r="A20" s="4"/>
      <c r="B20" s="4"/>
      <c r="C20" s="4"/>
      <c r="D20" s="4"/>
      <c r="E20" s="4"/>
      <c r="F20" s="4"/>
      <c r="G20" s="4"/>
    </row>
    <row r="21" spans="1:7">
      <c r="A21" s="2"/>
      <c r="B21" s="2"/>
      <c r="C21" s="2"/>
      <c r="D21" s="2"/>
      <c r="E21" s="2"/>
      <c r="F21" s="2"/>
      <c r="G21" s="2"/>
    </row>
    <row r="22" spans="1:7">
      <c r="A22" s="60"/>
      <c r="B22" s="60"/>
      <c r="C22" s="60"/>
      <c r="D22" s="60"/>
      <c r="E22" s="60"/>
      <c r="F22" s="60"/>
      <c r="G22" s="60"/>
    </row>
    <row r="23" spans="1:7">
      <c r="A23" s="60"/>
      <c r="B23" s="60"/>
      <c r="C23" s="60"/>
      <c r="D23" s="60"/>
      <c r="E23" s="60"/>
      <c r="F23" s="60"/>
      <c r="G23" s="60"/>
    </row>
    <row r="24" spans="1:7">
      <c r="A24" s="60"/>
      <c r="B24" s="60"/>
      <c r="C24" s="60"/>
      <c r="D24" s="60"/>
      <c r="E24" s="60"/>
      <c r="F24" s="60"/>
      <c r="G24" s="60"/>
    </row>
    <row r="25" spans="1:7" ht="24">
      <c r="A25" s="53" t="s">
        <v>28</v>
      </c>
      <c r="B25" s="15" t="s">
        <v>79</v>
      </c>
      <c r="C25" s="15" t="s">
        <v>80</v>
      </c>
      <c r="D25" s="15" t="s">
        <v>81</v>
      </c>
      <c r="E25" s="15" t="s">
        <v>82</v>
      </c>
      <c r="F25" s="15" t="s">
        <v>83</v>
      </c>
      <c r="G25" s="15" t="s">
        <v>84</v>
      </c>
    </row>
    <row r="26" spans="1:7">
      <c r="A26" s="86" t="s">
        <v>29</v>
      </c>
      <c r="B26" s="80">
        <v>1.7</v>
      </c>
      <c r="C26" s="80">
        <v>1.7</v>
      </c>
      <c r="D26" s="80">
        <v>2.1</v>
      </c>
      <c r="E26" s="80">
        <v>2.6</v>
      </c>
      <c r="F26" s="80">
        <v>2.7</v>
      </c>
      <c r="G26" s="81">
        <v>2.2000000000000002</v>
      </c>
    </row>
    <row r="27" spans="1:7">
      <c r="A27" s="87" t="s">
        <v>30</v>
      </c>
      <c r="B27" s="80">
        <v>4.4000000000000004</v>
      </c>
      <c r="C27" s="80">
        <v>4.3</v>
      </c>
      <c r="D27" s="80">
        <v>4.7</v>
      </c>
      <c r="E27" s="80">
        <v>5.5</v>
      </c>
      <c r="F27" s="80">
        <v>5.9</v>
      </c>
      <c r="G27" s="81">
        <v>5.8</v>
      </c>
    </row>
    <row r="28" spans="1:7">
      <c r="A28" s="87" t="s">
        <v>31</v>
      </c>
      <c r="B28" s="80">
        <v>86.5</v>
      </c>
      <c r="C28" s="80">
        <v>85</v>
      </c>
      <c r="D28" s="80">
        <v>82</v>
      </c>
      <c r="E28" s="80">
        <v>81.7</v>
      </c>
      <c r="F28" s="80">
        <v>81.3</v>
      </c>
      <c r="G28" s="81">
        <v>80.2</v>
      </c>
    </row>
    <row r="29" spans="1:7">
      <c r="A29" s="87" t="s">
        <v>32</v>
      </c>
      <c r="B29" s="80">
        <v>2.5</v>
      </c>
      <c r="C29" s="80">
        <v>2.5</v>
      </c>
      <c r="D29" s="80">
        <v>2.5</v>
      </c>
      <c r="E29" s="80">
        <v>2.6</v>
      </c>
      <c r="F29" s="80">
        <v>2.6</v>
      </c>
      <c r="G29" s="81">
        <v>1.8</v>
      </c>
    </row>
    <row r="30" spans="1:7">
      <c r="A30" s="87" t="s">
        <v>62</v>
      </c>
      <c r="B30" s="80">
        <v>0.2</v>
      </c>
      <c r="C30" s="80">
        <v>0.2</v>
      </c>
      <c r="D30" s="80">
        <v>0.2</v>
      </c>
      <c r="E30" s="80">
        <v>0.3</v>
      </c>
      <c r="F30" s="80">
        <v>0.2</v>
      </c>
      <c r="G30" s="81">
        <v>1</v>
      </c>
    </row>
    <row r="31" spans="1:7">
      <c r="A31" s="87" t="s">
        <v>63</v>
      </c>
      <c r="B31" s="80">
        <v>4.0999999999999996</v>
      </c>
      <c r="C31" s="80">
        <v>5.9</v>
      </c>
      <c r="D31" s="80">
        <v>7.8</v>
      </c>
      <c r="E31" s="80">
        <v>6.7</v>
      </c>
      <c r="F31" s="80">
        <v>6.7</v>
      </c>
      <c r="G31" s="81">
        <v>8.5</v>
      </c>
    </row>
    <row r="32" spans="1:7">
      <c r="A32" s="88" t="s">
        <v>64</v>
      </c>
      <c r="B32" s="30">
        <v>0.6</v>
      </c>
      <c r="C32" s="16">
        <v>0.4</v>
      </c>
      <c r="D32" s="16">
        <v>0.7</v>
      </c>
      <c r="E32" s="16">
        <v>0.6</v>
      </c>
      <c r="F32" s="16">
        <v>0.6</v>
      </c>
      <c r="G32" s="18">
        <v>0.5</v>
      </c>
    </row>
  </sheetData>
  <mergeCells count="1">
    <mergeCell ref="A2:F2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Figura 1</vt:lpstr>
      <vt:lpstr>Figura 2</vt:lpstr>
      <vt:lpstr>Figura 3</vt:lpstr>
      <vt:lpstr>Figura 4</vt:lpstr>
      <vt:lpstr>Figura 5</vt:lpstr>
      <vt:lpstr>Figura 6</vt:lpstr>
      <vt:lpstr>Figura 7</vt:lpstr>
      <vt:lpstr>Figura 8</vt:lpstr>
      <vt:lpstr>Figura 9</vt:lpstr>
      <vt:lpstr>Figura 10</vt:lpstr>
      <vt:lpstr>Figura 11</vt:lpstr>
      <vt:lpstr>Figura 12</vt:lpstr>
      <vt:lpstr>Figura 13</vt:lpstr>
      <vt:lpstr>Figura 14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Petrusca</dc:creator>
  <cp:lastModifiedBy>Doina Vudvud</cp:lastModifiedBy>
  <dcterms:created xsi:type="dcterms:W3CDTF">2017-02-13T11:50:10Z</dcterms:created>
  <dcterms:modified xsi:type="dcterms:W3CDTF">2021-06-14T12:11:44Z</dcterms:modified>
</cp:coreProperties>
</file>