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tables/table1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_Ext_2021_Date_Provizorii\"/>
    </mc:Choice>
  </mc:AlternateContent>
  <bookViews>
    <workbookView xWindow="0" yWindow="0" windowWidth="24000" windowHeight="9585" tabRatio="857"/>
  </bookViews>
  <sheets>
    <sheet name="Figura 1" sheetId="1" r:id="rId1"/>
    <sheet name="Figura 2" sheetId="2" r:id="rId2"/>
    <sheet name="Figura 3" sheetId="18" r:id="rId3"/>
    <sheet name="Figura 4" sheetId="3" r:id="rId4"/>
    <sheet name="Figura 5" sheetId="4" r:id="rId5"/>
    <sheet name="Figura 6" sheetId="5" r:id="rId6"/>
    <sheet name="Figura 7" sheetId="17" r:id="rId7"/>
    <sheet name="Figura 8" sheetId="7" r:id="rId8"/>
    <sheet name="Figura 9" sheetId="8" r:id="rId9"/>
    <sheet name="Figura 10" sheetId="19" r:id="rId10"/>
    <sheet name="Figura 11" sheetId="9" r:id="rId11"/>
    <sheet name="Figura 12" sheetId="10" r:id="rId12"/>
    <sheet name="Figura 13" sheetId="16" r:id="rId13"/>
    <sheet name="Figura 14" sheetId="12" r:id="rId14"/>
    <sheet name="Figura 15" sheetId="13" r:id="rId15"/>
    <sheet name="Figura 16" sheetId="14" r:id="rId16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6" l="1"/>
  <c r="F44" i="16"/>
  <c r="E44" i="16"/>
  <c r="D44" i="16"/>
  <c r="C44" i="16"/>
  <c r="G43" i="16"/>
  <c r="F43" i="16"/>
  <c r="E43" i="16"/>
  <c r="D43" i="16"/>
  <c r="C43" i="16"/>
  <c r="G42" i="16"/>
  <c r="F42" i="16"/>
  <c r="E42" i="16"/>
  <c r="D42" i="16"/>
  <c r="C42" i="16"/>
  <c r="G41" i="16"/>
  <c r="F41" i="16"/>
  <c r="E41" i="16"/>
  <c r="D41" i="16"/>
  <c r="C41" i="16"/>
  <c r="G40" i="16"/>
  <c r="F40" i="16"/>
  <c r="E40" i="16"/>
  <c r="D40" i="16"/>
  <c r="C40" i="16"/>
  <c r="G39" i="16"/>
  <c r="F39" i="16"/>
  <c r="E39" i="16"/>
  <c r="D39" i="16"/>
  <c r="C39" i="16"/>
  <c r="G38" i="16"/>
  <c r="F38" i="16"/>
  <c r="E38" i="16"/>
  <c r="D38" i="16"/>
  <c r="C38" i="16"/>
  <c r="B38" i="16"/>
  <c r="G37" i="16"/>
  <c r="F37" i="16"/>
  <c r="E37" i="16"/>
  <c r="D37" i="16"/>
  <c r="C37" i="16"/>
  <c r="G36" i="16"/>
  <c r="F36" i="16"/>
  <c r="E36" i="16"/>
  <c r="D36" i="16"/>
  <c r="C36" i="16"/>
  <c r="G35" i="16"/>
  <c r="F35" i="16"/>
  <c r="E35" i="16"/>
  <c r="D35" i="16"/>
  <c r="C35" i="16"/>
  <c r="G34" i="16"/>
  <c r="F34" i="16"/>
  <c r="E34" i="16"/>
  <c r="D34" i="16"/>
  <c r="C34" i="16"/>
  <c r="G33" i="16"/>
  <c r="F33" i="16"/>
  <c r="E33" i="16"/>
  <c r="D33" i="16"/>
  <c r="C33" i="16"/>
  <c r="B33" i="16"/>
  <c r="G32" i="16"/>
  <c r="F32" i="16"/>
  <c r="E32" i="16"/>
  <c r="D32" i="16"/>
  <c r="C32" i="16"/>
  <c r="G31" i="16"/>
  <c r="F31" i="16"/>
  <c r="E31" i="16"/>
  <c r="D31" i="16"/>
  <c r="C31" i="16"/>
  <c r="G30" i="16"/>
  <c r="F30" i="16"/>
  <c r="E30" i="16"/>
  <c r="D30" i="16"/>
  <c r="C30" i="16"/>
  <c r="G29" i="16"/>
  <c r="F29" i="16"/>
  <c r="E29" i="16"/>
  <c r="D29" i="16"/>
  <c r="C29" i="16"/>
  <c r="G28" i="16"/>
  <c r="F28" i="16"/>
  <c r="E28" i="16"/>
  <c r="D28" i="16"/>
  <c r="C28" i="16"/>
  <c r="G27" i="16"/>
  <c r="F27" i="16"/>
  <c r="E27" i="16"/>
  <c r="D27" i="16"/>
  <c r="C27" i="16"/>
  <c r="B27" i="16"/>
  <c r="G26" i="16"/>
  <c r="F26" i="16"/>
  <c r="E26" i="16"/>
  <c r="D26" i="16"/>
  <c r="C26" i="16"/>
  <c r="G25" i="16"/>
  <c r="F25" i="16"/>
  <c r="E25" i="16"/>
  <c r="D25" i="16"/>
  <c r="C25" i="16"/>
  <c r="AK26" i="8" l="1"/>
  <c r="AJ26" i="8"/>
  <c r="AI26" i="8"/>
  <c r="AH26" i="8"/>
  <c r="AG26" i="8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C36" i="5"/>
  <c r="B36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B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B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AK25" i="2" l="1"/>
  <c r="AJ25" i="2"/>
  <c r="AI25" i="2"/>
  <c r="AH25" i="2"/>
  <c r="AG25" i="2"/>
  <c r="B41" i="19" l="1"/>
  <c r="B39" i="18"/>
  <c r="AF26" i="8" l="1"/>
  <c r="AE26" i="8"/>
  <c r="AD26" i="8"/>
  <c r="AC26" i="8"/>
  <c r="AB26" i="8"/>
  <c r="AA26" i="8"/>
  <c r="Z26" i="8"/>
  <c r="AF25" i="2" l="1"/>
  <c r="AE25" i="2"/>
  <c r="AD25" i="2"/>
  <c r="AC25" i="2"/>
  <c r="AB25" i="2"/>
  <c r="AA25" i="2"/>
  <c r="Z25" i="2"/>
  <c r="B25" i="2" l="1"/>
  <c r="C25" i="2"/>
  <c r="D25" i="2"/>
  <c r="E25" i="2"/>
  <c r="F25" i="2"/>
  <c r="G25" i="2"/>
  <c r="H25" i="2"/>
  <c r="T25" i="2" l="1"/>
  <c r="Y26" i="8" l="1"/>
  <c r="X26" i="8"/>
  <c r="W26" i="8"/>
  <c r="V26" i="8"/>
  <c r="U26" i="8"/>
  <c r="T26" i="8"/>
  <c r="S26" i="8"/>
  <c r="R26" i="8"/>
  <c r="Q26" i="8"/>
  <c r="P26" i="8"/>
  <c r="O26" i="8"/>
  <c r="N26" i="8"/>
  <c r="Y25" i="2" l="1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  <c r="M25" i="2" l="1"/>
  <c r="L25" i="2"/>
  <c r="K25" i="2"/>
  <c r="J25" i="2"/>
  <c r="I25" i="2"/>
</calcChain>
</file>

<file path=xl/sharedStrings.xml><?xml version="1.0" encoding="utf-8"?>
<sst xmlns="http://schemas.openxmlformats.org/spreadsheetml/2006/main" count="241" uniqueCount="104">
  <si>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</si>
  <si>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</si>
  <si>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</si>
  <si>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</si>
  <si>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</si>
  <si>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</si>
  <si>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</si>
  <si>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</si>
  <si>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</si>
  <si>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</si>
  <si>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</si>
  <si>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</si>
  <si>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</si>
  <si>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</si>
  <si>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</si>
  <si>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</si>
  <si>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</si>
  <si>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</si>
  <si>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</si>
  <si>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</si>
  <si>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</si>
  <si>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</si>
  <si>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</si>
  <si>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</si>
  <si>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</si>
  <si>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</si>
  <si>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</si>
  <si>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</si>
  <si>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</si>
  <si>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</si>
  <si>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</si>
  <si>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</si>
  <si>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</si>
  <si>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</si>
  <si>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</si>
  <si>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</si>
  <si>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</si>
  <si>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</si>
  <si>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</si>
  <si>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</si>
  <si>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</si>
  <si>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</si>
  <si>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</si>
  <si>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</si>
  <si>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</si>
  <si>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</si>
  <si>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</si>
  <si>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</si>
  <si>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</si>
  <si>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</si>
  <si>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</si>
  <si>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</si>
  <si>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</si>
  <si>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</si>
  <si>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</si>
  <si>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</si>
  <si>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</si>
  <si>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</si>
  <si>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</si>
  <si>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</si>
  <si>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</si>
  <si>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</si>
  <si>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</si>
  <si>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</si>
  <si>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</si>
  <si>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</si>
  <si>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</si>
  <si>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</si>
  <si>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</si>
  <si>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</si>
  <si>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</si>
  <si>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</si>
  <si>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</si>
  <si>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</si>
  <si>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</si>
  <si>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Japonia</t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</si>
  <si>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2019-2021 (%)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</si>
  <si>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 (milioane dolari SUA)</t>
    </r>
  </si>
  <si>
    <t>Liban</t>
  </si>
  <si>
    <t>Federația Rusă</t>
  </si>
  <si>
    <t>Elveția</t>
  </si>
  <si>
    <t>Franța</t>
  </si>
  <si>
    <t>Cehia</t>
  </si>
  <si>
    <t>Serbia</t>
  </si>
  <si>
    <t>EXPORT</t>
  </si>
  <si>
    <r>
      <rPr>
        <b/>
        <sz val="9"/>
        <color theme="1"/>
        <rFont val="Arial"/>
        <family val="2"/>
        <charset val="204"/>
      </rPr>
      <t xml:space="preserve">Figura 3. </t>
    </r>
    <r>
      <rPr>
        <b/>
        <i/>
        <sz val="9"/>
        <color theme="1"/>
        <rFont val="Arial"/>
        <family val="2"/>
        <charset val="204"/>
      </rPr>
      <t>Evoluția indicilor valorici ai exporturilor de mărfuri în anii 2000-2020 
(în % față de anul precedent)</t>
    </r>
  </si>
  <si>
    <t>IMPORT</t>
  </si>
  <si>
    <t>Figura 16. Tendinţele comerţului internaţional cu mărfuri, în anii 2016-2021 (milioane dolari SUA)</t>
  </si>
  <si>
    <r>
      <t xml:space="preserve">Figura 15.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</si>
  <si>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14.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</si>
  <si>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r>
      <t xml:space="preserve">Figura 9.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</si>
  <si>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8.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</si>
  <si>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rPr>
        <b/>
        <sz val="9"/>
        <color theme="1"/>
        <rFont val="Arial"/>
        <family val="2"/>
        <charset val="204"/>
      </rPr>
      <t xml:space="preserve">Figura 7.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</si>
  <si>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rPr>
        <b/>
        <sz val="9"/>
        <color rgb="FF000000"/>
        <rFont val="Arial"/>
        <family val="2"/>
        <charset val="204"/>
      </rPr>
      <t xml:space="preserve">Figura 6. </t>
    </r>
    <r>
      <rPr>
        <b/>
        <i/>
        <sz val="9"/>
        <color indexed="8"/>
        <rFont val="Arial"/>
        <family val="2"/>
        <charset val="204"/>
      </rPr>
      <t>Structura exporturilor, în anii 2016-2021, pe principalele ţări de destinaţie a mărfurilor (%)</t>
    </r>
  </si>
  <si>
    <r>
      <rPr>
        <b/>
        <sz val="9"/>
        <color rgb="FF000000"/>
        <rFont val="Arial"/>
        <family val="2"/>
        <charset val="204"/>
      </rPr>
      <t xml:space="preserve">Figura 5. </t>
    </r>
    <r>
      <rPr>
        <b/>
        <i/>
        <sz val="9"/>
        <color indexed="8"/>
        <rFont val="Arial"/>
        <family val="2"/>
        <charset val="204"/>
      </rPr>
      <t>Structura exporturilor de mărfuri, în anii 2016-2021, pe grupe de ţări (%)</t>
    </r>
  </si>
  <si>
    <r>
      <rPr>
        <b/>
        <sz val="9"/>
        <color rgb="FF000000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anii 2016-2021, după modul de transport (%)</t>
    </r>
  </si>
  <si>
    <t>S.U.A.</t>
  </si>
  <si>
    <t>Anul 2020</t>
  </si>
  <si>
    <t>Anul 2021</t>
  </si>
  <si>
    <r>
      <t>Figura 10.</t>
    </r>
    <r>
      <rPr>
        <b/>
        <i/>
        <sz val="9"/>
        <color theme="1"/>
        <rFont val="Arial"/>
        <family val="2"/>
        <charset val="204"/>
      </rPr>
      <t xml:space="preserve"> Evoluția indicilor valorici ai importurilor de mărfuri în anii 2000-2020</t>
    </r>
    <r>
      <rPr>
        <b/>
        <sz val="9"/>
        <color theme="1"/>
        <rFont val="Arial"/>
        <family val="2"/>
        <charset val="204"/>
      </rPr>
      <t xml:space="preserve">
</t>
    </r>
    <r>
      <rPr>
        <b/>
        <i/>
        <sz val="9"/>
        <color theme="1"/>
        <rFont val="Arial"/>
        <family val="2"/>
        <charset val="204"/>
      </rPr>
      <t>(în % față de anul precedent)</t>
    </r>
  </si>
  <si>
    <r>
      <t>Figura 11.</t>
    </r>
    <r>
      <rPr>
        <b/>
        <i/>
        <sz val="9"/>
        <color indexed="8"/>
        <rFont val="Arial"/>
        <family val="2"/>
        <charset val="204"/>
      </rPr>
      <t xml:space="preserve"> Structura importurilor de mărfuri, în anii 2016-2021, după modul de transport (%)</t>
    </r>
  </si>
  <si>
    <r>
      <t xml:space="preserve">    Figura 12. </t>
    </r>
    <r>
      <rPr>
        <b/>
        <i/>
        <sz val="9"/>
        <color theme="1"/>
        <rFont val="Arial"/>
        <family val="2"/>
        <charset val="204"/>
      </rPr>
      <t>Structura importurilor de mărfuri, în anii 2016-2021, pe grupe de ţări (%)</t>
    </r>
  </si>
  <si>
    <r>
      <t>Figura 13.</t>
    </r>
    <r>
      <rPr>
        <b/>
        <i/>
        <sz val="9"/>
        <color indexed="8"/>
        <rFont val="Arial"/>
        <family val="2"/>
        <charset val="204"/>
      </rPr>
      <t xml:space="preserve"> Structura importurilor, în anii 2016-2021, pe principalele ţări de origine a mărfurilor (%)</t>
    </r>
  </si>
  <si>
    <t>Coreea de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</si>
</sst>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left" wrapText="1" indent="1"/>
    </xf>
    <xf numFmtId="38" fontId="4" fillId="0" borderId="13" xfId="0" applyNumberFormat="1" applyFont="1" applyFill="1" applyBorder="1" applyAlignment="1" applyProtection="1">
      <alignment horizontal="left" wrapText="1" indent="1"/>
    </xf>
    <xf numFmtId="38" fontId="4" fillId="0" borderId="8" xfId="0" applyNumberFormat="1" applyFont="1" applyFill="1" applyBorder="1" applyAlignment="1" applyProtection="1">
      <alignment horizontal="left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2" fillId="0" borderId="0" xfId="0" applyFont="1" applyAlignment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165" fontId="4" fillId="0" borderId="11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8" fontId="6" fillId="0" borderId="0" xfId="0" applyNumberFormat="1" applyFont="1" applyFill="1" applyBorder="1" applyAlignment="1" applyProtection="1">
      <alignment horizontal="left" wrapText="1"/>
    </xf>
    <xf numFmtId="38" fontId="6" fillId="0" borderId="3" xfId="0" applyNumberFormat="1" applyFont="1" applyFill="1" applyBorder="1" applyAlignment="1" applyProtection="1">
      <alignment horizontal="left" wrapText="1"/>
    </xf>
    <xf numFmtId="38" fontId="6" fillId="0" borderId="2" xfId="0" applyNumberFormat="1" applyFont="1" applyFill="1" applyBorder="1" applyAlignment="1" applyProtection="1">
      <alignment horizontal="left" wrapText="1"/>
    </xf>
    <xf numFmtId="164" fontId="1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164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Border="1" applyAlignment="1">
      <alignment horizontal="center" vertical="top"/>
    </xf>
    <xf numFmtId="16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top"/>
    </xf>
    <xf numFmtId="164" fontId="19" fillId="0" borderId="0" xfId="0" applyNumberFormat="1" applyFont="1" applyFill="1" applyBorder="1" applyAlignment="1" applyProtection="1">
      <alignment horizontal="center" vertical="top"/>
    </xf>
    <xf numFmtId="165" fontId="19" fillId="0" borderId="0" xfId="1" applyNumberFormat="1" applyFont="1" applyFill="1" applyAlignment="1" applyProtection="1">
      <alignment horizontal="center" vertical="top"/>
    </xf>
    <xf numFmtId="164" fontId="20" fillId="0" borderId="0" xfId="0" applyNumberFormat="1" applyFont="1" applyFill="1" applyBorder="1" applyAlignment="1" applyProtection="1">
      <alignment horizontal="center" vertical="top"/>
    </xf>
    <xf numFmtId="164" fontId="17" fillId="0" borderId="0" xfId="0" applyNumberFormat="1" applyFont="1" applyFill="1" applyBorder="1" applyAlignment="1" applyProtection="1">
      <alignment horizontal="center" vertical="top"/>
    </xf>
    <xf numFmtId="165" fontId="17" fillId="0" borderId="0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Alignment="1" applyProtection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5" fontId="4" fillId="0" borderId="11" xfId="0" applyNumberFormat="1" applyFont="1" applyFill="1" applyBorder="1" applyAlignment="1" applyProtection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4" xfId="0" applyFont="1" applyBorder="1"/>
    <xf numFmtId="0" fontId="3" fillId="0" borderId="7" xfId="0" applyFont="1" applyBorder="1"/>
    <xf numFmtId="0" fontId="2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38" fontId="6" fillId="0" borderId="0" xfId="0" applyNumberFormat="1" applyFont="1" applyFill="1" applyAlignment="1" applyProtection="1">
      <alignment horizontal="left" wrapText="1"/>
    </xf>
    <xf numFmtId="165" fontId="4" fillId="0" borderId="0" xfId="0" applyNumberFormat="1" applyFont="1" applyFill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center" vertical="top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top"/>
    </xf>
    <xf numFmtId="165" fontId="4" fillId="0" borderId="2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top"/>
    </xf>
    <xf numFmtId="165" fontId="4" fillId="0" borderId="4" xfId="0" applyNumberFormat="1" applyFont="1" applyFill="1" applyBorder="1" applyAlignment="1" applyProtection="1">
      <alignment horizontal="center" vertical="top"/>
    </xf>
    <xf numFmtId="165" fontId="4" fillId="0" borderId="5" xfId="0" applyNumberFormat="1" applyFont="1" applyFill="1" applyBorder="1" applyAlignment="1" applyProtection="1">
      <alignment horizontal="center" vertical="top"/>
    </xf>
    <xf numFmtId="165" fontId="4" fillId="0" borderId="6" xfId="0" applyNumberFormat="1" applyFont="1" applyFill="1" applyBorder="1" applyAlignment="1" applyProtection="1">
      <alignment horizontal="center" vertical="top"/>
    </xf>
    <xf numFmtId="165" fontId="4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4" fontId="24" fillId="0" borderId="12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Normal 2" xfId="1"/>
    <cellStyle name="Обычный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1'!$B$21:$B$26</c:f>
              <c:numCache>
                <c:formatCode>#\ ##0.0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1'!$C$21:$C$26</c:f>
              <c:numCache>
                <c:formatCode>#\ ##0.0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1'!$D$21:$D$26</c:f>
              <c:numCache>
                <c:formatCode>#\ ##0.0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1'!$E$21:$E$26</c:f>
              <c:numCache>
                <c:formatCode>#\ ##0.0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1'!$F$21:$F$26</c:f>
              <c:numCache>
                <c:formatCode>#\ ##0.0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  <c:pt idx="5">
                  <c:v>201.7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1'!$G$21:$G$26</c:f>
              <c:numCache>
                <c:formatCode>#\ ##0.0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  <c:pt idx="5">
                  <c:v>226.8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1'!$H$21:$H$26</c:f>
              <c:numCache>
                <c:formatCode>#\ ##0.0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  <c:pt idx="5">
                  <c:v>240.7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1'!$I$21:$I$26</c:f>
              <c:numCache>
                <c:formatCode>#\ ##0.0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  <c:pt idx="5">
                  <c:v>236.2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1'!$J$21:$J$26</c:f>
              <c:numCache>
                <c:formatCode>#\ ##0.0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  <c:pt idx="5">
                  <c:v>294.89999999999998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1'!$K$21:$K$26</c:f>
              <c:numCache>
                <c:formatCode>#\ ##0.0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  <c:pt idx="5">
                  <c:v>352.2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1'!$L$21:$L$26</c:f>
              <c:numCache>
                <c:formatCode>#\ ##0.0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  <c:pt idx="5">
                  <c:v>363.9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1'!$M$21:$M$26</c:f>
              <c:numCache>
                <c:formatCode>#\ ##0.0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  <c:pt idx="5">
                  <c:v>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2368256"/>
        <c:axId val="182368816"/>
      </c:barChart>
      <c:catAx>
        <c:axId val="1823682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368816"/>
        <c:crosses val="autoZero"/>
        <c:auto val="0"/>
        <c:lblAlgn val="ctr"/>
        <c:lblOffset val="100"/>
        <c:tickLblSkip val="1"/>
        <c:noMultiLvlLbl val="0"/>
      </c:catAx>
      <c:valAx>
        <c:axId val="182368816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36825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1788587900085994"/>
          <c:h val="0.67606110380261897"/>
        </c:manualLayout>
      </c:layout>
      <c:lineChart>
        <c:grouping val="standard"/>
        <c:varyColors val="0"/>
        <c:ser>
          <c:idx val="0"/>
          <c:order val="0"/>
          <c:tx>
            <c:strRef>
              <c:f>'Figura 9'!$A$25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141692313841478E-2"/>
                  <c:y val="-3.4324747261481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394260362124784E-2"/>
                  <c:y val="-3.6512912226665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079946903188826E-2"/>
                  <c:y val="-2.965312820214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794302996389411E-2"/>
                  <c:y val="3.13016551164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209400549069296E-2"/>
                  <c:y val="3.734696649888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55214037331661E-2"/>
                  <c:y val="-3.330071122813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30151751335652E-2"/>
                  <c:y val="-3.1454664381463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24599511268058E-2"/>
                  <c:y val="2.772363897412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130509548375421E-2"/>
                  <c:y val="-3.974073907240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8926016227667E-2"/>
                  <c:y val="3.159806916879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28926016227667E-2"/>
                  <c:y val="-3.080752129958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2918967025673515E-2"/>
                  <c:y val="7.68319773114766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364854938739525E-2"/>
                  <c:y val="-1.135944757693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06305525097554E-2"/>
                  <c:y val="-2.776025236593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488761874308858E-2"/>
                  <c:y val="-1.818326336968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1676459224322974E-2"/>
                  <c:y val="-3.1006897008536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9989474665920567E-2"/>
                  <c:y val="-2.42334219263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4.5779207802070551E-2"/>
                  <c:y val="-3.2330658983084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3.3871990620461784E-2"/>
                  <c:y val="-3.846692664994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4.1176439239511427E-2"/>
                  <c:y val="-2.9234705283290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0917436081911081E-2"/>
                  <c:y val="1.39427208822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8725768416003838E-2"/>
                  <c:y val="3.3899500732755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6887032521949985E-2"/>
                  <c:y val="3.2724773756592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3.2618426773956599E-2"/>
                  <c:y val="-3.0315043427142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4330442197263415E-2"/>
                  <c:y val="2.7168086639012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3645096393407677E-2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4.1902267454351758E-2"/>
                  <c:y val="-3.195575316492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4.1740162697183308E-2"/>
                  <c:y val="-1.723424161885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F22-4E81-B4FB-3673EA265C72}"/>
                </c:ex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</c:extLst>
            </c:dLbl>
            <c:dLbl>
              <c:idx val="35"/>
              <c:layout>
                <c:manualLayout>
                  <c:x val="0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9'!$B$23:$AK$24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9'!$B$25:$AK$25</c:f>
              <c:numCache>
                <c:formatCode>#\ ##0.0</c:formatCode>
                <c:ptCount val="36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130.56565598353049</c:v>
                </c:pt>
                <c:pt idx="26">
                  <c:v>120.83026196604835</c:v>
                </c:pt>
                <c:pt idx="27">
                  <c:v>89.231037795592442</c:v>
                </c:pt>
                <c:pt idx="28">
                  <c:v>100.2114807539604</c:v>
                </c:pt>
                <c:pt idx="29" formatCode="0.0">
                  <c:v>104.66057637383682</c:v>
                </c:pt>
                <c:pt idx="30" formatCode="0.0">
                  <c:v>95.30942428771003</c:v>
                </c:pt>
                <c:pt idx="31">
                  <c:v>102.29866266763055</c:v>
                </c:pt>
                <c:pt idx="32">
                  <c:v>116.75028041134044</c:v>
                </c:pt>
                <c:pt idx="33">
                  <c:v>96.373528322817748</c:v>
                </c:pt>
                <c:pt idx="34">
                  <c:v>108.43907965493625</c:v>
                </c:pt>
                <c:pt idx="35">
                  <c:v>107.49454762149138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9'!$A$26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01978496342781E-2"/>
                  <c:y val="3.217930566250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99805481167644E-2"/>
                  <c:y val="-2.569297134388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31665267729862E-2"/>
                  <c:y val="2.856272303501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720878798779595E-2"/>
                  <c:y val="-2.4597067322420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095287581438106E-2"/>
                  <c:y val="-3.113241759606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283904232783086E-2"/>
                  <c:y val="-3.606878793147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01722690755024E-2"/>
                  <c:y val="4.400109292332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303968983572548E-2"/>
                  <c:y val="4.722157364398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047726792771594E-2"/>
                  <c:y val="4.114600310207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9258297027592425E-2"/>
                  <c:y val="-2.804971145168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7192400442330494E-2"/>
                  <c:y val="1.9150997292530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3188825534739191E-3"/>
                  <c:y val="1.5524585204151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8651425903190925E-3"/>
                  <c:y val="-4.94332530200294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7109742170946517E-2"/>
                  <c:y val="-1.011848282371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3.3168791718294219E-2"/>
                  <c:y val="-2.8108663073267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8012577108064537E-2"/>
                  <c:y val="-3.3084776074914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7DC5-4341-8624-B7AE9C654835}"/>
                </c:ex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</c:extLst>
            </c:dLbl>
            <c:dLbl>
              <c:idx val="21"/>
              <c:layout>
                <c:manualLayout>
                  <c:x val="-2.555164741463167E-2"/>
                  <c:y val="3.0805534166273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3.2187137775290781E-2"/>
                  <c:y val="2.95629134686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2015668092250015E-2"/>
                  <c:y val="-3.0394859948500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0808026597678615E-2"/>
                  <c:y val="3.6698046813548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7DC5-4341-8624-B7AE9C6548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8.3516527439146254E-3"/>
                  <c:y val="-1.8180613858598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3717974339502103E-2"/>
                  <c:y val="-2.643052899144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0452194782176575E-2"/>
                  <c:y val="-7.07618172334136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B4C-4954-B7BA-1B3D8193EA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5.0978134105503572E-2"/>
                  <c:y val="9.6286544623562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F22-4E81-B4FB-3673EA265C72}"/>
                </c:ex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</c:extLst>
            </c:dLbl>
            <c:dLbl>
              <c:idx val="31"/>
              <c:layout>
                <c:manualLayout>
                  <c:x val="-5.0032127238111256E-2"/>
                  <c:y val="-1.0925258948309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2.5940635663121683E-2"/>
                  <c:y val="-2.774965432160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2.4664295046155995E-2"/>
                  <c:y val="2.692963064159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2.904174841166721E-2"/>
                  <c:y val="-3.195575316492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0736159322127933E-4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F22-4E81-B4FB-3673EA265C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9'!$B$23:$AK$24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9'!$B$26:$AK$26</c:f>
              <c:numCache>
                <c:formatCode>#\ ##0.0</c:formatCode>
                <c:ptCount val="36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 formatCode="0.0">
                  <c:v>105.14366410240868</c:v>
                </c:pt>
                <c:pt idx="25" formatCode="0.0">
                  <c:v>107.56077192573727</c:v>
                </c:pt>
                <c:pt idx="26" formatCode="0.0">
                  <c:v>125.88605526903886</c:v>
                </c:pt>
                <c:pt idx="27" formatCode="0.0">
                  <c:v>196.84765533007069</c:v>
                </c:pt>
                <c:pt idx="28" formatCode="0.0">
                  <c:v>171.05720800538208</c:v>
                </c:pt>
                <c:pt idx="29" formatCode="0.0">
                  <c:v>142.58661575531545</c:v>
                </c:pt>
                <c:pt idx="30" formatCode="0.0">
                  <c:v>113.15935751484174</c:v>
                </c:pt>
                <c:pt idx="31">
                  <c:v>132.58252323350189</c:v>
                </c:pt>
                <c:pt idx="32">
                  <c:v>132.04043044659673</c:v>
                </c:pt>
                <c:pt idx="33">
                  <c:v>131.05665742213895</c:v>
                </c:pt>
                <c:pt idx="34">
                  <c:v>134.15133450516365</c:v>
                </c:pt>
                <c:pt idx="35">
                  <c:v>132.91523444121219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666224"/>
        <c:axId val="185666784"/>
      </c:lineChart>
      <c:catAx>
        <c:axId val="18566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666784"/>
        <c:crossesAt val="50"/>
        <c:auto val="1"/>
        <c:lblAlgn val="ctr"/>
        <c:lblOffset val="100"/>
        <c:noMultiLvlLbl val="0"/>
      </c:catAx>
      <c:valAx>
        <c:axId val="185666784"/>
        <c:scaling>
          <c:orientation val="minMax"/>
          <c:min val="50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66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79905677550202E-2"/>
          <c:y val="6.4814814814814811E-2"/>
          <c:w val="0.934366975746732"/>
          <c:h val="0.84138123359580053"/>
        </c:manualLayout>
      </c:layout>
      <c:lineChart>
        <c:grouping val="standard"/>
        <c:varyColors val="0"/>
        <c:ser>
          <c:idx val="0"/>
          <c:order val="0"/>
          <c:tx>
            <c:strRef>
              <c:f>'Figura 10'!$B$22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46317631781122E-2"/>
                  <c:y val="-4.443277923592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942193257199493E-2"/>
                  <c:y val="3.8900554097404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900227135976026E-2"/>
                  <c:y val="-3.9803149606299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723667848117078E-2"/>
                  <c:y val="-4.4432779235928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984159378422946E-2"/>
                  <c:y val="3.427092446777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723667848117078E-2"/>
                  <c:y val="-3.9803149606299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984159378422946E-2"/>
                  <c:y val="3.427092446777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202684787505341E-2"/>
                  <c:y val="-4.4432779235928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890746814816172E-3"/>
                  <c:y val="-1.2025371828521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8332346927021385E-2"/>
                  <c:y val="3.427092446777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6555803363223203E-2"/>
                  <c:y val="-1.202537182852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63176317811209E-2"/>
                  <c:y val="-3.5173519976669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2639735605670075E-2"/>
                  <c:y val="3.4270924467774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0463176317811209E-2"/>
                  <c:y val="-4.4432779235928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702988927549198E-2"/>
                  <c:y val="3.427092446777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8332346927021447E-2"/>
                  <c:y val="4.35301837270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9597769484446802E-2"/>
                  <c:y val="-3.0543890347039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5681701726893611E-2"/>
                  <c:y val="-3.9803149606299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8802301851995135E-2"/>
                  <c:y val="-3.054389034703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5675696076354272E-2"/>
                  <c:y val="3.427092446777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67-4EDE-BBFE-396520A7E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7931364657630225E-2"/>
                  <c:y val="4.35301837270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0975360969114547E-2"/>
                  <c:y val="-4.4432779235928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10'!$A$23:$A$44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'Figura 10'!$B$23:$B$44</c:f>
              <c:numCache>
                <c:formatCode>General</c:formatCode>
                <c:ptCount val="22"/>
                <c:pt idx="0">
                  <c:v>132.4</c:v>
                </c:pt>
                <c:pt idx="1">
                  <c:v>114.9</c:v>
                </c:pt>
                <c:pt idx="2">
                  <c:v>116.3</c:v>
                </c:pt>
                <c:pt idx="3">
                  <c:v>135.1</c:v>
                </c:pt>
                <c:pt idx="4">
                  <c:v>126.1</c:v>
                </c:pt>
                <c:pt idx="5">
                  <c:v>129.6</c:v>
                </c:pt>
                <c:pt idx="6">
                  <c:v>117.5</c:v>
                </c:pt>
                <c:pt idx="7" formatCode="0.0">
                  <c:v>137</c:v>
                </c:pt>
                <c:pt idx="8">
                  <c:v>132.80000000000001</c:v>
                </c:pt>
                <c:pt idx="9">
                  <c:v>66.900000000000006</c:v>
                </c:pt>
                <c:pt idx="10">
                  <c:v>117.6</c:v>
                </c:pt>
                <c:pt idx="11">
                  <c:v>134.69999999999999</c:v>
                </c:pt>
                <c:pt idx="12">
                  <c:v>100.4</c:v>
                </c:pt>
                <c:pt idx="13">
                  <c:v>105.4</c:v>
                </c:pt>
                <c:pt idx="14">
                  <c:v>96.8</c:v>
                </c:pt>
                <c:pt idx="15" formatCode="0.0">
                  <c:v>75</c:v>
                </c:pt>
                <c:pt idx="16">
                  <c:v>100.8</c:v>
                </c:pt>
                <c:pt idx="17">
                  <c:v>120.2</c:v>
                </c:pt>
                <c:pt idx="18" formatCode="#\ ##0.0">
                  <c:v>119.22287948887191</c:v>
                </c:pt>
                <c:pt idx="19">
                  <c:v>101.4</c:v>
                </c:pt>
                <c:pt idx="20">
                  <c:v>92.7</c:v>
                </c:pt>
                <c:pt idx="21">
                  <c:v>132.5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67-4EDE-BBFE-396520A7E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86736"/>
        <c:axId val="184587296"/>
      </c:lineChart>
      <c:catAx>
        <c:axId val="18458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587296"/>
        <c:crosses val="autoZero"/>
        <c:auto val="1"/>
        <c:lblAlgn val="ctr"/>
        <c:lblOffset val="100"/>
        <c:noMultiLvlLbl val="0"/>
      </c:catAx>
      <c:valAx>
        <c:axId val="184587296"/>
        <c:scaling>
          <c:orientation val="minMax"/>
          <c:max val="170"/>
          <c:min val="5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5867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11'!$B$25:$B$31</c:f>
              <c:numCache>
                <c:formatCode>0.0</c:formatCode>
                <c:ptCount val="7"/>
                <c:pt idx="0">
                  <c:v>3.2</c:v>
                </c:pt>
                <c:pt idx="1">
                  <c:v>4.4000000000000004</c:v>
                </c:pt>
                <c:pt idx="2">
                  <c:v>83.8</c:v>
                </c:pt>
                <c:pt idx="3">
                  <c:v>2.5</c:v>
                </c:pt>
                <c:pt idx="4">
                  <c:v>0.2</c:v>
                </c:pt>
                <c:pt idx="5">
                  <c:v>5.3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11'!$C$25:$C$31</c:f>
              <c:numCache>
                <c:formatCode>0.0</c:formatCode>
                <c:ptCount val="7"/>
                <c:pt idx="0">
                  <c:v>1.5</c:v>
                </c:pt>
                <c:pt idx="1">
                  <c:v>4.5999999999999996</c:v>
                </c:pt>
                <c:pt idx="2">
                  <c:v>87.6</c:v>
                </c:pt>
                <c:pt idx="3">
                  <c:v>2.4</c:v>
                </c:pt>
                <c:pt idx="4">
                  <c:v>0.2</c:v>
                </c:pt>
                <c:pt idx="5">
                  <c:v>3.1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11'!$D$25:$D$31</c:f>
              <c:numCache>
                <c:formatCode>0.0</c:formatCode>
                <c:ptCount val="7"/>
                <c:pt idx="0">
                  <c:v>2.1</c:v>
                </c:pt>
                <c:pt idx="1">
                  <c:v>4.5999999999999996</c:v>
                </c:pt>
                <c:pt idx="2">
                  <c:v>84.6</c:v>
                </c:pt>
                <c:pt idx="3">
                  <c:v>2.8</c:v>
                </c:pt>
                <c:pt idx="4">
                  <c:v>0.2</c:v>
                </c:pt>
                <c:pt idx="5">
                  <c:v>4.9000000000000004</c:v>
                </c:pt>
                <c:pt idx="6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11'!$E$25:$E$31</c:f>
              <c:numCache>
                <c:formatCode>0.0</c:formatCode>
                <c:ptCount val="7"/>
                <c:pt idx="0">
                  <c:v>2.8</c:v>
                </c:pt>
                <c:pt idx="1">
                  <c:v>5.7</c:v>
                </c:pt>
                <c:pt idx="2">
                  <c:v>82.8</c:v>
                </c:pt>
                <c:pt idx="3">
                  <c:v>2.7</c:v>
                </c:pt>
                <c:pt idx="4">
                  <c:v>0.2</c:v>
                </c:pt>
                <c:pt idx="5">
                  <c:v>5.2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11'!$F$25:$F$31</c:f>
              <c:numCache>
                <c:formatCode>0.0</c:formatCode>
                <c:ptCount val="7"/>
                <c:pt idx="0">
                  <c:v>2.8</c:v>
                </c:pt>
                <c:pt idx="1">
                  <c:v>5.6</c:v>
                </c:pt>
                <c:pt idx="2">
                  <c:v>83.4</c:v>
                </c:pt>
                <c:pt idx="3">
                  <c:v>2.7</c:v>
                </c:pt>
                <c:pt idx="4">
                  <c:v>0.3</c:v>
                </c:pt>
                <c:pt idx="5">
                  <c:v>4.5999999999999996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11'!$G$25:$G$31</c:f>
              <c:numCache>
                <c:formatCode>0.0</c:formatCode>
                <c:ptCount val="7"/>
                <c:pt idx="0">
                  <c:v>2.6</c:v>
                </c:pt>
                <c:pt idx="1">
                  <c:v>5.7</c:v>
                </c:pt>
                <c:pt idx="2">
                  <c:v>83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591776"/>
        <c:axId val="184592336"/>
      </c:barChart>
      <c:catAx>
        <c:axId val="18459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592336"/>
        <c:crossesAt val="0"/>
        <c:auto val="1"/>
        <c:lblAlgn val="ctr"/>
        <c:lblOffset val="100"/>
        <c:noMultiLvlLbl val="0"/>
      </c:catAx>
      <c:valAx>
        <c:axId val="1845923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591776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12'!$A$23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12'!$B$22:$G$22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12'!$B$23:$G$23</c:f>
              <c:numCache>
                <c:formatCode>0.0</c:formatCode>
                <c:ptCount val="6"/>
                <c:pt idx="0">
                  <c:v>47.5</c:v>
                </c:pt>
                <c:pt idx="1">
                  <c:v>48.3</c:v>
                </c:pt>
                <c:pt idx="2">
                  <c:v>48.4</c:v>
                </c:pt>
                <c:pt idx="3">
                  <c:v>48.5</c:v>
                </c:pt>
                <c:pt idx="4">
                  <c:v>45.6</c:v>
                </c:pt>
                <c:pt idx="5">
                  <c:v>43.9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12'!$A$24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12'!$B$22:$G$22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12'!$B$24:$G$24</c:f>
              <c:numCache>
                <c:formatCode>0.0</c:formatCode>
                <c:ptCount val="6"/>
                <c:pt idx="0">
                  <c:v>25.6</c:v>
                </c:pt>
                <c:pt idx="1">
                  <c:v>24.9</c:v>
                </c:pt>
                <c:pt idx="2">
                  <c:v>25.2</c:v>
                </c:pt>
                <c:pt idx="3">
                  <c:v>24.2</c:v>
                </c:pt>
                <c:pt idx="4">
                  <c:v>24.3</c:v>
                </c:pt>
                <c:pt idx="5">
                  <c:v>26.5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12'!$A$25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12'!$B$22:$G$22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12'!$B$25:$G$25</c:f>
              <c:numCache>
                <c:formatCode>0.0</c:formatCode>
                <c:ptCount val="6"/>
                <c:pt idx="0">
                  <c:v>26.9</c:v>
                </c:pt>
                <c:pt idx="1">
                  <c:v>26.8</c:v>
                </c:pt>
                <c:pt idx="2">
                  <c:v>26.4</c:v>
                </c:pt>
                <c:pt idx="3">
                  <c:v>27.3</c:v>
                </c:pt>
                <c:pt idx="4">
                  <c:v>30.1</c:v>
                </c:pt>
                <c:pt idx="5">
                  <c:v>29.6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112160"/>
        <c:axId val="186112720"/>
      </c:barChart>
      <c:catAx>
        <c:axId val="1861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6112720"/>
        <c:crosses val="autoZero"/>
        <c:auto val="0"/>
        <c:lblAlgn val="ctr"/>
        <c:lblOffset val="100"/>
        <c:noMultiLvlLbl val="0"/>
      </c:catAx>
      <c:valAx>
        <c:axId val="186112720"/>
        <c:scaling>
          <c:orientation val="minMax"/>
          <c:max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611216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48720216682179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13'!$B$24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13'!$A$25:$A$44</c:f>
              <c:strCache>
                <c:ptCount val="20"/>
                <c:pt idx="0">
                  <c:v>Federația Rusă</c:v>
                </c:pt>
                <c:pt idx="1">
                  <c:v>China</c:v>
                </c:pt>
                <c:pt idx="2">
                  <c:v>România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Cehia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13'!$B$25:$B$44</c:f>
              <c:numCache>
                <c:formatCode>#\ ##0.0</c:formatCode>
                <c:ptCount val="20"/>
                <c:pt idx="0">
                  <c:v>13.31227758872644</c:v>
                </c:pt>
                <c:pt idx="1">
                  <c:v>9.7923835357430171</c:v>
                </c:pt>
                <c:pt idx="2">
                  <c:v>13.717658142442858</c:v>
                </c:pt>
                <c:pt idx="3">
                  <c:v>9.5487146288534603</c:v>
                </c:pt>
                <c:pt idx="4">
                  <c:v>7.8709703224693017</c:v>
                </c:pt>
                <c:pt idx="5">
                  <c:v>6.7652167204654958</c:v>
                </c:pt>
                <c:pt idx="6">
                  <c:v>6.9837280833905764</c:v>
                </c:pt>
                <c:pt idx="7">
                  <c:v>3.2883945276871516</c:v>
                </c:pt>
                <c:pt idx="8">
                  <c:v>2.2375627993230007</c:v>
                </c:pt>
                <c:pt idx="9">
                  <c:v>2.5193892435872236</c:v>
                </c:pt>
                <c:pt idx="10">
                  <c:v>1.9922545703374501</c:v>
                </c:pt>
                <c:pt idx="11">
                  <c:v>1.3965904354825029</c:v>
                </c:pt>
                <c:pt idx="12">
                  <c:v>1.3255601449466001</c:v>
                </c:pt>
                <c:pt idx="13">
                  <c:v>1.2425042416433143</c:v>
                </c:pt>
                <c:pt idx="14">
                  <c:v>1.834117721504724</c:v>
                </c:pt>
                <c:pt idx="15">
                  <c:v>1.4332580675930191</c:v>
                </c:pt>
                <c:pt idx="16">
                  <c:v>1.0799272176786201</c:v>
                </c:pt>
                <c:pt idx="17">
                  <c:v>0.69965569507025926</c:v>
                </c:pt>
                <c:pt idx="18">
                  <c:v>1.5420950968024598</c:v>
                </c:pt>
                <c:pt idx="19">
                  <c:v>0.53270432992878192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13'!$C$24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13'!$A$25:$A$44</c:f>
              <c:strCache>
                <c:ptCount val="20"/>
                <c:pt idx="0">
                  <c:v>Federația Rusă</c:v>
                </c:pt>
                <c:pt idx="1">
                  <c:v>China</c:v>
                </c:pt>
                <c:pt idx="2">
                  <c:v>România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Cehia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13'!$C$25:$C$44</c:f>
              <c:numCache>
                <c:formatCode>#\ ##0.0</c:formatCode>
                <c:ptCount val="20"/>
                <c:pt idx="0">
                  <c:v>11.833255169265369</c:v>
                </c:pt>
                <c:pt idx="1">
                  <c:v>10.46046132818916</c:v>
                </c:pt>
                <c:pt idx="2">
                  <c:v>14.375388341247744</c:v>
                </c:pt>
                <c:pt idx="3">
                  <c:v>10.57877611212097</c:v>
                </c:pt>
                <c:pt idx="4">
                  <c:v>8.0847237312722182</c:v>
                </c:pt>
                <c:pt idx="5">
                  <c:v>6.2994336202909835</c:v>
                </c:pt>
                <c:pt idx="6">
                  <c:v>6.8566233738736351</c:v>
                </c:pt>
                <c:pt idx="7">
                  <c:v>3.4299787064077707</c:v>
                </c:pt>
                <c:pt idx="8">
                  <c:v>2.3322067284606227</c:v>
                </c:pt>
                <c:pt idx="9">
                  <c:v>2.3718381941913709</c:v>
                </c:pt>
                <c:pt idx="10">
                  <c:v>2.0623316991786731</c:v>
                </c:pt>
                <c:pt idx="11">
                  <c:v>1.4119306880615599</c:v>
                </c:pt>
                <c:pt idx="12">
                  <c:v>1.4534745294492268</c:v>
                </c:pt>
                <c:pt idx="13">
                  <c:v>1.257228430806391</c:v>
                </c:pt>
                <c:pt idx="14">
                  <c:v>1.6620184663556543</c:v>
                </c:pt>
                <c:pt idx="15">
                  <c:v>1.5342646900422807</c:v>
                </c:pt>
                <c:pt idx="16">
                  <c:v>0.98848750331422075</c:v>
                </c:pt>
                <c:pt idx="17">
                  <c:v>0.77652163499424787</c:v>
                </c:pt>
                <c:pt idx="18">
                  <c:v>1.1823138605611445</c:v>
                </c:pt>
                <c:pt idx="19">
                  <c:v>0.53938683537724796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13'!$D$24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13'!$A$25:$A$44</c:f>
              <c:strCache>
                <c:ptCount val="20"/>
                <c:pt idx="0">
                  <c:v>Federația Rusă</c:v>
                </c:pt>
                <c:pt idx="1">
                  <c:v>China</c:v>
                </c:pt>
                <c:pt idx="2">
                  <c:v>România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Cehia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13'!$D$25:$D$44</c:f>
              <c:numCache>
                <c:formatCode>#\ ##0.0</c:formatCode>
                <c:ptCount val="20"/>
                <c:pt idx="0">
                  <c:v>12.511275866267221</c:v>
                </c:pt>
                <c:pt idx="1">
                  <c:v>10.421492010800124</c:v>
                </c:pt>
                <c:pt idx="2">
                  <c:v>14.551671273759718</c:v>
                </c:pt>
                <c:pt idx="3">
                  <c:v>10.018750887854313</c:v>
                </c:pt>
                <c:pt idx="4">
                  <c:v>8.3874807850394504</c:v>
                </c:pt>
                <c:pt idx="5">
                  <c:v>5.9096763228032891</c:v>
                </c:pt>
                <c:pt idx="6">
                  <c:v>6.7618702598486777</c:v>
                </c:pt>
                <c:pt idx="7">
                  <c:v>3.5194988905636202</c:v>
                </c:pt>
                <c:pt idx="8">
                  <c:v>2.2981621694920644</c:v>
                </c:pt>
                <c:pt idx="9">
                  <c:v>2.2251480353841</c:v>
                </c:pt>
                <c:pt idx="10">
                  <c:v>1.9223756875545075</c:v>
                </c:pt>
                <c:pt idx="11">
                  <c:v>1.5096229616873711</c:v>
                </c:pt>
                <c:pt idx="12">
                  <c:v>1.2649646490190993</c:v>
                </c:pt>
                <c:pt idx="13">
                  <c:v>1.3171068936764854</c:v>
                </c:pt>
                <c:pt idx="14">
                  <c:v>1.7992710912446288</c:v>
                </c:pt>
                <c:pt idx="15">
                  <c:v>1.1209628773979803</c:v>
                </c:pt>
                <c:pt idx="16">
                  <c:v>1.0532602543963254</c:v>
                </c:pt>
                <c:pt idx="17">
                  <c:v>0.92115255698175924</c:v>
                </c:pt>
                <c:pt idx="18">
                  <c:v>1.0405745616416346</c:v>
                </c:pt>
                <c:pt idx="19">
                  <c:v>0.66846272837719922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13'!$E$24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13'!$A$25:$A$44</c:f>
              <c:strCache>
                <c:ptCount val="20"/>
                <c:pt idx="0">
                  <c:v>Federația Rusă</c:v>
                </c:pt>
                <c:pt idx="1">
                  <c:v>China</c:v>
                </c:pt>
                <c:pt idx="2">
                  <c:v>România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Cehia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13'!$E$25:$E$44</c:f>
              <c:numCache>
                <c:formatCode>#\ ##0.0</c:formatCode>
                <c:ptCount val="20"/>
                <c:pt idx="0">
                  <c:v>11.853072987161932</c:v>
                </c:pt>
                <c:pt idx="1">
                  <c:v>10.30884892762276</c:v>
                </c:pt>
                <c:pt idx="2">
                  <c:v>14.397778916405199</c:v>
                </c:pt>
                <c:pt idx="3">
                  <c:v>9.7379975115085369</c:v>
                </c:pt>
                <c:pt idx="4">
                  <c:v>8.286118596880522</c:v>
                </c:pt>
                <c:pt idx="5">
                  <c:v>6.8557929622745304</c:v>
                </c:pt>
                <c:pt idx="6">
                  <c:v>6.9564698169805093</c:v>
                </c:pt>
                <c:pt idx="7">
                  <c:v>3.4510097731284981</c:v>
                </c:pt>
                <c:pt idx="8">
                  <c:v>2.516293327968639</c:v>
                </c:pt>
                <c:pt idx="9">
                  <c:v>2.2418543125180839</c:v>
                </c:pt>
                <c:pt idx="10">
                  <c:v>1.86375894665603</c:v>
                </c:pt>
                <c:pt idx="11">
                  <c:v>1.9329331953993025</c:v>
                </c:pt>
                <c:pt idx="12">
                  <c:v>1.27222663933652</c:v>
                </c:pt>
                <c:pt idx="13">
                  <c:v>1.3858157186395066</c:v>
                </c:pt>
                <c:pt idx="14">
                  <c:v>1.5772202862790119</c:v>
                </c:pt>
                <c:pt idx="15">
                  <c:v>0.96213370786586083</c:v>
                </c:pt>
                <c:pt idx="16">
                  <c:v>0.97767148917947033</c:v>
                </c:pt>
                <c:pt idx="17">
                  <c:v>0.88447339598293118</c:v>
                </c:pt>
                <c:pt idx="18">
                  <c:v>1.0052894945715949</c:v>
                </c:pt>
                <c:pt idx="19">
                  <c:v>0.70268071786402708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13'!$F$24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13'!$A$25:$A$44</c:f>
              <c:strCache>
                <c:ptCount val="20"/>
                <c:pt idx="0">
                  <c:v>Federația Rusă</c:v>
                </c:pt>
                <c:pt idx="1">
                  <c:v>China</c:v>
                </c:pt>
                <c:pt idx="2">
                  <c:v>România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Cehia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13'!$F$25:$F$44</c:f>
              <c:numCache>
                <c:formatCode>#\ ##0.0</c:formatCode>
                <c:ptCount val="20"/>
                <c:pt idx="0">
                  <c:v>11.143380885270689</c:v>
                </c:pt>
                <c:pt idx="1">
                  <c:v>11.924514924775032</c:v>
                </c:pt>
                <c:pt idx="2">
                  <c:v>11.667894199328801</c:v>
                </c:pt>
                <c:pt idx="3">
                  <c:v>9.7381631151297796</c:v>
                </c:pt>
                <c:pt idx="4">
                  <c:v>8.3494080640895625</c:v>
                </c:pt>
                <c:pt idx="5">
                  <c:v>7.1673845431832914</c:v>
                </c:pt>
                <c:pt idx="6">
                  <c:v>6.403750100019991</c:v>
                </c:pt>
                <c:pt idx="7">
                  <c:v>4.0097780675894592</c:v>
                </c:pt>
                <c:pt idx="8">
                  <c:v>2.2403439272273067</c:v>
                </c:pt>
                <c:pt idx="9">
                  <c:v>2.1008771655835914</c:v>
                </c:pt>
                <c:pt idx="10">
                  <c:v>1.8550587555750306</c:v>
                </c:pt>
                <c:pt idx="11">
                  <c:v>1.7743959140075496</c:v>
                </c:pt>
                <c:pt idx="12">
                  <c:v>1.2637041892667309</c:v>
                </c:pt>
                <c:pt idx="13">
                  <c:v>1.445316551204862</c:v>
                </c:pt>
                <c:pt idx="14">
                  <c:v>1.1584994746946478</c:v>
                </c:pt>
                <c:pt idx="15">
                  <c:v>1.1578663038287935</c:v>
                </c:pt>
                <c:pt idx="16">
                  <c:v>1.1019863680983746</c:v>
                </c:pt>
                <c:pt idx="17">
                  <c:v>1.0418703571147743</c:v>
                </c:pt>
                <c:pt idx="18">
                  <c:v>0.9258974883679012</c:v>
                </c:pt>
                <c:pt idx="19">
                  <c:v>0.80096986264355374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13'!$G$24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13'!$A$25:$A$44</c:f>
              <c:strCache>
                <c:ptCount val="20"/>
                <c:pt idx="0">
                  <c:v>Federația Rusă</c:v>
                </c:pt>
                <c:pt idx="1">
                  <c:v>China</c:v>
                </c:pt>
                <c:pt idx="2">
                  <c:v>România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Cehia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13'!$G$25:$G$44</c:f>
              <c:numCache>
                <c:formatCode>#\ ##0.0</c:formatCode>
                <c:ptCount val="20"/>
                <c:pt idx="0">
                  <c:v>14.680640837637688</c:v>
                </c:pt>
                <c:pt idx="1">
                  <c:v>11.656178014875062</c:v>
                </c:pt>
                <c:pt idx="2">
                  <c:v>11.565142918995683</c:v>
                </c:pt>
                <c:pt idx="3">
                  <c:v>9.2971709965480755</c:v>
                </c:pt>
                <c:pt idx="4">
                  <c:v>7.6178990154228448</c:v>
                </c:pt>
                <c:pt idx="5">
                  <c:v>7.5755251680171627</c:v>
                </c:pt>
                <c:pt idx="6">
                  <c:v>6.1932428182646309</c:v>
                </c:pt>
                <c:pt idx="7">
                  <c:v>3.645392771735211</c:v>
                </c:pt>
                <c:pt idx="8">
                  <c:v>2.377945770274482</c:v>
                </c:pt>
                <c:pt idx="9">
                  <c:v>2.0244783848776695</c:v>
                </c:pt>
                <c:pt idx="10">
                  <c:v>1.6943684540335353</c:v>
                </c:pt>
                <c:pt idx="11">
                  <c:v>1.6015845645370348</c:v>
                </c:pt>
                <c:pt idx="12">
                  <c:v>1.4965153209291053</c:v>
                </c:pt>
                <c:pt idx="13">
                  <c:v>1.4030211840161537</c:v>
                </c:pt>
                <c:pt idx="14">
                  <c:v>1.3616950593133024</c:v>
                </c:pt>
                <c:pt idx="15">
                  <c:v>1.0759343566096067</c:v>
                </c:pt>
                <c:pt idx="16">
                  <c:v>1.0703639972705628</c:v>
                </c:pt>
                <c:pt idx="17">
                  <c:v>0.93970982262710445</c:v>
                </c:pt>
                <c:pt idx="18">
                  <c:v>0.90290657450727074</c:v>
                </c:pt>
                <c:pt idx="19">
                  <c:v>0.81436826697234477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249504"/>
        <c:axId val="186250064"/>
      </c:barChart>
      <c:catAx>
        <c:axId val="1862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6250064"/>
        <c:crosses val="autoZero"/>
        <c:auto val="1"/>
        <c:lblAlgn val="ctr"/>
        <c:lblOffset val="100"/>
        <c:noMultiLvlLbl val="0"/>
      </c:catAx>
      <c:valAx>
        <c:axId val="18625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624950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Anul </a:t>
            </a:r>
            <a:r>
              <a:rPr lang="ro-RO" sz="800" b="1" baseline="0">
                <a:solidFill>
                  <a:sysClr val="windowText" lastClr="000000"/>
                </a:solidFill>
              </a:rPr>
              <a:t>2020</a:t>
            </a:r>
            <a:endParaRPr lang="en-US" sz="8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2457946855003775"/>
          <c:y val="2.2734156214310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14'!$B$23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6.9806315194207283E-2"/>
                  <c:y val="2.32623716198271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3185664876002649"/>
                      <c:h val="0.1432189269024298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7.4208756692297562E-3"/>
                  <c:y val="3.1004899606746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2.5368714156631948E-2"/>
                  <c:y val="0.1160258605443550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5408729646499105E-3"/>
                  <c:y val="9.4749998186903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2749512868268632E-2"/>
                  <c:y val="0.108863737677293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8.200495429874545E-2"/>
                  <c:y val="3.06261852418307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2.0487316134663466E-2"/>
                  <c:y val="-2.1441492522088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2.6321586850823961E-2"/>
                  <c:y val="-2.2178725586164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17636197114704921"/>
                      <c:h val="0.281118331762394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647335066723217E-5"/>
                  <c:y val="8.6611991815662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2230196635256658"/>
                      <c:h val="0.21621018656243493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14'!$A$24:$A$32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14'!$B$24:$B$32</c:f>
              <c:numCache>
                <c:formatCode>0.0</c:formatCode>
                <c:ptCount val="9"/>
                <c:pt idx="0">
                  <c:v>12.2</c:v>
                </c:pt>
                <c:pt idx="1">
                  <c:v>2</c:v>
                </c:pt>
                <c:pt idx="2">
                  <c:v>2.5</c:v>
                </c:pt>
                <c:pt idx="3">
                  <c:v>10.9</c:v>
                </c:pt>
                <c:pt idx="4">
                  <c:v>0.2</c:v>
                </c:pt>
                <c:pt idx="5">
                  <c:v>15.1</c:v>
                </c:pt>
                <c:pt idx="6">
                  <c:v>19.7</c:v>
                </c:pt>
                <c:pt idx="7">
                  <c:v>26.2</c:v>
                </c:pt>
                <c:pt idx="8">
                  <c:v>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Anul </a:t>
            </a: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1357830271216106"/>
          <c:y val="2.487317859913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5.6063611517586924E-2"/>
                  <c:y val="1.892637402510251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D3-4FE3-A741-BA04960B805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6796740038"/>
                      <c:h val="0.1455372221947062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9012302665706609E-2"/>
                  <c:y val="4.2942263475994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D3-4FE3-A741-BA04960B805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0047460881549099E-2"/>
                  <c:y val="0.161083798355606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479678535758251"/>
                      <c:h val="0.181441104085630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8.2264034464851581E-3"/>
                  <c:y val="0.10730561913285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9.7563468283278741E-3"/>
                  <c:y val="9.4967115726969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D3-4FE3-A741-BA04960B80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0850811790119085E-2"/>
                  <c:y val="1.98134425102654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173079382776268"/>
                      <c:h val="0.18635425493163613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9.5397146153191024E-3"/>
                  <c:y val="-2.1132872644134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1.6559449749356167E-7"/>
                  <c:y val="9.244021505211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249581377110336"/>
                      <c:h val="0.24788613706328436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8503007920469941E-3"/>
                  <c:y val="7.4672297181065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14'!$A$35:$A$43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14'!$B$35:$B$43</c:f>
              <c:numCache>
                <c:formatCode>0.0</c:formatCode>
                <c:ptCount val="9"/>
                <c:pt idx="0">
                  <c:v>10.7</c:v>
                </c:pt>
                <c:pt idx="1">
                  <c:v>1.8</c:v>
                </c:pt>
                <c:pt idx="2">
                  <c:v>2.6</c:v>
                </c:pt>
                <c:pt idx="3">
                  <c:v>15</c:v>
                </c:pt>
                <c:pt idx="4">
                  <c:v>0.2</c:v>
                </c:pt>
                <c:pt idx="5">
                  <c:v>14.4</c:v>
                </c:pt>
                <c:pt idx="6">
                  <c:v>18.3</c:v>
                </c:pt>
                <c:pt idx="7">
                  <c:v>25.4</c:v>
                </c:pt>
                <c:pt idx="8">
                  <c:v>11.6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15'!$B$22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15'!$B$23:$B$28</c:f>
              <c:numCache>
                <c:formatCode>#\ ##0.0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15'!$C$22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15'!$C$23:$C$28</c:f>
              <c:numCache>
                <c:formatCode>#\ ##0.0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15'!$D$22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15'!$D$23:$D$28</c:f>
              <c:numCache>
                <c:formatCode>#\ ##0.0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15'!$E$22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15'!$E$23:$E$28</c:f>
              <c:numCache>
                <c:formatCode>#\ ##0.0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15'!$F$22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15'!$F$23:$F$28</c:f>
              <c:numCache>
                <c:formatCode>#\ ##0.0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  <c:pt idx="5">
                  <c:v>-361.7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15'!$G$22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15'!$G$23:$G$28</c:f>
              <c:numCache>
                <c:formatCode>#\ ##0.0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  <c:pt idx="5">
                  <c:v>-362.9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15'!$H$22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15'!$H$23:$H$28</c:f>
              <c:numCache>
                <c:formatCode>#\ ##0.0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  <c:pt idx="5">
                  <c:v>-321.3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15'!$I$22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15'!$I$23:$I$28</c:f>
              <c:numCache>
                <c:formatCode>#\ ##0.0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  <c:pt idx="5">
                  <c:v>-338.7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15'!$J$22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15'!$J$23:$J$28</c:f>
              <c:numCache>
                <c:formatCode>#\ ##0.0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  <c:pt idx="5">
                  <c:v>-376.3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15'!$K$22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15'!$K$23:$K$28</c:f>
              <c:numCache>
                <c:formatCode>#\ ##0.0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  <c:pt idx="5">
                  <c:v>-294.7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15'!$L$22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15'!$L$23:$L$28</c:f>
              <c:numCache>
                <c:formatCode>#\ ##0.0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  <c:pt idx="5">
                  <c:v>-337.6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15'!$M$22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15'!$A$23:$A$28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15'!$M$23:$M$28</c:f>
              <c:numCache>
                <c:formatCode>#\ ##0.0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  <c:pt idx="5">
                  <c:v>-429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6693536"/>
        <c:axId val="186694096"/>
      </c:barChart>
      <c:catAx>
        <c:axId val="1866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669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694096"/>
        <c:scaling>
          <c:orientation val="minMax"/>
          <c:min val="-4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66935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16'!$B$24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393205566285346E-2"/>
                  <c:y val="1.2861710043253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16'!$A$25:$A$30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16'!$B$25:$B$30</c:f>
              <c:numCache>
                <c:formatCode>0.0</c:formatCode>
                <c:ptCount val="6"/>
                <c:pt idx="0" formatCode="General">
                  <c:v>2044.5</c:v>
                </c:pt>
                <c:pt idx="1">
                  <c:v>2425</c:v>
                </c:pt>
                <c:pt idx="2" formatCode="General">
                  <c:v>2706.2</c:v>
                </c:pt>
                <c:pt idx="3" formatCode="General">
                  <c:v>2779.2</c:v>
                </c:pt>
                <c:pt idx="4" formatCode="General">
                  <c:v>2467.1</c:v>
                </c:pt>
                <c:pt idx="5" formatCode="General">
                  <c:v>3144.4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16'!$C$24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D2C-4A3E-9B06-2ADBC80101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D2C-4A3E-9B06-2ADBC80101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D2C-4A3E-9B06-2ADBC80101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16'!$A$25:$A$30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16'!$C$25:$C$30</c:f>
              <c:numCache>
                <c:formatCode>#\ ##0.0</c:formatCode>
                <c:ptCount val="6"/>
                <c:pt idx="0">
                  <c:v>4020.3</c:v>
                </c:pt>
                <c:pt idx="1">
                  <c:v>4831.3</c:v>
                </c:pt>
                <c:pt idx="2">
                  <c:v>5760.1</c:v>
                </c:pt>
                <c:pt idx="3">
                  <c:v>5842.5</c:v>
                </c:pt>
                <c:pt idx="4">
                  <c:v>5416</c:v>
                </c:pt>
                <c:pt idx="5">
                  <c:v>7176.6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87140032"/>
        <c:axId val="187140592"/>
      </c:barChart>
      <c:lineChart>
        <c:grouping val="standard"/>
        <c:varyColors val="0"/>
        <c:ser>
          <c:idx val="2"/>
          <c:order val="2"/>
          <c:tx>
            <c:strRef>
              <c:f>'Figura 16'!$D$24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93773269785E-2"/>
                  <c:y val="3.2710116842871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D2C-4A3E-9B06-2ADBC80101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69853639650108E-2"/>
                  <c:y val="-3.290242925241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D2C-4A3E-9B06-2ADBC80101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674860325135174E-2"/>
                  <c:y val="-2.9605645088756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D2C-4A3E-9B06-2ADBC80101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D2C-4A3E-9B06-2ADBC80101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345745375310159E-2"/>
                  <c:y val="-3.4431443733084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882695623595934E-2"/>
                  <c:y val="-3.0144316072640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713-450B-8629-87951D3C5A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16'!$A$25:$A$30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16'!$D$25:$D$30</c:f>
              <c:numCache>
                <c:formatCode>#\ ##0.0</c:formatCode>
                <c:ptCount val="6"/>
                <c:pt idx="0">
                  <c:v>-1975.8</c:v>
                </c:pt>
                <c:pt idx="1">
                  <c:v>-2406.3000000000002</c:v>
                </c:pt>
                <c:pt idx="2">
                  <c:v>-3053.9000000000005</c:v>
                </c:pt>
                <c:pt idx="3">
                  <c:v>-3063.3</c:v>
                </c:pt>
                <c:pt idx="4">
                  <c:v>-2948.9</c:v>
                </c:pt>
                <c:pt idx="5">
                  <c:v>-4032.2000000000003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40032"/>
        <c:axId val="187140592"/>
      </c:lineChart>
      <c:catAx>
        <c:axId val="1871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140592"/>
        <c:crosses val="autoZero"/>
        <c:auto val="1"/>
        <c:lblAlgn val="ctr"/>
        <c:lblOffset val="100"/>
        <c:noMultiLvlLbl val="0"/>
      </c:catAx>
      <c:valAx>
        <c:axId val="187140592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14003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1113525967635E-2"/>
          <c:y val="4.4273352655097381E-2"/>
          <c:w val="0.93781012101994043"/>
          <c:h val="0.7231873436073994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19481181357186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351400249726066E-2"/>
                  <c:y val="2.777244443328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63331511581618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820095303621029E-2"/>
                  <c:y val="3.1395631805422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058987633458432E-2"/>
                  <c:y val="-2.839723028722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65671279254722E-2"/>
                  <c:y val="-3.212169573157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844716540672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678663239074552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2065081670617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782356088984023E-2"/>
                  <c:y val="-2.08473066166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678663239074614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820051413881749E-2"/>
                  <c:y val="3.12942913255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077560968545884E-2"/>
                  <c:y val="-2.84985083594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1755727136049801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4682873378691742E-2"/>
                  <c:y val="-2.829595221500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931759108052014E-2"/>
                  <c:y val="-1.7527668170812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4018498665006183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8209170835765551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4767164285459792E-2"/>
                  <c:y val="-2.864899634024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6777649002737016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5.0997029784991307E-2"/>
                  <c:y val="-1.02812934265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6392477639324209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3.9467805524443011E-2"/>
                  <c:y val="-2.325601299326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7.048182303171076E-3"/>
                  <c:y val="-4.83624191594148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3.5302427271094415E-2"/>
                  <c:y val="2.293477606562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6581449169753525E-2"/>
                  <c:y val="2.689118255985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6.9166636975808993E-3"/>
                  <c:y val="-9.27847399356773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6.9759266517024736E-3"/>
                  <c:y val="5.29666186092935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4.7134832127885577E-3"/>
                  <c:y val="-2.3552105282614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2A9D-446E-B46D-AAA2B51203E9}"/>
                </c:ext>
                <c:ext xmlns:c15="http://schemas.microsoft.com/office/drawing/2012/chart" uri="{CE6537A1-D6FC-4f65-9D91-7224C49458BB}"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</c:extLst>
            </c:dLbl>
            <c:dLbl>
              <c:idx val="35"/>
              <c:layout>
                <c:manualLayout>
                  <c:x val="-1.366848374722501E-3"/>
                  <c:y val="3.044382832427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2'!$B$22:$AK$23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2'!$B$24:$AK$24</c:f>
              <c:numCache>
                <c:formatCode>#\ ##0.0</c:formatCode>
                <c:ptCount val="36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114.41147354263464</c:v>
                </c:pt>
                <c:pt idx="26">
                  <c:v>114.20579997969134</c:v>
                </c:pt>
                <c:pt idx="27">
                  <c:v>84.167356355788357</c:v>
                </c:pt>
                <c:pt idx="28">
                  <c:v>92.421884276527052</c:v>
                </c:pt>
                <c:pt idx="29" formatCode="0.0">
                  <c:v>112.45124175218632</c:v>
                </c:pt>
                <c:pt idx="30" formatCode="0.0">
                  <c:v>106.13290668113962</c:v>
                </c:pt>
                <c:pt idx="31" formatCode="0.0">
                  <c:v>98.134804975011704</c:v>
                </c:pt>
                <c:pt idx="32" formatCode="0.0">
                  <c:v>124.83430055225146</c:v>
                </c:pt>
                <c:pt idx="33" formatCode="0.0">
                  <c:v>119.44752327758337</c:v>
                </c:pt>
                <c:pt idx="34" formatCode="0.0">
                  <c:v>103.2981065772704</c:v>
                </c:pt>
                <c:pt idx="35" formatCode="0.0">
                  <c:v>89.313925126336528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160767525418544E-2"/>
                  <c:y val="2.3845422844510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137604158703479E-2"/>
                  <c:y val="-3.115028210935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919519057547113E-2"/>
                  <c:y val="2.0121110244692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82809673062712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57324716128252E-2"/>
                  <c:y val="2.0323513544586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723543052264099E-2"/>
                  <c:y val="3.1091797588783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169013541551134E-2"/>
                  <c:y val="2.7569888288859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2544987146529565E-3"/>
                  <c:y val="-1.71228266916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021565666193951E-2"/>
                  <c:y val="5.4259370575325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8774703290623373E-2"/>
                  <c:y val="2.38455039383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6752356469580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363063390110309E-2"/>
                  <c:y val="3.491754110534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8106255355612682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7438809246436312E-2"/>
                  <c:y val="-2.386311084585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1816615242648299E-2"/>
                  <c:y val="2.404797898893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8491394570442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3.1405436148746323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1174309989490764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53514002497260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6777649002737016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4.8188084499146341E-2"/>
                  <c:y val="-2.0239923473718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0527047071504498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8.1590982563622821E-3"/>
                  <c:y val="-1.762894624302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4.4442496771008824E-2"/>
                  <c:y val="7.73336536192924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5.9205864685006873E-3"/>
                  <c:y val="-1.03588924001793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7954048082354604E-2"/>
                  <c:y val="-2.8397515577566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9024972648480923E-2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2.5297622011813493E-2"/>
                  <c:y val="-2.3903907365084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5.9524272968185573E-3"/>
                  <c:y val="3.42660954601596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2A9D-446E-B46D-AAA2B51203E9}"/>
                </c:ext>
                <c:ext xmlns:c15="http://schemas.microsoft.com/office/drawing/2012/chart" uri="{CE6537A1-D6FC-4f65-9D91-7224C49458BB}">
                  <c15:layout>
                    <c:manualLayout>
                      <c:w val="5.0632296528544792E-2"/>
                      <c:h val="5.9075671879043279E-2"/>
                    </c:manualLayout>
                  </c15:layout>
                </c:ext>
              </c:extLst>
            </c:dLbl>
            <c:dLbl>
              <c:idx val="35"/>
              <c:layout>
                <c:manualLayout>
                  <c:x val="0"/>
                  <c:y val="-3.115028210935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2A9D-446E-B46D-AAA2B51203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2'!$B$22:$AK$23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2'!$B$25:$AK$25</c:f>
              <c:numCache>
                <c:formatCode>#\ ##0.0</c:formatCode>
                <c:ptCount val="36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 formatCode="0.0">
                  <c:v>90.415711128050958</c:v>
                </c:pt>
                <c:pt idx="25" formatCode="0.0">
                  <c:v>92.544788099159774</c:v>
                </c:pt>
                <c:pt idx="26" formatCode="0.0">
                  <c:v>123.33461185332185</c:v>
                </c:pt>
                <c:pt idx="27" formatCode="0.0">
                  <c:v>145.62616468779689</c:v>
                </c:pt>
                <c:pt idx="28" formatCode="0.0">
                  <c:v>129.53315145310887</c:v>
                </c:pt>
                <c:pt idx="29" formatCode="0.0">
                  <c:v>119.63933960141166</c:v>
                </c:pt>
                <c:pt idx="30" formatCode="0.0">
                  <c:v>125.94594158412818</c:v>
                </c:pt>
                <c:pt idx="31" formatCode="0.0">
                  <c:v>144.12273509267587</c:v>
                </c:pt>
                <c:pt idx="32" formatCode="0.0">
                  <c:v>138.93267521074247</c:v>
                </c:pt>
                <c:pt idx="33" formatCode="0.0">
                  <c:v>141.26446794210585</c:v>
                </c:pt>
                <c:pt idx="34" formatCode="0.0">
                  <c:v>138.86123791492062</c:v>
                </c:pt>
                <c:pt idx="35" formatCode="0.0">
                  <c:v>148.90887155581675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630944"/>
        <c:axId val="182631504"/>
      </c:lineChart>
      <c:catAx>
        <c:axId val="1826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631504"/>
        <c:crossesAt val="50"/>
        <c:auto val="0"/>
        <c:lblAlgn val="ctr"/>
        <c:lblOffset val="100"/>
        <c:noMultiLvlLbl val="0"/>
      </c:catAx>
      <c:valAx>
        <c:axId val="182631504"/>
        <c:scaling>
          <c:orientation val="minMax"/>
          <c:max val="170"/>
          <c:min val="50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63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37286788237624E-2"/>
          <c:y val="8.3496429418191784E-2"/>
          <c:w val="0.93942617494279235"/>
          <c:h val="0.83686022196408094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747057438592452E-2"/>
                  <c:y val="4.9067301327190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0922061635246E-2"/>
                  <c:y val="-4.4866181768275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768576578058276E-2"/>
                  <c:y val="4.906730132719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211337486208482E-2"/>
                  <c:y val="-3.964765492963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794677416154633E-2"/>
                  <c:y val="-4.48661817682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139100758619272E-2"/>
                  <c:y val="-3.442912809100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64178368043421E-2"/>
                  <c:y val="3.8630247649916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76857657805829E-2"/>
                  <c:y val="-4.48661817682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6996772270307582E-3"/>
                  <c:y val="-1.3555020736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31658037798707E-2"/>
                  <c:y val="4.9067301327190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2191224138758111E-2"/>
                  <c:y val="4.384877448855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525160529868429E-2"/>
                  <c:y val="-4.4866181768275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316580377987139E-2"/>
                  <c:y val="3.8630247649916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9281607423093003E-2"/>
                  <c:y val="-4.4866181768275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5189928935123319E-2"/>
                  <c:y val="-3.9647654929638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033245370384113E-2"/>
                  <c:y val="4.384877448855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4905790697133062E-2"/>
                  <c:y val="4.384877448855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6731184112738388E-2"/>
                  <c:y val="-4.4866181768275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8087073319490415E-2"/>
                  <c:y val="-3.442912809100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9689288186235204E-2"/>
                  <c:y val="4.3848774488553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6610198529361376E-2"/>
                  <c:y val="4.9067301327190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6074861568106868E-3"/>
                  <c:y val="-5.5303235445549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07C-4A48-B2EA-DA6D280679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3'!$A$21:$A$42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'Figura 3'!$B$21:$B$42</c:f>
              <c:numCache>
                <c:formatCode>General</c:formatCode>
                <c:ptCount val="22"/>
                <c:pt idx="0">
                  <c:v>101.7</c:v>
                </c:pt>
                <c:pt idx="1">
                  <c:v>119.9</c:v>
                </c:pt>
                <c:pt idx="2">
                  <c:v>113.8</c:v>
                </c:pt>
                <c:pt idx="3">
                  <c:v>122.7</c:v>
                </c:pt>
                <c:pt idx="4">
                  <c:v>124.7</c:v>
                </c:pt>
                <c:pt idx="5">
                  <c:v>110.7</c:v>
                </c:pt>
                <c:pt idx="6">
                  <c:v>96.3</c:v>
                </c:pt>
                <c:pt idx="7">
                  <c:v>127.6</c:v>
                </c:pt>
                <c:pt idx="8">
                  <c:v>118.7</c:v>
                </c:pt>
                <c:pt idx="9">
                  <c:v>80.599999999999994</c:v>
                </c:pt>
                <c:pt idx="10">
                  <c:v>120.1</c:v>
                </c:pt>
                <c:pt idx="11">
                  <c:v>143.80000000000001</c:v>
                </c:pt>
                <c:pt idx="12">
                  <c:v>97.5</c:v>
                </c:pt>
                <c:pt idx="13">
                  <c:v>112.3</c:v>
                </c:pt>
                <c:pt idx="14">
                  <c:v>96.3</c:v>
                </c:pt>
                <c:pt idx="15">
                  <c:v>84.1</c:v>
                </c:pt>
                <c:pt idx="16" formatCode="0.0">
                  <c:v>104</c:v>
                </c:pt>
                <c:pt idx="17">
                  <c:v>118.6</c:v>
                </c:pt>
                <c:pt idx="18" formatCode="#\ ##0.0">
                  <c:v>111.62610452789204</c:v>
                </c:pt>
                <c:pt idx="19">
                  <c:v>102.7</c:v>
                </c:pt>
                <c:pt idx="20">
                  <c:v>88.8</c:v>
                </c:pt>
                <c:pt idx="21">
                  <c:v>127.5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7C-4A48-B2EA-DA6D28067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35424"/>
        <c:axId val="183316000"/>
      </c:lineChart>
      <c:catAx>
        <c:axId val="1826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316000"/>
        <c:crosses val="autoZero"/>
        <c:auto val="1"/>
        <c:lblAlgn val="ctr"/>
        <c:lblOffset val="100"/>
        <c:noMultiLvlLbl val="0"/>
      </c:catAx>
      <c:valAx>
        <c:axId val="183316000"/>
        <c:scaling>
          <c:orientation val="minMax"/>
          <c:max val="170"/>
          <c:min val="5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6354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4'!$B$22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4'!$A$23:$A$27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4'!$B$23:$B$27</c:f>
              <c:numCache>
                <c:formatCode>0.0</c:formatCode>
                <c:ptCount val="5"/>
                <c:pt idx="0">
                  <c:v>9.5</c:v>
                </c:pt>
                <c:pt idx="1">
                  <c:v>5.6</c:v>
                </c:pt>
                <c:pt idx="2">
                  <c:v>83.7</c:v>
                </c:pt>
                <c:pt idx="3">
                  <c:v>1.2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4'!$C$22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4'!$A$23:$A$27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4'!$C$23:$C$27</c:f>
              <c:numCache>
                <c:formatCode>0.0</c:formatCode>
                <c:ptCount val="5"/>
                <c:pt idx="0">
                  <c:v>7</c:v>
                </c:pt>
                <c:pt idx="1">
                  <c:v>2.8</c:v>
                </c:pt>
                <c:pt idx="2">
                  <c:v>89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4'!$D$22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4'!$A$23:$A$27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4'!$D$23:$D$27</c:f>
              <c:numCache>
                <c:formatCode>0.0</c:formatCode>
                <c:ptCount val="5"/>
                <c:pt idx="0">
                  <c:v>7.06</c:v>
                </c:pt>
                <c:pt idx="1">
                  <c:v>4.54</c:v>
                </c:pt>
                <c:pt idx="2">
                  <c:v>86.71</c:v>
                </c:pt>
                <c:pt idx="3">
                  <c:v>1.57</c:v>
                </c:pt>
                <c:pt idx="4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4'!$E$22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4'!$A$23:$A$27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4'!$E$23:$E$27</c:f>
              <c:numCache>
                <c:formatCode>0.0</c:formatCode>
                <c:ptCount val="5"/>
                <c:pt idx="0">
                  <c:v>6.9</c:v>
                </c:pt>
                <c:pt idx="1">
                  <c:v>4.5</c:v>
                </c:pt>
                <c:pt idx="2">
                  <c:v>86.9</c:v>
                </c:pt>
                <c:pt idx="3">
                  <c:v>1.7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4'!$F$22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4'!$A$23:$A$27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4'!$F$23:$F$27</c:f>
              <c:numCache>
                <c:formatCode>0.0</c:formatCode>
                <c:ptCount val="5"/>
                <c:pt idx="0">
                  <c:v>7.93</c:v>
                </c:pt>
                <c:pt idx="1">
                  <c:v>3.81</c:v>
                </c:pt>
                <c:pt idx="2">
                  <c:v>85.8</c:v>
                </c:pt>
                <c:pt idx="3">
                  <c:v>2.39</c:v>
                </c:pt>
                <c:pt idx="4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4'!$G$22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4'!$A$23:$A$27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4'!$G$23:$G$27</c:f>
              <c:numCache>
                <c:formatCode>0.0</c:formatCode>
                <c:ptCount val="5"/>
                <c:pt idx="0">
                  <c:v>8.1999999999999993</c:v>
                </c:pt>
                <c:pt idx="1">
                  <c:v>3.2</c:v>
                </c:pt>
                <c:pt idx="2">
                  <c:v>86.9</c:v>
                </c:pt>
                <c:pt idx="3">
                  <c:v>1.5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319920"/>
        <c:axId val="183320480"/>
      </c:barChart>
      <c:catAx>
        <c:axId val="18331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320480"/>
        <c:crossesAt val="0"/>
        <c:auto val="1"/>
        <c:lblAlgn val="ctr"/>
        <c:lblOffset val="100"/>
        <c:noMultiLvlLbl val="0"/>
      </c:catAx>
      <c:valAx>
        <c:axId val="183320480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319920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5'!$B$20:$G$20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5'!$B$21:$G$21</c:f>
              <c:numCache>
                <c:formatCode>0.0</c:formatCode>
                <c:ptCount val="6"/>
                <c:pt idx="0">
                  <c:v>59.5</c:v>
                </c:pt>
                <c:pt idx="1">
                  <c:v>60.2</c:v>
                </c:pt>
                <c:pt idx="2">
                  <c:v>65.900000000000006</c:v>
                </c:pt>
                <c:pt idx="3">
                  <c:v>64.099999999999994</c:v>
                </c:pt>
                <c:pt idx="4">
                  <c:v>66.5</c:v>
                </c:pt>
                <c:pt idx="5">
                  <c:v>61.1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5'!$A$22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5'!$B$20:$G$20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5'!$B$22:$G$22</c:f>
              <c:numCache>
                <c:formatCode>0.0</c:formatCode>
                <c:ptCount val="6"/>
                <c:pt idx="0">
                  <c:v>20.3</c:v>
                </c:pt>
                <c:pt idx="1">
                  <c:v>19.100000000000001</c:v>
                </c:pt>
                <c:pt idx="2">
                  <c:v>15.4</c:v>
                </c:pt>
                <c:pt idx="3">
                  <c:v>15.6</c:v>
                </c:pt>
                <c:pt idx="4">
                  <c:v>15.3</c:v>
                </c:pt>
                <c:pt idx="5">
                  <c:v>14.8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5'!$A$23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5'!$B$20:$G$20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5'!$B$23:$G$23</c:f>
              <c:numCache>
                <c:formatCode>0.0</c:formatCode>
                <c:ptCount val="6"/>
                <c:pt idx="0">
                  <c:v>20.2</c:v>
                </c:pt>
                <c:pt idx="1">
                  <c:v>20.7</c:v>
                </c:pt>
                <c:pt idx="2">
                  <c:v>18.7</c:v>
                </c:pt>
                <c:pt idx="3">
                  <c:v>20.3</c:v>
                </c:pt>
                <c:pt idx="4">
                  <c:v>18.2</c:v>
                </c:pt>
                <c:pt idx="5">
                  <c:v>24.1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679952"/>
        <c:axId val="183680512"/>
      </c:barChart>
      <c:catAx>
        <c:axId val="1836799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680512"/>
        <c:crosses val="autoZero"/>
        <c:auto val="1"/>
        <c:lblAlgn val="ctr"/>
        <c:lblOffset val="100"/>
        <c:noMultiLvlLbl val="0"/>
      </c:catAx>
      <c:valAx>
        <c:axId val="183680512"/>
        <c:scaling>
          <c:orientation val="minMax"/>
          <c:max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679952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6'!$B$23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Cehia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Grecia</c:v>
                </c:pt>
                <c:pt idx="14">
                  <c:v>Ungaria</c:v>
                </c:pt>
                <c:pt idx="15">
                  <c:v>Olanda</c:v>
                </c:pt>
                <c:pt idx="16">
                  <c:v>Franța</c:v>
                </c:pt>
                <c:pt idx="17">
                  <c:v>S.U.A.</c:v>
                </c:pt>
                <c:pt idx="18">
                  <c:v>Liban</c:v>
                </c:pt>
                <c:pt idx="19">
                  <c:v>Serbia</c:v>
                </c:pt>
              </c:strCache>
            </c:strRef>
          </c:cat>
          <c:val>
            <c:numRef>
              <c:f>'Figura 6'!$B$24:$B$43</c:f>
              <c:numCache>
                <c:formatCode>#\ ##0.0</c:formatCode>
                <c:ptCount val="20"/>
                <c:pt idx="0">
                  <c:v>25.092932719188493</c:v>
                </c:pt>
                <c:pt idx="1">
                  <c:v>3.0067380733823303</c:v>
                </c:pt>
                <c:pt idx="2">
                  <c:v>11.404890602720632</c:v>
                </c:pt>
                <c:pt idx="3">
                  <c:v>6.1932749739699569</c:v>
                </c:pt>
                <c:pt idx="4">
                  <c:v>9.6747830695171544</c:v>
                </c:pt>
                <c:pt idx="5">
                  <c:v>2.176446068846674</c:v>
                </c:pt>
                <c:pt idx="6">
                  <c:v>3.5904558321283537</c:v>
                </c:pt>
                <c:pt idx="7">
                  <c:v>2.4311817260237807</c:v>
                </c:pt>
                <c:pt idx="8">
                  <c:v>1.3834958700492501</c:v>
                </c:pt>
                <c:pt idx="9">
                  <c:v>3.7179985192359344</c:v>
                </c:pt>
                <c:pt idx="10">
                  <c:v>5.0641790031991638</c:v>
                </c:pt>
                <c:pt idx="11">
                  <c:v>5.5910486230552792</c:v>
                </c:pt>
                <c:pt idx="12">
                  <c:v>0.91935370127632332</c:v>
                </c:pt>
                <c:pt idx="13">
                  <c:v>1.4425986388555896</c:v>
                </c:pt>
                <c:pt idx="14">
                  <c:v>0.45063156136352139</c:v>
                </c:pt>
                <c:pt idx="15">
                  <c:v>1.315602491673461</c:v>
                </c:pt>
                <c:pt idx="16">
                  <c:v>2.1885664095553508</c:v>
                </c:pt>
                <c:pt idx="17">
                  <c:v>0.83228389693883464</c:v>
                </c:pt>
                <c:pt idx="18">
                  <c:v>0.54999058069358409</c:v>
                </c:pt>
                <c:pt idx="19">
                  <c:v>0.18131009235244783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6'!$C$23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Cehia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Grecia</c:v>
                </c:pt>
                <c:pt idx="14">
                  <c:v>Ungaria</c:v>
                </c:pt>
                <c:pt idx="15">
                  <c:v>Olanda</c:v>
                </c:pt>
                <c:pt idx="16">
                  <c:v>Franța</c:v>
                </c:pt>
                <c:pt idx="17">
                  <c:v>S.U.A.</c:v>
                </c:pt>
                <c:pt idx="18">
                  <c:v>Liban</c:v>
                </c:pt>
                <c:pt idx="19">
                  <c:v>Serbia</c:v>
                </c:pt>
              </c:strCache>
            </c:strRef>
          </c:cat>
          <c:val>
            <c:numRef>
              <c:f>'Figura 6'!$C$24:$C$43</c:f>
              <c:numCache>
                <c:formatCode>#\ ##0.0</c:formatCode>
                <c:ptCount val="20"/>
                <c:pt idx="0">
                  <c:v>24.76762551053034</c:v>
                </c:pt>
                <c:pt idx="1">
                  <c:v>4.2913202792350855</c:v>
                </c:pt>
                <c:pt idx="2">
                  <c:v>10.496402115447975</c:v>
                </c:pt>
                <c:pt idx="3">
                  <c:v>6.8506083847987025</c:v>
                </c:pt>
                <c:pt idx="4">
                  <c:v>9.7331386817260519</c:v>
                </c:pt>
                <c:pt idx="5">
                  <c:v>1.8167294508829264</c:v>
                </c:pt>
                <c:pt idx="6">
                  <c:v>4.2442914414873956</c:v>
                </c:pt>
                <c:pt idx="7">
                  <c:v>2.7020531383750352</c:v>
                </c:pt>
                <c:pt idx="8">
                  <c:v>1.2322346648711764</c:v>
                </c:pt>
                <c:pt idx="9">
                  <c:v>3.2217987576943781</c:v>
                </c:pt>
                <c:pt idx="10">
                  <c:v>4.5358873531638304</c:v>
                </c:pt>
                <c:pt idx="11">
                  <c:v>5.6144588557994712</c:v>
                </c:pt>
                <c:pt idx="12">
                  <c:v>1.1521547304065134</c:v>
                </c:pt>
                <c:pt idx="13">
                  <c:v>1.2161910517626608</c:v>
                </c:pt>
                <c:pt idx="14">
                  <c:v>0.40940637498087473</c:v>
                </c:pt>
                <c:pt idx="15">
                  <c:v>1.1486538050739692</c:v>
                </c:pt>
                <c:pt idx="16">
                  <c:v>2.0962230650180453</c:v>
                </c:pt>
                <c:pt idx="17">
                  <c:v>0.77646571714774038</c:v>
                </c:pt>
                <c:pt idx="18">
                  <c:v>0.32936219804208633</c:v>
                </c:pt>
                <c:pt idx="19">
                  <c:v>0.45149989682933156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6'!$D$23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Cehia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Grecia</c:v>
                </c:pt>
                <c:pt idx="14">
                  <c:v>Ungaria</c:v>
                </c:pt>
                <c:pt idx="15">
                  <c:v>Olanda</c:v>
                </c:pt>
                <c:pt idx="16">
                  <c:v>Franța</c:v>
                </c:pt>
                <c:pt idx="17">
                  <c:v>S.U.A.</c:v>
                </c:pt>
                <c:pt idx="18">
                  <c:v>Liban</c:v>
                </c:pt>
                <c:pt idx="19">
                  <c:v>Serbia</c:v>
                </c:pt>
              </c:strCache>
            </c:strRef>
          </c:cat>
          <c:val>
            <c:numRef>
              <c:f>'Figura 6'!$D$24:$D$43</c:f>
              <c:numCache>
                <c:formatCode>#\ ##0.0</c:formatCode>
                <c:ptCount val="20"/>
                <c:pt idx="0">
                  <c:v>29.271490290157871</c:v>
                </c:pt>
                <c:pt idx="1">
                  <c:v>3.958534282109309</c:v>
                </c:pt>
                <c:pt idx="2">
                  <c:v>8.0767590887586547</c:v>
                </c:pt>
                <c:pt idx="3">
                  <c:v>8.1259665533841208</c:v>
                </c:pt>
                <c:pt idx="4">
                  <c:v>11.44076735616086</c:v>
                </c:pt>
                <c:pt idx="5">
                  <c:v>2.2213938445278507</c:v>
                </c:pt>
                <c:pt idx="6">
                  <c:v>3.6234103632072481</c:v>
                </c:pt>
                <c:pt idx="7">
                  <c:v>2.9664005696855078</c:v>
                </c:pt>
                <c:pt idx="8">
                  <c:v>1.5787337362164495</c:v>
                </c:pt>
                <c:pt idx="9">
                  <c:v>1.7889837552013552</c:v>
                </c:pt>
                <c:pt idx="10">
                  <c:v>3.2235208378645228</c:v>
                </c:pt>
                <c:pt idx="11">
                  <c:v>2.9125793798439061</c:v>
                </c:pt>
                <c:pt idx="12">
                  <c:v>0.94443964052815677</c:v>
                </c:pt>
                <c:pt idx="13">
                  <c:v>1.3836306078532534</c:v>
                </c:pt>
                <c:pt idx="14">
                  <c:v>0.30423138886485629</c:v>
                </c:pt>
                <c:pt idx="15">
                  <c:v>1.3855682553783577</c:v>
                </c:pt>
                <c:pt idx="16">
                  <c:v>1.7869753771728127</c:v>
                </c:pt>
                <c:pt idx="17">
                  <c:v>0.80440926080297181</c:v>
                </c:pt>
                <c:pt idx="18">
                  <c:v>0.51559558963494856</c:v>
                </c:pt>
                <c:pt idx="19">
                  <c:v>0.77035771172012235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6'!$E$23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Cehia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Grecia</c:v>
                </c:pt>
                <c:pt idx="14">
                  <c:v>Ungaria</c:v>
                </c:pt>
                <c:pt idx="15">
                  <c:v>Olanda</c:v>
                </c:pt>
                <c:pt idx="16">
                  <c:v>Franța</c:v>
                </c:pt>
                <c:pt idx="17">
                  <c:v>S.U.A.</c:v>
                </c:pt>
                <c:pt idx="18">
                  <c:v>Liban</c:v>
                </c:pt>
                <c:pt idx="19">
                  <c:v>Serbia</c:v>
                </c:pt>
              </c:strCache>
            </c:strRef>
          </c:cat>
          <c:val>
            <c:numRef>
              <c:f>'Figura 6'!$E$24:$E$43</c:f>
              <c:numCache>
                <c:formatCode>#\ ##0.0</c:formatCode>
                <c:ptCount val="20"/>
                <c:pt idx="0">
                  <c:v>27.541183600317293</c:v>
                </c:pt>
                <c:pt idx="1">
                  <c:v>6.3164082748384764</c:v>
                </c:pt>
                <c:pt idx="2">
                  <c:v>8.9904255149512089</c:v>
                </c:pt>
                <c:pt idx="3">
                  <c:v>8.8501557044077188</c:v>
                </c:pt>
                <c:pt idx="4">
                  <c:v>9.6090635205607988</c:v>
                </c:pt>
                <c:pt idx="5">
                  <c:v>3.0720994752093675</c:v>
                </c:pt>
                <c:pt idx="6">
                  <c:v>4.0674036742434634</c:v>
                </c:pt>
                <c:pt idx="7">
                  <c:v>2.8843253939924072</c:v>
                </c:pt>
                <c:pt idx="8">
                  <c:v>2.3322780645801724</c:v>
                </c:pt>
                <c:pt idx="9">
                  <c:v>2.265342699174242</c:v>
                </c:pt>
                <c:pt idx="10">
                  <c:v>2.8937977866232965</c:v>
                </c:pt>
                <c:pt idx="11">
                  <c:v>1.796803541699205</c:v>
                </c:pt>
                <c:pt idx="12">
                  <c:v>1.3725520129493094</c:v>
                </c:pt>
                <c:pt idx="13">
                  <c:v>1.413233752161414</c:v>
                </c:pt>
                <c:pt idx="14">
                  <c:v>0.40058593543073912</c:v>
                </c:pt>
                <c:pt idx="15">
                  <c:v>1.3632135713690561</c:v>
                </c:pt>
                <c:pt idx="16">
                  <c:v>1.2957014581599344</c:v>
                </c:pt>
                <c:pt idx="17">
                  <c:v>0.87565190275357907</c:v>
                </c:pt>
                <c:pt idx="18">
                  <c:v>0.51679023965462867</c:v>
                </c:pt>
                <c:pt idx="19">
                  <c:v>0.31017290620984139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6'!$F$23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Cehia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Grecia</c:v>
                </c:pt>
                <c:pt idx="14">
                  <c:v>Ungaria</c:v>
                </c:pt>
                <c:pt idx="15">
                  <c:v>Olanda</c:v>
                </c:pt>
                <c:pt idx="16">
                  <c:v>Franța</c:v>
                </c:pt>
                <c:pt idx="17">
                  <c:v>S.U.A.</c:v>
                </c:pt>
                <c:pt idx="18">
                  <c:v>Liban</c:v>
                </c:pt>
                <c:pt idx="19">
                  <c:v>Serbia</c:v>
                </c:pt>
              </c:strCache>
            </c:strRef>
          </c:cat>
          <c:val>
            <c:numRef>
              <c:f>'Figura 6'!$F$24:$F$43</c:f>
              <c:numCache>
                <c:formatCode>#\ ##0.0</c:formatCode>
                <c:ptCount val="20"/>
                <c:pt idx="0">
                  <c:v>28.643847750221603</c:v>
                </c:pt>
                <c:pt idx="1">
                  <c:v>6.9590492704824811</c:v>
                </c:pt>
                <c:pt idx="2">
                  <c:v>8.788987352263538</c:v>
                </c:pt>
                <c:pt idx="3">
                  <c:v>9.1443419578967564</c:v>
                </c:pt>
                <c:pt idx="4">
                  <c:v>8.6630340138321777</c:v>
                </c:pt>
                <c:pt idx="5">
                  <c:v>2.4886528956210787</c:v>
                </c:pt>
                <c:pt idx="6">
                  <c:v>4.4490992841392991</c:v>
                </c:pt>
                <c:pt idx="7">
                  <c:v>2.8162909699047933</c:v>
                </c:pt>
                <c:pt idx="8">
                  <c:v>3.2613689769041625</c:v>
                </c:pt>
                <c:pt idx="9">
                  <c:v>2.3573480134888856</c:v>
                </c:pt>
                <c:pt idx="10">
                  <c:v>2.6704127273905187</c:v>
                </c:pt>
                <c:pt idx="11">
                  <c:v>1.7333905048601255</c:v>
                </c:pt>
                <c:pt idx="12">
                  <c:v>1.4049877966534767</c:v>
                </c:pt>
                <c:pt idx="13">
                  <c:v>1.0960054978060456</c:v>
                </c:pt>
                <c:pt idx="14">
                  <c:v>1.1053334671988271</c:v>
                </c:pt>
                <c:pt idx="15">
                  <c:v>1.4575096051266687</c:v>
                </c:pt>
                <c:pt idx="16">
                  <c:v>1.2009685790990834</c:v>
                </c:pt>
                <c:pt idx="17">
                  <c:v>1.0409591497310513</c:v>
                </c:pt>
                <c:pt idx="18">
                  <c:v>0.47123855418117905</c:v>
                </c:pt>
                <c:pt idx="19">
                  <c:v>0.38667389937433727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6'!$G$23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Cehia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Grecia</c:v>
                </c:pt>
                <c:pt idx="14">
                  <c:v>Ungaria</c:v>
                </c:pt>
                <c:pt idx="15">
                  <c:v>Olanda</c:v>
                </c:pt>
                <c:pt idx="16">
                  <c:v>Franța</c:v>
                </c:pt>
                <c:pt idx="17">
                  <c:v>S.U.A.</c:v>
                </c:pt>
                <c:pt idx="18">
                  <c:v>Liban</c:v>
                </c:pt>
                <c:pt idx="19">
                  <c:v>Serbia</c:v>
                </c:pt>
              </c:strCache>
            </c:strRef>
          </c:cat>
          <c:val>
            <c:numRef>
              <c:f>'Figura 6'!$G$24:$G$43</c:f>
              <c:numCache>
                <c:formatCode>#\ ##0.0</c:formatCode>
                <c:ptCount val="20"/>
                <c:pt idx="0">
                  <c:v>26.505877179031067</c:v>
                </c:pt>
                <c:pt idx="1">
                  <c:v>9.984575251710293</c:v>
                </c:pt>
                <c:pt idx="2">
                  <c:v>8.7795137033741106</c:v>
                </c:pt>
                <c:pt idx="3">
                  <c:v>7.8056953728985246</c:v>
                </c:pt>
                <c:pt idx="4">
                  <c:v>7.634383659513384</c:v>
                </c:pt>
                <c:pt idx="5">
                  <c:v>3.7798455331137593</c:v>
                </c:pt>
                <c:pt idx="6">
                  <c:v>3.4507875229079952</c:v>
                </c:pt>
                <c:pt idx="7">
                  <c:v>2.9501723605462589</c:v>
                </c:pt>
                <c:pt idx="8">
                  <c:v>2.5123896500895793</c:v>
                </c:pt>
                <c:pt idx="9">
                  <c:v>2.4731237362242764</c:v>
                </c:pt>
                <c:pt idx="10">
                  <c:v>2.1565426402433947</c:v>
                </c:pt>
                <c:pt idx="11">
                  <c:v>2.0791525560248205</c:v>
                </c:pt>
                <c:pt idx="12">
                  <c:v>1.99710528123485</c:v>
                </c:pt>
                <c:pt idx="13">
                  <c:v>1.4152459330447575</c:v>
                </c:pt>
                <c:pt idx="14">
                  <c:v>1.329366238046616</c:v>
                </c:pt>
                <c:pt idx="15">
                  <c:v>1.1394544186146887</c:v>
                </c:pt>
                <c:pt idx="16">
                  <c:v>1.0305019485232427</c:v>
                </c:pt>
                <c:pt idx="17">
                  <c:v>1.0091547513941013</c:v>
                </c:pt>
                <c:pt idx="18">
                  <c:v>0.78968416793020102</c:v>
                </c:pt>
                <c:pt idx="19">
                  <c:v>0.76540722879351297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686112"/>
        <c:axId val="183686672"/>
      </c:barChart>
      <c:catAx>
        <c:axId val="1836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686672"/>
        <c:crosses val="autoZero"/>
        <c:auto val="1"/>
        <c:lblAlgn val="ctr"/>
        <c:lblOffset val="100"/>
        <c:noMultiLvlLbl val="0"/>
      </c:catAx>
      <c:valAx>
        <c:axId val="183686672"/>
        <c:scaling>
          <c:orientation val="minMax"/>
          <c:max val="35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686112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Anul </a:t>
            </a:r>
            <a:r>
              <a:rPr lang="ro-RO" sz="800" b="1" baseline="0">
                <a:solidFill>
                  <a:sysClr val="windowText" lastClr="000000"/>
                </a:solidFill>
              </a:rPr>
              <a:t>2020</a:t>
            </a:r>
            <a:endParaRPr lang="en-US" sz="8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6685589834136704"/>
          <c:y val="2.0367142534482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7'!$B$25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6.2962438699063969E-2"/>
                  <c:y val="4.8394988362303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6574523147492818"/>
                      <c:h val="0.163458294128328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917484173438768E-2"/>
                  <c:y val="-6.34721345258929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6870536341283656E-2"/>
                  <c:y val="-0.107400589650783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19743833621816442"/>
                      <c:h val="0.2122655814970964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4654199671147285E-3"/>
                  <c:y val="-4.92705882817571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5.7133038034794081E-2"/>
                  <c:y val="3.37504722762332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6.5406198289299305E-2"/>
                  <c:y val="-1.29620902057494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18289304157963768"/>
                      <c:h val="0.15920468399475093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1.7976043347242881E-2"/>
                  <c:y val="-5.8217014055730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1.8532728829464956E-3"/>
                  <c:y val="-6.964297233218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0286722685643913"/>
                      <c:h val="0.2453716018017659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2.6754014550806554E-3"/>
                  <c:y val="0.100562901335446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7'!$A$26:$A$34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7'!$B$26:$B$34</c:f>
              <c:numCache>
                <c:formatCode>0.0</c:formatCode>
                <c:ptCount val="9"/>
                <c:pt idx="0">
                  <c:v>21.3</c:v>
                </c:pt>
                <c:pt idx="1">
                  <c:v>7.6</c:v>
                </c:pt>
                <c:pt idx="2">
                  <c:v>10.8</c:v>
                </c:pt>
                <c:pt idx="3">
                  <c:v>0.6</c:v>
                </c:pt>
                <c:pt idx="4">
                  <c:v>4.2</c:v>
                </c:pt>
                <c:pt idx="5">
                  <c:v>5.2</c:v>
                </c:pt>
                <c:pt idx="6">
                  <c:v>7</c:v>
                </c:pt>
                <c:pt idx="7">
                  <c:v>22.3</c:v>
                </c:pt>
                <c:pt idx="8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Anul </a:t>
            </a: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3063923766518863"/>
          <c:y val="2.2553460130641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7'!$B$36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2.9634941913789237E-2"/>
                  <c:y val="5.50552206554880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78-4F5F-8973-1809C55EF17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682312755042576"/>
                      <c:h val="0.1712677664466971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52650689355383E-2"/>
                  <c:y val="-5.6836923609933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18338804107152662"/>
                      <c:h val="0.1581001126527675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2.393717715007708E-2"/>
                  <c:y val="-7.686143002140483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378-4F5F-8973-1809C55EF17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layout>
                <c:manualLayout>
                  <c:x val="7.3026780590085931E-3"/>
                  <c:y val="-6.30823283850643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0562286051975552E-2"/>
                  <c:y val="2.6250319471679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378-4F5F-8973-1809C55EF1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1469021151343763E-2"/>
                  <c:y val="-2.36253203329001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378-4F5F-8973-1809C55EF1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7707884218925837E-4"/>
                  <c:y val="-0.111168434656025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8.9347103213762817E-3"/>
                  <c:y val="-4.216681687440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19198912032608717"/>
                      <c:h val="0.2805310759412479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586006598481099E-3"/>
                  <c:y val="0.100896804384937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4291529519139601"/>
                      <c:h val="0.280531065746030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7'!$A$37:$A$45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7'!$B$37:$B$45</c:f>
              <c:numCache>
                <c:formatCode>0.0</c:formatCode>
                <c:ptCount val="9"/>
                <c:pt idx="0">
                  <c:v>25.8</c:v>
                </c:pt>
                <c:pt idx="1">
                  <c:v>6.7</c:v>
                </c:pt>
                <c:pt idx="2">
                  <c:v>11.6</c:v>
                </c:pt>
                <c:pt idx="3">
                  <c:v>0.5</c:v>
                </c:pt>
                <c:pt idx="4">
                  <c:v>3.8</c:v>
                </c:pt>
                <c:pt idx="5">
                  <c:v>4.9000000000000004</c:v>
                </c:pt>
                <c:pt idx="6">
                  <c:v>7.7</c:v>
                </c:pt>
                <c:pt idx="7">
                  <c:v>20.2</c:v>
                </c:pt>
                <c:pt idx="8">
                  <c:v>18.8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8'!$B$21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8'!$B$22:$B$27</c:f>
              <c:numCache>
                <c:formatCode>#\ ##0.0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8'!$C$21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8'!$C$22:$C$27</c:f>
              <c:numCache>
                <c:formatCode>#\ ##0.0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8'!$D$21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8'!$D$22:$D$27</c:f>
              <c:numCache>
                <c:formatCode>#\ ##0.0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8'!$E$21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8'!$E$22:$E$27</c:f>
              <c:numCache>
                <c:formatCode>#\ ##0.0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562.20000000000005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8'!$F$21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8'!$F$22:$F$27</c:f>
              <c:numCache>
                <c:formatCode>#\ ##0.0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  <c:pt idx="5">
                  <c:v>563.4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8'!$G$21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8'!$G$22:$G$27</c:f>
              <c:numCache>
                <c:formatCode>#\ ##0.0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  <c:pt idx="5">
                  <c:v>589.70000000000005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8'!$H$21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8'!$H$22:$H$27</c:f>
              <c:numCache>
                <c:formatCode>#\ ##0.0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  <c:pt idx="5">
                  <c:v>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8'!$I$21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8'!$I$22:$I$27</c:f>
              <c:numCache>
                <c:formatCode>#\ ##0.0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  <c:pt idx="5">
                  <c:v>574.9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8'!$J$21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8'!$J$22:$J$27</c:f>
              <c:numCache>
                <c:formatCode>#\ ##0.0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  <c:pt idx="5">
                  <c:v>671.2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8'!$K$21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8'!$K$22:$K$27</c:f>
              <c:numCache>
                <c:formatCode>#\ ##0.0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  <c:pt idx="5">
                  <c:v>646.9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8'!$L$21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8'!$L$22:$L$27</c:f>
              <c:numCache>
                <c:formatCode>#\ ##0.0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  <c:pt idx="5">
                  <c:v>701.5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8'!$M$21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8'!$A$22:$A$27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8'!$M$22:$M$27</c:f>
              <c:numCache>
                <c:formatCode>#\ ##0.0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  <c:pt idx="5">
                  <c:v>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662304"/>
        <c:axId val="185662864"/>
      </c:barChart>
      <c:catAx>
        <c:axId val="1856623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662864"/>
        <c:crosses val="autoZero"/>
        <c:auto val="0"/>
        <c:lblAlgn val="ctr"/>
        <c:lblOffset val="100"/>
        <c:tickLblSkip val="1"/>
        <c:noMultiLvlLbl val="0"/>
      </c:catAx>
      <c:valAx>
        <c:axId val="185662864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66230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0</xdr:rowOff>
    </xdr:from>
    <xdr:to>
      <xdr:col>5</xdr:col>
      <xdr:colOff>761999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6</xdr:col>
      <xdr:colOff>342900</xdr:colOff>
      <xdr:row>21</xdr:row>
      <xdr:rowOff>133351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295275"/>
          <a:ext cx="7334250" cy="3038476"/>
          <a:chOff x="9525" y="187763"/>
          <a:chExt cx="5340711" cy="237968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187763"/>
          <a:ext cx="2639046" cy="2379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59073" y="217602"/>
          <a:ext cx="2691163" cy="22603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12</xdr:col>
      <xdr:colOff>504824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1</xdr:row>
      <xdr:rowOff>385762</xdr:rowOff>
    </xdr:from>
    <xdr:to>
      <xdr:col>12</xdr:col>
      <xdr:colOff>19051</xdr:colOff>
      <xdr:row>19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69A941E-F218-4637-84B5-D1EA58EE0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0.03979</cdr:x>
      <cdr:y>0</cdr:y>
    </cdr:from>
    <cdr:to>
      <cdr:x>0.16504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14B098E2-4544-47DF-B9EF-C97164AB1533}"/>
            </a:ext>
          </a:extLst>
        </cdr:cNvPr>
        <cdr:cNvSpPr txBox="1"/>
      </cdr:nvSpPr>
      <cdr:spPr>
        <a:xfrm xmlns:a="http://schemas.openxmlformats.org/drawingml/2006/main">
          <a:off x="290514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</xdr:row>
      <xdr:rowOff>142875</xdr:rowOff>
    </xdr:from>
    <xdr:to>
      <xdr:col>4</xdr:col>
      <xdr:colOff>847726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6</xdr:col>
      <xdr:colOff>476249</xdr:colOff>
      <xdr:row>21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2</xdr:col>
      <xdr:colOff>9525</xdr:colOff>
      <xdr:row>21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790574</xdr:colOff>
      <xdr:row>2</xdr:row>
      <xdr:rowOff>9526</xdr:rowOff>
    </xdr:from>
    <xdr:to>
      <xdr:col>6</xdr:col>
      <xdr:colOff>390524</xdr:colOff>
      <xdr:row>20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19049</xdr:rowOff>
    </xdr:from>
    <xdr:to>
      <xdr:col>4</xdr:col>
      <xdr:colOff>190499</xdr:colOff>
      <xdr:row>21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171450</xdr:rowOff>
    </xdr:from>
    <xdr:to>
      <xdr:col>16</xdr:col>
      <xdr:colOff>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0</cdr:y>
    </cdr:from>
    <cdr:to>
      <cdr:x>0.1889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30897" y="0"/>
          <a:ext cx="1159700" cy="99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11</xdr:col>
      <xdr:colOff>590550</xdr:colOff>
      <xdr:row>17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A7B6BEC5-DA96-4695-A3D6-AFD18EF48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0.04315</cdr:x>
      <cdr:y>0</cdr:y>
    </cdr:from>
    <cdr:to>
      <cdr:x>0.18601</cdr:x>
      <cdr:y>0.37573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9A3FD2E-7AF2-41DA-B2FE-E7E9053454A1}"/>
            </a:ext>
          </a:extLst>
        </cdr:cNvPr>
        <cdr:cNvSpPr txBox="1"/>
      </cdr:nvSpPr>
      <cdr:spPr>
        <a:xfrm xmlns:a="http://schemas.openxmlformats.org/drawingml/2006/main">
          <a:off x="2762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ables/table1.xml><?xml version="1.0" encoding="utf-8"?>
<table xmlns="http://schemas.openxmlformats.org/spreadsheetml/2006/main" id="7" name="Table18" displayName="Table18" ref="A24:D30" totalsRowShown="0" headerRowDxfId="8" dataDxfId="6" headerRowBorderDxfId="7" tableBorderDxfId="5" totalsRowBorderDxfId="4">
  <tableColumns count="4">
    <tableColumn id="1" name="Perioada" dataDxfId="3"/>
    <tableColumn id="2" name="Export" dataDxfId="2"/>
    <tableColumn id="4" name="Import" dataDxfId="1"/>
    <tableColumn id="3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tabSelected="1" workbookViewId="0">
      <selection activeCell="I31" sqref="I31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4" width="10.140625" style="3" bestFit="1" customWidth="1"/>
    <col min="5" max="5" width="9.28515625" style="3" bestFit="1" customWidth="1"/>
    <col min="6" max="6" width="10.140625" style="3" bestFit="1" customWidth="1"/>
    <col min="7" max="7" width="9.28515625" style="3" bestFit="1" customWidth="1"/>
    <col min="8" max="8" width="10.140625" style="3" bestFit="1" customWidth="1"/>
    <col min="9" max="9" width="9.28515625" style="3" bestFit="1" customWidth="1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x14ac:dyDescent="0.2">
      <c r="A2" s="180" t="s">
        <v>77</v>
      </c>
      <c r="B2" s="180"/>
      <c r="C2" s="180"/>
      <c r="D2" s="180"/>
      <c r="E2" s="180"/>
      <c r="F2" s="180"/>
      <c r="G2" s="180"/>
      <c r="H2" s="180"/>
      <c r="I2" s="180"/>
      <c r="J2" s="180"/>
      <c r="K2" s="80"/>
      <c r="L2" s="80"/>
      <c r="M2" s="80"/>
    </row>
    <row r="3" spans="1:13" x14ac:dyDescent="0.2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x14ac:dyDescent="0.2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">
      <c r="A6" s="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">
      <c r="A8" s="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x14ac:dyDescent="0.2">
      <c r="A9" s="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">
      <c r="A10" s="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">
      <c r="A11" s="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x14ac:dyDescent="0.2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21" x14ac:dyDescent="0.2">
      <c r="A17" s="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21" x14ac:dyDescent="0.2">
      <c r="A18" s="1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21" x14ac:dyDescent="0.2">
      <c r="N19" s="6"/>
    </row>
    <row r="20" spans="1:21" x14ac:dyDescent="0.2">
      <c r="A20" s="41" t="s">
        <v>0</v>
      </c>
      <c r="B20" s="66" t="s">
        <v>1</v>
      </c>
      <c r="C20" s="66" t="s">
        <v>2</v>
      </c>
      <c r="D20" s="66" t="s">
        <v>3</v>
      </c>
      <c r="E20" s="66" t="s">
        <v>4</v>
      </c>
      <c r="F20" s="66" t="s">
        <v>5</v>
      </c>
      <c r="G20" s="66" t="s">
        <v>6</v>
      </c>
      <c r="H20" s="66" t="s">
        <v>7</v>
      </c>
      <c r="I20" s="66" t="s">
        <v>8</v>
      </c>
      <c r="J20" s="66" t="s">
        <v>9</v>
      </c>
      <c r="K20" s="66" t="s">
        <v>10</v>
      </c>
      <c r="L20" s="66" t="s">
        <v>11</v>
      </c>
      <c r="M20" s="66" t="s">
        <v>12</v>
      </c>
    </row>
    <row r="21" spans="1:21" x14ac:dyDescent="0.2">
      <c r="A21" s="49">
        <v>2016</v>
      </c>
      <c r="B21" s="61">
        <v>116.8</v>
      </c>
      <c r="C21" s="61">
        <v>138.5</v>
      </c>
      <c r="D21" s="61">
        <v>161.30000000000001</v>
      </c>
      <c r="E21" s="61">
        <v>178.5</v>
      </c>
      <c r="F21" s="61">
        <v>153</v>
      </c>
      <c r="G21" s="61">
        <v>157.4</v>
      </c>
      <c r="H21" s="61">
        <v>165.6</v>
      </c>
      <c r="I21" s="61">
        <v>168</v>
      </c>
      <c r="J21" s="61">
        <v>193.6</v>
      </c>
      <c r="K21" s="61">
        <v>200.8</v>
      </c>
      <c r="L21" s="61">
        <v>217.6</v>
      </c>
      <c r="M21" s="62">
        <v>193.5</v>
      </c>
    </row>
    <row r="22" spans="1:21" x14ac:dyDescent="0.2">
      <c r="A22" s="50">
        <v>2017</v>
      </c>
      <c r="B22" s="61">
        <v>139.5</v>
      </c>
      <c r="C22" s="61">
        <v>176.6</v>
      </c>
      <c r="D22" s="61">
        <v>212.1</v>
      </c>
      <c r="E22" s="61">
        <v>154.19999999999999</v>
      </c>
      <c r="F22" s="61">
        <v>174.7</v>
      </c>
      <c r="G22" s="61">
        <v>171.1</v>
      </c>
      <c r="H22" s="61">
        <v>191.6</v>
      </c>
      <c r="I22" s="61">
        <v>207.9</v>
      </c>
      <c r="J22" s="61">
        <v>223.9</v>
      </c>
      <c r="K22" s="61">
        <v>268.2</v>
      </c>
      <c r="L22" s="61">
        <v>272.10000000000002</v>
      </c>
      <c r="M22" s="62">
        <v>233.1</v>
      </c>
    </row>
    <row r="23" spans="1:21" x14ac:dyDescent="0.2">
      <c r="A23" s="50">
        <v>2018</v>
      </c>
      <c r="B23" s="61">
        <v>220.3</v>
      </c>
      <c r="C23" s="61">
        <v>215.5</v>
      </c>
      <c r="D23" s="61">
        <v>242.1</v>
      </c>
      <c r="E23" s="61">
        <v>199.7</v>
      </c>
      <c r="F23" s="61">
        <v>223</v>
      </c>
      <c r="G23" s="61">
        <v>214.1</v>
      </c>
      <c r="H23" s="61">
        <v>218.8</v>
      </c>
      <c r="I23" s="61">
        <v>218.6</v>
      </c>
      <c r="J23" s="61">
        <v>207.3</v>
      </c>
      <c r="K23" s="61">
        <v>259</v>
      </c>
      <c r="L23" s="61">
        <v>268.89999999999998</v>
      </c>
      <c r="M23" s="62">
        <v>218.8</v>
      </c>
    </row>
    <row r="24" spans="1:21" x14ac:dyDescent="0.2">
      <c r="A24" s="50">
        <v>2019</v>
      </c>
      <c r="B24" s="61">
        <v>234.3</v>
      </c>
      <c r="C24" s="61">
        <v>241.4</v>
      </c>
      <c r="D24" s="61">
        <v>257.2</v>
      </c>
      <c r="E24" s="61">
        <v>215.6</v>
      </c>
      <c r="F24" s="61">
        <v>210.5</v>
      </c>
      <c r="G24" s="61">
        <v>202.2</v>
      </c>
      <c r="H24" s="61">
        <v>220.2</v>
      </c>
      <c r="I24" s="61">
        <v>205.8</v>
      </c>
      <c r="J24" s="61">
        <v>238.8</v>
      </c>
      <c r="K24" s="61">
        <v>268.3</v>
      </c>
      <c r="L24" s="61">
        <v>266.60000000000002</v>
      </c>
      <c r="M24" s="62">
        <v>218.3</v>
      </c>
    </row>
    <row r="25" spans="1:21" x14ac:dyDescent="0.2">
      <c r="A25" s="50">
        <v>2020</v>
      </c>
      <c r="B25" s="61">
        <v>219.5</v>
      </c>
      <c r="C25" s="61">
        <v>245.3</v>
      </c>
      <c r="D25" s="61">
        <v>210.2</v>
      </c>
      <c r="E25" s="61">
        <v>149.80000000000001</v>
      </c>
      <c r="F25" s="61">
        <v>155.69999999999999</v>
      </c>
      <c r="G25" s="61">
        <v>189.6</v>
      </c>
      <c r="H25" s="61">
        <v>191.1</v>
      </c>
      <c r="I25" s="61">
        <v>163.9</v>
      </c>
      <c r="J25" s="61">
        <v>212.3</v>
      </c>
      <c r="K25" s="61">
        <v>249.4</v>
      </c>
      <c r="L25" s="61">
        <v>262</v>
      </c>
      <c r="M25" s="62">
        <v>218.3</v>
      </c>
    </row>
    <row r="26" spans="1:21" x14ac:dyDescent="0.2">
      <c r="A26" s="51">
        <v>2021</v>
      </c>
      <c r="B26" s="63">
        <v>198.4</v>
      </c>
      <c r="C26" s="63">
        <v>227</v>
      </c>
      <c r="D26" s="63">
        <v>259.3</v>
      </c>
      <c r="E26" s="63">
        <v>218.2</v>
      </c>
      <c r="F26" s="63">
        <v>201.7</v>
      </c>
      <c r="G26" s="63">
        <v>226.8</v>
      </c>
      <c r="H26" s="63">
        <v>240.7</v>
      </c>
      <c r="I26" s="63">
        <v>236.2</v>
      </c>
      <c r="J26" s="63">
        <v>294.89999999999998</v>
      </c>
      <c r="K26" s="63">
        <v>352.2</v>
      </c>
      <c r="L26" s="63">
        <v>363.9</v>
      </c>
      <c r="M26" s="64">
        <v>325</v>
      </c>
    </row>
    <row r="30" spans="1:21" ht="15.75" x14ac:dyDescent="0.25">
      <c r="B30" s="129"/>
      <c r="C30" s="130"/>
      <c r="D30" s="129"/>
      <c r="E30" s="130"/>
      <c r="F30" s="129"/>
      <c r="G30" s="130"/>
      <c r="H30" s="129"/>
      <c r="I30" s="132"/>
      <c r="J30" s="133"/>
      <c r="K30" s="130"/>
      <c r="L30" s="120"/>
      <c r="M30" s="130"/>
      <c r="N30" s="120"/>
      <c r="O30" s="132"/>
      <c r="P30" s="120"/>
      <c r="Q30" s="130"/>
      <c r="R30" s="133"/>
      <c r="S30" s="130"/>
      <c r="T30" s="127"/>
      <c r="U30" s="128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workbookViewId="0">
      <selection activeCell="H32" sqref="H32"/>
    </sheetView>
  </sheetViews>
  <sheetFormatPr defaultRowHeight="12" x14ac:dyDescent="0.2"/>
  <cols>
    <col min="1" max="16384" width="9.140625" style="3"/>
  </cols>
  <sheetData>
    <row r="2" spans="1:12" ht="31.5" customHeight="1" x14ac:dyDescent="0.2">
      <c r="A2" s="197" t="s">
        <v>99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2.75" customHeight="1" x14ac:dyDescent="0.2">
      <c r="A3" s="160"/>
      <c r="B3" s="161"/>
      <c r="C3" s="161"/>
      <c r="D3" s="161"/>
      <c r="E3" s="161"/>
      <c r="F3" s="161"/>
      <c r="G3" s="161"/>
      <c r="H3" s="161"/>
      <c r="I3" s="161"/>
      <c r="J3" s="161"/>
    </row>
    <row r="4" spans="1:12" ht="12.75" customHeight="1" x14ac:dyDescent="0.2">
      <c r="A4" s="160"/>
      <c r="B4" s="161"/>
      <c r="C4" s="161"/>
      <c r="D4" s="161"/>
      <c r="E4" s="161"/>
      <c r="F4" s="161"/>
      <c r="G4" s="161"/>
      <c r="H4" s="161"/>
      <c r="I4" s="161"/>
      <c r="J4" s="161"/>
    </row>
    <row r="5" spans="1:12" ht="12.75" customHeight="1" x14ac:dyDescent="0.2">
      <c r="A5" s="160"/>
      <c r="B5" s="161"/>
      <c r="C5" s="161"/>
      <c r="D5" s="161"/>
      <c r="E5" s="161"/>
      <c r="F5" s="161"/>
      <c r="G5" s="161"/>
      <c r="H5" s="161"/>
      <c r="I5" s="161"/>
      <c r="J5" s="161"/>
    </row>
    <row r="6" spans="1:12" ht="12.75" customHeight="1" x14ac:dyDescent="0.2">
      <c r="A6" s="160"/>
      <c r="B6" s="161"/>
      <c r="C6" s="161"/>
      <c r="D6" s="161"/>
      <c r="E6" s="161"/>
      <c r="F6" s="161"/>
      <c r="G6" s="161"/>
      <c r="H6" s="161"/>
      <c r="I6" s="161"/>
      <c r="J6" s="161"/>
    </row>
    <row r="7" spans="1:12" ht="12.75" customHeigh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</row>
    <row r="8" spans="1:12" ht="12.75" customHeight="1" x14ac:dyDescent="0.2">
      <c r="A8" s="160"/>
      <c r="B8" s="161"/>
      <c r="C8" s="161"/>
      <c r="D8" s="161"/>
      <c r="E8" s="161"/>
      <c r="F8" s="161"/>
      <c r="G8" s="161"/>
      <c r="H8" s="161"/>
      <c r="I8" s="161"/>
      <c r="J8" s="161"/>
    </row>
    <row r="9" spans="1:12" ht="12.75" customHeight="1" x14ac:dyDescent="0.2">
      <c r="A9" s="160"/>
      <c r="B9" s="161"/>
      <c r="C9" s="161"/>
      <c r="D9" s="161"/>
      <c r="E9" s="161"/>
      <c r="F9" s="161"/>
      <c r="G9" s="161"/>
      <c r="H9" s="161"/>
      <c r="I9" s="161"/>
      <c r="J9" s="161"/>
    </row>
    <row r="10" spans="1:12" x14ac:dyDescent="0.2">
      <c r="A10" s="156"/>
    </row>
    <row r="22" spans="1:2" x14ac:dyDescent="0.2">
      <c r="A22" s="154"/>
      <c r="B22" s="146" t="s">
        <v>86</v>
      </c>
    </row>
    <row r="23" spans="1:2" x14ac:dyDescent="0.2">
      <c r="A23" s="50">
        <v>2000</v>
      </c>
      <c r="B23" s="157">
        <v>132.4</v>
      </c>
    </row>
    <row r="24" spans="1:2" x14ac:dyDescent="0.2">
      <c r="A24" s="50">
        <v>2001</v>
      </c>
      <c r="B24" s="157">
        <v>114.9</v>
      </c>
    </row>
    <row r="25" spans="1:2" x14ac:dyDescent="0.2">
      <c r="A25" s="50">
        <v>2002</v>
      </c>
      <c r="B25" s="157">
        <v>116.3</v>
      </c>
    </row>
    <row r="26" spans="1:2" x14ac:dyDescent="0.2">
      <c r="A26" s="50">
        <v>2003</v>
      </c>
      <c r="B26" s="157">
        <v>135.1</v>
      </c>
    </row>
    <row r="27" spans="1:2" x14ac:dyDescent="0.2">
      <c r="A27" s="50">
        <v>2004</v>
      </c>
      <c r="B27" s="157">
        <v>126.1</v>
      </c>
    </row>
    <row r="28" spans="1:2" x14ac:dyDescent="0.2">
      <c r="A28" s="50">
        <v>2005</v>
      </c>
      <c r="B28" s="157">
        <v>129.6</v>
      </c>
    </row>
    <row r="29" spans="1:2" x14ac:dyDescent="0.2">
      <c r="A29" s="50">
        <v>2006</v>
      </c>
      <c r="B29" s="157">
        <v>117.5</v>
      </c>
    </row>
    <row r="30" spans="1:2" x14ac:dyDescent="0.2">
      <c r="A30" s="50">
        <v>2007</v>
      </c>
      <c r="B30" s="158">
        <v>137</v>
      </c>
    </row>
    <row r="31" spans="1:2" x14ac:dyDescent="0.2">
      <c r="A31" s="50">
        <v>2008</v>
      </c>
      <c r="B31" s="157">
        <v>132.80000000000001</v>
      </c>
    </row>
    <row r="32" spans="1:2" x14ac:dyDescent="0.2">
      <c r="A32" s="50">
        <v>2009</v>
      </c>
      <c r="B32" s="157">
        <v>66.900000000000006</v>
      </c>
    </row>
    <row r="33" spans="1:2" x14ac:dyDescent="0.2">
      <c r="A33" s="50">
        <v>2010</v>
      </c>
      <c r="B33" s="157">
        <v>117.6</v>
      </c>
    </row>
    <row r="34" spans="1:2" x14ac:dyDescent="0.2">
      <c r="A34" s="50">
        <v>2011</v>
      </c>
      <c r="B34" s="157">
        <v>134.69999999999999</v>
      </c>
    </row>
    <row r="35" spans="1:2" x14ac:dyDescent="0.2">
      <c r="A35" s="50">
        <v>2012</v>
      </c>
      <c r="B35" s="157">
        <v>100.4</v>
      </c>
    </row>
    <row r="36" spans="1:2" x14ac:dyDescent="0.2">
      <c r="A36" s="50">
        <v>2013</v>
      </c>
      <c r="B36" s="157">
        <v>105.4</v>
      </c>
    </row>
    <row r="37" spans="1:2" x14ac:dyDescent="0.2">
      <c r="A37" s="50">
        <v>2014</v>
      </c>
      <c r="B37" s="157">
        <v>96.8</v>
      </c>
    </row>
    <row r="38" spans="1:2" x14ac:dyDescent="0.2">
      <c r="A38" s="50">
        <v>2015</v>
      </c>
      <c r="B38" s="158">
        <v>75</v>
      </c>
    </row>
    <row r="39" spans="1:2" x14ac:dyDescent="0.2">
      <c r="A39" s="50">
        <v>2016</v>
      </c>
      <c r="B39" s="157">
        <v>100.8</v>
      </c>
    </row>
    <row r="40" spans="1:2" x14ac:dyDescent="0.2">
      <c r="A40" s="50">
        <v>2017</v>
      </c>
      <c r="B40" s="157">
        <v>120.2</v>
      </c>
    </row>
    <row r="41" spans="1:2" x14ac:dyDescent="0.2">
      <c r="A41" s="50">
        <v>2018</v>
      </c>
      <c r="B41" s="151">
        <f>IF(4831335.29052="","-",5760057.05112/4831335.29052*100)</f>
        <v>119.22287948887191</v>
      </c>
    </row>
    <row r="42" spans="1:2" x14ac:dyDescent="0.2">
      <c r="A42" s="50">
        <v>2019</v>
      </c>
      <c r="B42" s="157">
        <v>101.4</v>
      </c>
    </row>
    <row r="43" spans="1:2" x14ac:dyDescent="0.2">
      <c r="A43" s="50">
        <v>2020</v>
      </c>
      <c r="B43" s="175">
        <v>92.7</v>
      </c>
    </row>
    <row r="44" spans="1:2" x14ac:dyDescent="0.2">
      <c r="A44" s="51">
        <v>2021</v>
      </c>
      <c r="B44" s="159">
        <v>132.5</v>
      </c>
    </row>
  </sheetData>
  <mergeCells count="1">
    <mergeCell ref="A2:L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D35" sqref="D35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x14ac:dyDescent="0.2">
      <c r="A2" s="187" t="s">
        <v>100</v>
      </c>
      <c r="B2" s="187"/>
      <c r="C2" s="187"/>
      <c r="D2" s="187"/>
      <c r="E2" s="187"/>
      <c r="F2" s="187"/>
      <c r="G2" s="79"/>
      <c r="H2" s="75"/>
      <c r="I2" s="75"/>
      <c r="J2" s="75"/>
      <c r="K2" s="75"/>
      <c r="L2" s="75"/>
      <c r="M2" s="7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8"/>
      <c r="B22" s="48"/>
      <c r="C22" s="48"/>
      <c r="D22" s="48"/>
      <c r="E22" s="48"/>
      <c r="F22" s="48"/>
      <c r="G22" s="48"/>
    </row>
    <row r="23" spans="1:7" x14ac:dyDescent="0.2">
      <c r="A23" s="48"/>
      <c r="B23" s="48"/>
      <c r="C23" s="48"/>
      <c r="D23" s="48"/>
      <c r="E23" s="48"/>
      <c r="F23" s="48"/>
      <c r="G23" s="48"/>
    </row>
    <row r="24" spans="1:7" x14ac:dyDescent="0.2">
      <c r="A24" s="68" t="s">
        <v>28</v>
      </c>
      <c r="B24" s="14">
        <v>2021</v>
      </c>
      <c r="C24" s="14">
        <v>2020</v>
      </c>
      <c r="D24" s="14">
        <v>2019</v>
      </c>
      <c r="E24" s="14">
        <v>2018</v>
      </c>
      <c r="F24" s="14">
        <v>2017</v>
      </c>
      <c r="G24" s="14">
        <v>2016</v>
      </c>
    </row>
    <row r="25" spans="1:7" x14ac:dyDescent="0.2">
      <c r="A25" s="55" t="s">
        <v>29</v>
      </c>
      <c r="B25" s="135">
        <v>3.2</v>
      </c>
      <c r="C25" s="110">
        <v>1.5</v>
      </c>
      <c r="D25" s="110">
        <v>2.1</v>
      </c>
      <c r="E25" s="110">
        <v>2.8</v>
      </c>
      <c r="F25" s="110">
        <v>2.8</v>
      </c>
      <c r="G25" s="111">
        <v>2.6</v>
      </c>
    </row>
    <row r="26" spans="1:7" x14ac:dyDescent="0.2">
      <c r="A26" s="56" t="s">
        <v>30</v>
      </c>
      <c r="B26" s="136">
        <v>4.4000000000000004</v>
      </c>
      <c r="C26" s="108">
        <v>4.5999999999999996</v>
      </c>
      <c r="D26" s="108">
        <v>4.5999999999999996</v>
      </c>
      <c r="E26" s="108">
        <v>5.7</v>
      </c>
      <c r="F26" s="108">
        <v>5.6</v>
      </c>
      <c r="G26" s="112">
        <v>5.7</v>
      </c>
    </row>
    <row r="27" spans="1:7" x14ac:dyDescent="0.2">
      <c r="A27" s="56" t="s">
        <v>31</v>
      </c>
      <c r="B27" s="136">
        <v>83.8</v>
      </c>
      <c r="C27" s="108">
        <v>87.6</v>
      </c>
      <c r="D27" s="108">
        <v>84.6</v>
      </c>
      <c r="E27" s="108">
        <v>82.8</v>
      </c>
      <c r="F27" s="108">
        <v>83.4</v>
      </c>
      <c r="G27" s="112">
        <v>83</v>
      </c>
    </row>
    <row r="28" spans="1:7" x14ac:dyDescent="0.2">
      <c r="A28" s="56" t="s">
        <v>32</v>
      </c>
      <c r="B28" s="136">
        <v>2.5</v>
      </c>
      <c r="C28" s="108">
        <v>2.4</v>
      </c>
      <c r="D28" s="108">
        <v>2.8</v>
      </c>
      <c r="E28" s="108">
        <v>2.7</v>
      </c>
      <c r="F28" s="108">
        <v>2.7</v>
      </c>
      <c r="G28" s="112">
        <v>2</v>
      </c>
    </row>
    <row r="29" spans="1:7" x14ac:dyDescent="0.2">
      <c r="A29" s="56" t="s">
        <v>58</v>
      </c>
      <c r="B29" s="136">
        <v>0.2</v>
      </c>
      <c r="C29" s="108">
        <v>0.2</v>
      </c>
      <c r="D29" s="108">
        <v>0.2</v>
      </c>
      <c r="E29" s="108">
        <v>0.2</v>
      </c>
      <c r="F29" s="108">
        <v>0.3</v>
      </c>
      <c r="G29" s="112">
        <v>1</v>
      </c>
    </row>
    <row r="30" spans="1:7" x14ac:dyDescent="0.2">
      <c r="A30" s="56" t="s">
        <v>59</v>
      </c>
      <c r="B30" s="136">
        <v>5.3</v>
      </c>
      <c r="C30" s="108">
        <v>3.1</v>
      </c>
      <c r="D30" s="108">
        <v>4.9000000000000004</v>
      </c>
      <c r="E30" s="108">
        <v>5.2</v>
      </c>
      <c r="F30" s="108">
        <v>4.5999999999999996</v>
      </c>
      <c r="G30" s="112">
        <v>5</v>
      </c>
    </row>
    <row r="31" spans="1:7" x14ac:dyDescent="0.2">
      <c r="A31" s="57" t="s">
        <v>60</v>
      </c>
      <c r="B31" s="137">
        <v>0.6</v>
      </c>
      <c r="C31" s="113">
        <v>0.6</v>
      </c>
      <c r="D31" s="113">
        <v>0.8</v>
      </c>
      <c r="E31" s="113">
        <v>0.6</v>
      </c>
      <c r="F31" s="113">
        <v>0.6</v>
      </c>
      <c r="G31" s="114">
        <v>0.7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opLeftCell="A4" workbookViewId="0">
      <selection activeCell="B33" sqref="B33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x14ac:dyDescent="0.2">
      <c r="A2" s="180" t="s">
        <v>101</v>
      </c>
      <c r="B2" s="180"/>
      <c r="C2" s="180"/>
      <c r="D2" s="180"/>
      <c r="E2" s="180"/>
      <c r="F2" s="7"/>
      <c r="G2" s="7"/>
    </row>
    <row r="3" spans="1:13" x14ac:dyDescent="0.2">
      <c r="A3" s="76"/>
      <c r="B3" s="76"/>
      <c r="C3" s="76"/>
      <c r="D3" s="76"/>
      <c r="E3" s="76"/>
      <c r="F3" s="76"/>
      <c r="G3" s="76"/>
      <c r="H3" s="75"/>
      <c r="I3" s="75"/>
      <c r="J3" s="75"/>
      <c r="K3" s="75"/>
      <c r="L3" s="75"/>
      <c r="M3" s="75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x14ac:dyDescent="0.2">
      <c r="A22" s="31"/>
      <c r="B22" s="13">
        <v>2016</v>
      </c>
      <c r="C22" s="13">
        <v>2017</v>
      </c>
      <c r="D22" s="13">
        <v>2018</v>
      </c>
      <c r="E22" s="14">
        <v>2019</v>
      </c>
      <c r="F22" s="14">
        <v>2020</v>
      </c>
      <c r="G22" s="14">
        <v>2021</v>
      </c>
    </row>
    <row r="23" spans="1:7" ht="15" customHeight="1" x14ac:dyDescent="0.2">
      <c r="A23" s="24" t="s">
        <v>61</v>
      </c>
      <c r="B23" s="135">
        <v>47.5</v>
      </c>
      <c r="C23" s="110">
        <v>48.3</v>
      </c>
      <c r="D23" s="110">
        <v>48.4</v>
      </c>
      <c r="E23" s="110">
        <v>48.5</v>
      </c>
      <c r="F23" s="110">
        <v>45.6</v>
      </c>
      <c r="G23" s="111">
        <v>43.9</v>
      </c>
    </row>
    <row r="24" spans="1:7" ht="15" customHeight="1" x14ac:dyDescent="0.2">
      <c r="A24" s="25" t="s">
        <v>62</v>
      </c>
      <c r="B24" s="136">
        <v>25.6</v>
      </c>
      <c r="C24" s="108">
        <v>24.9</v>
      </c>
      <c r="D24" s="108">
        <v>25.2</v>
      </c>
      <c r="E24" s="108">
        <v>24.2</v>
      </c>
      <c r="F24" s="108">
        <v>24.3</v>
      </c>
      <c r="G24" s="112">
        <v>26.5</v>
      </c>
    </row>
    <row r="25" spans="1:7" ht="15.75" customHeight="1" x14ac:dyDescent="0.2">
      <c r="A25" s="26" t="s">
        <v>63</v>
      </c>
      <c r="B25" s="137">
        <v>26.9</v>
      </c>
      <c r="C25" s="113">
        <v>26.8</v>
      </c>
      <c r="D25" s="113">
        <v>26.4</v>
      </c>
      <c r="E25" s="113">
        <v>27.3</v>
      </c>
      <c r="F25" s="113">
        <v>30.1</v>
      </c>
      <c r="G25" s="114">
        <v>29.6</v>
      </c>
    </row>
    <row r="26" spans="1:7" x14ac:dyDescent="0.2">
      <c r="G26" s="9"/>
    </row>
  </sheetData>
  <mergeCells count="1">
    <mergeCell ref="A2:E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workbookViewId="0">
      <selection activeCell="J16" sqref="J16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0" x14ac:dyDescent="0.2">
      <c r="A2" s="187" t="s">
        <v>102</v>
      </c>
      <c r="B2" s="187"/>
      <c r="C2" s="187"/>
      <c r="D2" s="187"/>
      <c r="E2" s="187"/>
      <c r="F2" s="187"/>
      <c r="G2" s="79"/>
      <c r="H2" s="75"/>
      <c r="I2" s="75"/>
      <c r="J2" s="75"/>
    </row>
    <row r="24" spans="1:7" ht="26.25" customHeight="1" x14ac:dyDescent="0.2">
      <c r="A24" s="154"/>
      <c r="B24" s="14">
        <v>2016</v>
      </c>
      <c r="C24" s="14">
        <v>2017</v>
      </c>
      <c r="D24" s="14">
        <v>2018</v>
      </c>
      <c r="E24" s="14">
        <v>2019</v>
      </c>
      <c r="F24" s="14">
        <v>2020</v>
      </c>
      <c r="G24" s="14">
        <v>2021</v>
      </c>
    </row>
    <row r="25" spans="1:7" x14ac:dyDescent="0.2">
      <c r="A25" s="164" t="s">
        <v>79</v>
      </c>
      <c r="B25" s="165">
        <v>13.31227758872644</v>
      </c>
      <c r="C25" s="165">
        <f>IF(571704.23301="","-",571704.23301/4831335.29052*100)</f>
        <v>11.833255169265369</v>
      </c>
      <c r="D25" s="165">
        <f>IF(720656.62772="","-",720656.62772/5760057.05112*100)</f>
        <v>12.511275866267221</v>
      </c>
      <c r="E25" s="165">
        <f>IF(692513.93306="","-",692513.93306/5842484.3398*100)</f>
        <v>11.853072987161932</v>
      </c>
      <c r="F25" s="165">
        <f>IF(603524.20473="","-",603524.20473/5415988.29784*100)</f>
        <v>11.143380885270689</v>
      </c>
      <c r="G25" s="171">
        <f>IF(1053569.50431="","-",1053569.50431/7176590.69493*100)</f>
        <v>14.680640837637688</v>
      </c>
    </row>
    <row r="26" spans="1:7" x14ac:dyDescent="0.2">
      <c r="A26" s="164" t="s">
        <v>66</v>
      </c>
      <c r="B26" s="165">
        <v>9.7923835357430171</v>
      </c>
      <c r="C26" s="165">
        <f>IF(505379.9597="","-",505379.9597/4831335.29052*100)</f>
        <v>10.46046132818916</v>
      </c>
      <c r="D26" s="165">
        <f>IF(600283.8854="","-",600283.8854/5760057.05112*100)</f>
        <v>10.421492010800124</v>
      </c>
      <c r="E26" s="165">
        <f>IF(602292.88421="","-",602292.88421/5842484.3398*100)</f>
        <v>10.30884892762276</v>
      </c>
      <c r="F26" s="165">
        <f>IF(645830.3329="","-",645830.3329/5415988.29784*100)</f>
        <v>11.924514924775032</v>
      </c>
      <c r="G26" s="172">
        <f>IF(836516.1868="","-",836516.1868/7176590.69493*100)</f>
        <v>11.656178014875062</v>
      </c>
    </row>
    <row r="27" spans="1:7" x14ac:dyDescent="0.2">
      <c r="A27" s="164" t="s">
        <v>36</v>
      </c>
      <c r="B27" s="165">
        <f>IF(OR(551498.82402="",551498.82402="***"),"-",551498.82402/4020356.96103*100)</f>
        <v>13.717658142442858</v>
      </c>
      <c r="C27" s="165">
        <f>IF(694523.21008="","-",694523.21008/4831335.29052*100)</f>
        <v>14.375388341247744</v>
      </c>
      <c r="D27" s="165">
        <f>IF(838184.56726="","-",838184.56726/5760057.05112*100)</f>
        <v>14.551671273759718</v>
      </c>
      <c r="E27" s="165">
        <f>IF(841187.97847="","-",841187.97847/5842484.3398*100)</f>
        <v>14.397778916405199</v>
      </c>
      <c r="F27" s="165">
        <f>IF(631931.78444="","-",631931.78444/5415988.29784*100)</f>
        <v>11.667894199328801</v>
      </c>
      <c r="G27" s="172">
        <f>IF(829982.97058="","-",829982.97058/7176590.69493*100)</f>
        <v>11.565142918995683</v>
      </c>
    </row>
    <row r="28" spans="1:7" x14ac:dyDescent="0.2">
      <c r="A28" s="164" t="s">
        <v>41</v>
      </c>
      <c r="B28" s="165">
        <v>9.5487146288534603</v>
      </c>
      <c r="C28" s="165">
        <f>IF(511096.14361="","-",511096.14361/4831335.29052*100)</f>
        <v>10.57877611212097</v>
      </c>
      <c r="D28" s="165">
        <f>IF(577085.76695="","-",577085.76695/5760057.05112*100)</f>
        <v>10.018750887854313</v>
      </c>
      <c r="E28" s="165">
        <f>IF(568940.97962="","-",568940.97962/5842484.3398*100)</f>
        <v>9.7379975115085369</v>
      </c>
      <c r="F28" s="165">
        <f>IF(527417.77474="","-",527417.77474/5415988.29784*100)</f>
        <v>9.7381631151297796</v>
      </c>
      <c r="G28" s="172">
        <f>IF(667219.90863="","-",667219.90863/7176590.69493*100)</f>
        <v>9.2971709965480755</v>
      </c>
    </row>
    <row r="29" spans="1:7" x14ac:dyDescent="0.2">
      <c r="A29" s="164" t="s">
        <v>37</v>
      </c>
      <c r="B29" s="165">
        <v>7.8709703224693017</v>
      </c>
      <c r="C29" s="165">
        <f>IF(390600.11077="","-",390600.11077/4831335.29052*100)</f>
        <v>8.0847237312722182</v>
      </c>
      <c r="D29" s="165">
        <f>IF(483123.67837="","-",483123.67837/5760057.05112*100)</f>
        <v>8.3874807850394504</v>
      </c>
      <c r="E29" s="165">
        <f>IF(484115.1814="","-",484115.1814/5842484.3398*100)</f>
        <v>8.286118596880522</v>
      </c>
      <c r="F29" s="165">
        <f>IF(452202.96369="","-",452202.96369/5415988.29784*100)</f>
        <v>8.3494080640895625</v>
      </c>
      <c r="G29" s="172">
        <f>IF(546705.43189="","-",546705.43189/7176590.69493*100)</f>
        <v>7.6178990154228448</v>
      </c>
    </row>
    <row r="30" spans="1:7" x14ac:dyDescent="0.2">
      <c r="A30" s="164" t="s">
        <v>38</v>
      </c>
      <c r="B30" s="165">
        <v>6.7652167204654958</v>
      </c>
      <c r="C30" s="165">
        <f>IF(304346.7596="","-",304346.7596/4831335.29052*100)</f>
        <v>6.2994336202909835</v>
      </c>
      <c r="D30" s="165">
        <f>IF(340400.72773="","-",340400.72773/5760057.05112*100)</f>
        <v>5.9096763228032891</v>
      </c>
      <c r="E30" s="165">
        <f>IF(400548.63019="","-",400548.63019/5842484.3398*100)</f>
        <v>6.8557929622745304</v>
      </c>
      <c r="F30" s="165">
        <f>IF(388184.70812="","-",388184.70812/5415988.29784*100)</f>
        <v>7.1673845431832914</v>
      </c>
      <c r="G30" s="172">
        <f>IF(543664.4343="","-",543664.4343/7176590.69493*100)</f>
        <v>7.5755251680171627</v>
      </c>
    </row>
    <row r="31" spans="1:7" x14ac:dyDescent="0.2">
      <c r="A31" s="164" t="s">
        <v>39</v>
      </c>
      <c r="B31" s="165">
        <v>6.9837280833905764</v>
      </c>
      <c r="C31" s="165">
        <f>IF(331266.4648="","-",331266.4648/4831335.29052*100)</f>
        <v>6.8566233738736351</v>
      </c>
      <c r="D31" s="165">
        <f>IF(389487.58469="","-",389487.58469/5760057.05112*100)</f>
        <v>6.7618702598486777</v>
      </c>
      <c r="E31" s="165">
        <f>IF(406430.65966="","-",406430.65966/5842484.3398*100)</f>
        <v>6.9564698169805093</v>
      </c>
      <c r="F31" s="165">
        <f>IF(346826.35604="","-",346826.35604/5415988.29784*100)</f>
        <v>6.403750100019991</v>
      </c>
      <c r="G31" s="172">
        <f>IF(444463.68781="","-",444463.68781/7176590.69493*100)</f>
        <v>6.1932428182646309</v>
      </c>
    </row>
    <row r="32" spans="1:7" x14ac:dyDescent="0.2">
      <c r="A32" s="164" t="s">
        <v>40</v>
      </c>
      <c r="B32" s="165">
        <v>3.2883945276871516</v>
      </c>
      <c r="C32" s="165">
        <f>IF(165713.7717="","-",165713.7717/4831335.29052*100)</f>
        <v>3.4299787064077707</v>
      </c>
      <c r="D32" s="165">
        <f>IF(202725.14401="","-",202725.14401/5760057.05112*100)</f>
        <v>3.5194988905636202</v>
      </c>
      <c r="E32" s="165">
        <f>IF(201624.70556="","-",201624.70556/5842484.3398*100)</f>
        <v>3.4510097731284981</v>
      </c>
      <c r="F32" s="165">
        <f>IF(217169.11091="","-",217169.11091/5415988.29784*100)</f>
        <v>4.0097780675894592</v>
      </c>
      <c r="G32" s="172">
        <f>IF(261614.91845="","-",261614.91845/7176590.69493*100)</f>
        <v>3.645392771735211</v>
      </c>
    </row>
    <row r="33" spans="1:7" x14ac:dyDescent="0.2">
      <c r="A33" s="164" t="s">
        <v>81</v>
      </c>
      <c r="B33" s="165">
        <f>IF(OR(89958.01176="",89958.01176="***"),"-",89958.01176/4020356.96103*100)</f>
        <v>2.2375627993230007</v>
      </c>
      <c r="C33" s="165">
        <f>IF(112676.72672="","-",112676.72672/4831335.29052*100)</f>
        <v>2.3322067284606227</v>
      </c>
      <c r="D33" s="165">
        <f>IF(132375.45209="","-",132375.45209/5760057.05112*100)</f>
        <v>2.2981621694920644</v>
      </c>
      <c r="E33" s="165">
        <f>IF(147014.04363="","-",147014.04363/5842484.3398*100)</f>
        <v>2.516293327968639</v>
      </c>
      <c r="F33" s="165">
        <f>IF(121336.76493="","-",121336.76493/5415988.29784*100)</f>
        <v>2.2403439272273067</v>
      </c>
      <c r="G33" s="172">
        <f>IF(170655.43488="","-",170655.43488/7176590.69493*100)</f>
        <v>2.377945770274482</v>
      </c>
    </row>
    <row r="34" spans="1:7" x14ac:dyDescent="0.2">
      <c r="A34" s="164" t="s">
        <v>42</v>
      </c>
      <c r="B34" s="165">
        <v>2.5193892435872236</v>
      </c>
      <c r="C34" s="165">
        <f>IF(114591.45571="","-",114591.45571/4831335.29052*100)</f>
        <v>2.3718381941913709</v>
      </c>
      <c r="D34" s="165">
        <f>IF(128169.79631="","-",128169.79631/5760057.05112*100)</f>
        <v>2.2251480353841</v>
      </c>
      <c r="E34" s="165">
        <f>IF(130979.98713="","-",130979.98713/5842484.3398*100)</f>
        <v>2.2418543125180839</v>
      </c>
      <c r="F34" s="165">
        <f>IF(113783.26144="","-",113783.26144/5415988.29784*100)</f>
        <v>2.1008771655835914</v>
      </c>
      <c r="G34" s="172">
        <f>IF(145288.52739="","-",145288.52739/7176590.69493*100)</f>
        <v>2.0244783848776695</v>
      </c>
    </row>
    <row r="35" spans="1:7" x14ac:dyDescent="0.2">
      <c r="A35" s="164" t="s">
        <v>43</v>
      </c>
      <c r="B35" s="165">
        <v>1.9922545703374501</v>
      </c>
      <c r="C35" s="165">
        <f>IF(99638.15919="","-",99638.15919/4831335.29052*100)</f>
        <v>2.0623316991786731</v>
      </c>
      <c r="D35" s="165">
        <f>IF(110729.93634="","-",110729.93634/5760057.05112*100)</f>
        <v>1.9223756875545075</v>
      </c>
      <c r="E35" s="165">
        <f>IF(108889.82459="","-",108889.82459/5842484.3398*100)</f>
        <v>1.86375894665603</v>
      </c>
      <c r="F35" s="165">
        <f>IF(100469.76512="","-",100469.76512/5415988.29784*100)</f>
        <v>1.8550587555750306</v>
      </c>
      <c r="G35" s="172">
        <f>IF(121597.88881="","-",121597.88881/7176590.69493*100)</f>
        <v>1.6943684540335353</v>
      </c>
    </row>
    <row r="36" spans="1:7" ht="13.5" customHeight="1" x14ac:dyDescent="0.2">
      <c r="A36" s="164" t="s">
        <v>82</v>
      </c>
      <c r="B36" s="165">
        <v>1.3965904354825029</v>
      </c>
      <c r="C36" s="165">
        <f>IF(68215.10561="","-",68215.10561/4831335.29052*100)</f>
        <v>1.4119306880615599</v>
      </c>
      <c r="D36" s="165">
        <f>IF(86955.14385="","-",86955.14385/5760057.05112*100)</f>
        <v>1.5096229616873711</v>
      </c>
      <c r="E36" s="165">
        <f>IF(112931.31924="","-",112931.31924/5842484.3398*100)</f>
        <v>1.9329331953993025</v>
      </c>
      <c r="F36" s="165">
        <f>IF(96101.07506="","-",96101.07506/5415988.29784*100)</f>
        <v>1.7743959140075496</v>
      </c>
      <c r="G36" s="172">
        <f>IF(114939.16883="","-",114939.16883/7176590.69493*100)</f>
        <v>1.6015845645370348</v>
      </c>
    </row>
    <row r="37" spans="1:7" ht="12" customHeight="1" x14ac:dyDescent="0.2">
      <c r="A37" s="164" t="s">
        <v>96</v>
      </c>
      <c r="B37" s="165">
        <v>1.3255601449466001</v>
      </c>
      <c r="C37" s="165">
        <f>IF(70222.22788="","-",70222.22788/4831335.29052*100)</f>
        <v>1.4534745294492268</v>
      </c>
      <c r="D37" s="165">
        <f>IF(72862.68546="","-",72862.68546/5760057.05112*100)</f>
        <v>1.2649646490190993</v>
      </c>
      <c r="E37" s="165">
        <f>IF(74329.64217="","-",74329.64217/5842484.3398*100)</f>
        <v>1.27222663933652</v>
      </c>
      <c r="F37" s="165">
        <f>IF(68442.07101="","-",68442.07101/5415988.29784*100)</f>
        <v>1.2637041892667309</v>
      </c>
      <c r="G37" s="172">
        <f>IF(107398.77927="","-",107398.77927/7176590.69493*100)</f>
        <v>1.4965153209291053</v>
      </c>
    </row>
    <row r="38" spans="1:7" x14ac:dyDescent="0.2">
      <c r="A38" s="164" t="s">
        <v>44</v>
      </c>
      <c r="B38" s="165">
        <f>IF(OR(49953.10577="",49953.10577="***"),"-",49953.10577/4020356.96103*100)</f>
        <v>1.2425042416433143</v>
      </c>
      <c r="C38" s="165">
        <f>IF(60740.92086="","-",60740.92086/4831335.29052*100)</f>
        <v>1.257228430806391</v>
      </c>
      <c r="D38" s="165">
        <f>IF(75866.1085="","-",75866.1085/5760057.05112*100)</f>
        <v>1.3171068936764854</v>
      </c>
      <c r="E38" s="165">
        <f>IF(80966.06634="","-",80966.06634/5842484.3398*100)</f>
        <v>1.3858157186395066</v>
      </c>
      <c r="F38" s="165">
        <f>IF(78278.17528="","-",78278.17528/5415988.29784*100)</f>
        <v>1.445316551204862</v>
      </c>
      <c r="G38" s="172">
        <f>IF(100689.08774="","-",100689.08774/7176590.69493*100)</f>
        <v>1.4030211840161537</v>
      </c>
    </row>
    <row r="39" spans="1:7" x14ac:dyDescent="0.2">
      <c r="A39" s="164" t="s">
        <v>67</v>
      </c>
      <c r="B39" s="165">
        <v>1.834117721504724</v>
      </c>
      <c r="C39" s="165">
        <f>IF(80297.6847="","-",80297.6847/4831335.29052*100)</f>
        <v>1.6620184663556543</v>
      </c>
      <c r="D39" s="165">
        <f>IF(103639.04136="","-",103639.04136/5760057.05112*100)</f>
        <v>1.7992710912446288</v>
      </c>
      <c r="E39" s="165">
        <f>IF(92148.84823="","-",92148.84823/5842484.3398*100)</f>
        <v>1.5772202862790119</v>
      </c>
      <c r="F39" s="165">
        <f>IF(62744.19598="","-",62744.19598/5415988.29784*100)</f>
        <v>1.1584994746946478</v>
      </c>
      <c r="G39" s="172">
        <f>IF(97723.28092="","-",97723.28092/7176590.69493*100)</f>
        <v>1.3616950593133024</v>
      </c>
    </row>
    <row r="40" spans="1:7" x14ac:dyDescent="0.2">
      <c r="A40" s="164" t="s">
        <v>45</v>
      </c>
      <c r="B40" s="165">
        <v>1.4332580675930191</v>
      </c>
      <c r="C40" s="165">
        <f>IF(74125.47142="","-",74125.47142/4831335.29052*100)</f>
        <v>1.5342646900422807</v>
      </c>
      <c r="D40" s="165">
        <f>IF(64568.10126="","-",64568.10126/5760057.05112*100)</f>
        <v>1.1209628773979803</v>
      </c>
      <c r="E40" s="165">
        <f>IF(56212.51121="","-",56212.51121/5842484.3398*100)</f>
        <v>0.96213370786586083</v>
      </c>
      <c r="F40" s="165">
        <f>IF(62709.90352="","-",62709.90352/5415988.29784*100)</f>
        <v>1.1578663038287935</v>
      </c>
      <c r="G40" s="172">
        <f>IF(77215.40492="","-",77215.40492/7176590.69493*100)</f>
        <v>1.0759343566096067</v>
      </c>
    </row>
    <row r="41" spans="1:7" x14ac:dyDescent="0.2">
      <c r="A41" s="164" t="s">
        <v>46</v>
      </c>
      <c r="B41" s="165">
        <v>1.0799272176786201</v>
      </c>
      <c r="C41" s="165">
        <f>IF(47757.14559="","-",47757.14559/4831335.29052*100)</f>
        <v>0.98848750331422075</v>
      </c>
      <c r="D41" s="165">
        <f>IF(60668.39155="","-",60668.39155/5760057.05112*100)</f>
        <v>1.0532602543963254</v>
      </c>
      <c r="E41" s="165">
        <f>IF(57120.30365="","-",57120.30365/5842484.3398*100)</f>
        <v>0.97767148917947033</v>
      </c>
      <c r="F41" s="165">
        <f>IF(59683.45274="","-",59683.45274/5415988.29784*100)</f>
        <v>1.1019863680983746</v>
      </c>
      <c r="G41" s="172">
        <f>IF(76815.64303="","-",76815.64303/7176590.69493*100)</f>
        <v>1.0703639972705628</v>
      </c>
    </row>
    <row r="42" spans="1:7" x14ac:dyDescent="0.2">
      <c r="A42" s="164" t="s">
        <v>75</v>
      </c>
      <c r="B42" s="165">
        <v>0.69965569507025926</v>
      </c>
      <c r="C42" s="165">
        <f>IF(37516.36379="","-",37516.36379/4831335.29052*100)</f>
        <v>0.77652163499424787</v>
      </c>
      <c r="D42" s="165">
        <f>IF(53058.91281="","-",53058.91281/5760057.05112*100)</f>
        <v>0.92115255698175924</v>
      </c>
      <c r="E42" s="165">
        <f>IF(51675.21965="","-",51675.21965/5842484.3398*100)</f>
        <v>0.88447339598293118</v>
      </c>
      <c r="F42" s="165">
        <f>IF(56427.57662="","-",56427.57662/5415988.29784*100)</f>
        <v>1.0418703571147743</v>
      </c>
      <c r="G42" s="172">
        <f>IF(67439.12769="","-",67439.12769/7176590.69493*100)</f>
        <v>0.93970982262710445</v>
      </c>
    </row>
    <row r="43" spans="1:7" x14ac:dyDescent="0.2">
      <c r="A43" s="97" t="s">
        <v>47</v>
      </c>
      <c r="B43" s="166">
        <v>1.5420950968024598</v>
      </c>
      <c r="C43" s="166">
        <f>IF(57121.54679="","-",57121.54679/4831335.29052*100)</f>
        <v>1.1823138605611445</v>
      </c>
      <c r="D43" s="166">
        <f>IF(59937.68841="","-",59937.68841/5760057.05112*100)</f>
        <v>1.0405745616416346</v>
      </c>
      <c r="E43" s="166">
        <f>IF(58733.88129="","-",58733.88129/5842484.3398*100)</f>
        <v>1.0052894945715949</v>
      </c>
      <c r="F43" s="166">
        <f>IF(50146.49962="","-",50146.49962/5415988.29784*100)</f>
        <v>0.9258974883679012</v>
      </c>
      <c r="G43" s="172">
        <f>IF(64797.90921="","-",64797.90921/7176590.69493*100)</f>
        <v>0.90290657450727074</v>
      </c>
    </row>
    <row r="44" spans="1:7" x14ac:dyDescent="0.2">
      <c r="A44" s="98" t="s">
        <v>103</v>
      </c>
      <c r="B44" s="168">
        <v>0.53270432992878192</v>
      </c>
      <c r="C44" s="168">
        <f>IF(26059.58653="","-",26059.58653/4831335.29052*100)</f>
        <v>0.53938683537724796</v>
      </c>
      <c r="D44" s="168">
        <f>IF(38503.83452="","-",38503.83452/5760057.05112*100)</f>
        <v>0.66846272837719922</v>
      </c>
      <c r="E44" s="168">
        <f>IF(41054.0109="","-",41054.0109/5842484.3398*100)</f>
        <v>0.70268071786402708</v>
      </c>
      <c r="F44" s="168">
        <f>IF(43380.43403="","-",43380.43403/5415988.29784*100)</f>
        <v>0.80096986264355374</v>
      </c>
      <c r="G44" s="173">
        <f>IF(58443.87727="","-",58443.87727/7176590.69493*100)</f>
        <v>0.81436826697234477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>
      <selection activeCell="F29" sqref="F29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3" x14ac:dyDescent="0.2">
      <c r="A2" s="198" t="s">
        <v>89</v>
      </c>
      <c r="B2" s="198"/>
      <c r="C2" s="198"/>
      <c r="D2" s="198"/>
      <c r="E2" s="198"/>
      <c r="F2" s="198"/>
      <c r="G2" s="198"/>
    </row>
    <row r="3" spans="1:13" x14ac:dyDescent="0.2">
      <c r="A3" s="76"/>
      <c r="B3" s="76"/>
      <c r="C3" s="76"/>
      <c r="D3" s="76"/>
      <c r="E3" s="76"/>
      <c r="F3" s="76"/>
      <c r="G3" s="75"/>
      <c r="H3" s="75"/>
      <c r="I3" s="75"/>
      <c r="J3" s="75"/>
      <c r="K3" s="75"/>
      <c r="L3" s="75"/>
      <c r="M3" s="75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x14ac:dyDescent="0.2">
      <c r="A22" s="5"/>
    </row>
    <row r="23" spans="1:6" x14ac:dyDescent="0.2">
      <c r="A23" s="69" t="s">
        <v>97</v>
      </c>
      <c r="B23" s="47" t="s">
        <v>48</v>
      </c>
    </row>
    <row r="24" spans="1:6" ht="13.5" customHeight="1" x14ac:dyDescent="0.2">
      <c r="A24" s="34" t="s">
        <v>49</v>
      </c>
      <c r="B24" s="177">
        <v>12.2</v>
      </c>
    </row>
    <row r="25" spans="1:6" x14ac:dyDescent="0.2">
      <c r="A25" s="35" t="s">
        <v>50</v>
      </c>
      <c r="B25" s="178">
        <v>2</v>
      </c>
    </row>
    <row r="26" spans="1:6" x14ac:dyDescent="0.2">
      <c r="A26" s="35" t="s">
        <v>51</v>
      </c>
      <c r="B26" s="178">
        <v>2.5</v>
      </c>
    </row>
    <row r="27" spans="1:6" x14ac:dyDescent="0.2">
      <c r="A27" s="35" t="s">
        <v>52</v>
      </c>
      <c r="B27" s="178">
        <v>10.9</v>
      </c>
    </row>
    <row r="28" spans="1:6" x14ac:dyDescent="0.2">
      <c r="A28" s="35" t="s">
        <v>64</v>
      </c>
      <c r="B28" s="178">
        <v>0.2</v>
      </c>
    </row>
    <row r="29" spans="1:6" x14ac:dyDescent="0.2">
      <c r="A29" s="35" t="s">
        <v>65</v>
      </c>
      <c r="B29" s="178">
        <v>15.1</v>
      </c>
    </row>
    <row r="30" spans="1:6" x14ac:dyDescent="0.2">
      <c r="A30" s="35" t="s">
        <v>55</v>
      </c>
      <c r="B30" s="178">
        <v>19.7</v>
      </c>
    </row>
    <row r="31" spans="1:6" x14ac:dyDescent="0.2">
      <c r="A31" s="35" t="s">
        <v>56</v>
      </c>
      <c r="B31" s="178">
        <v>26.2</v>
      </c>
    </row>
    <row r="32" spans="1:6" x14ac:dyDescent="0.2">
      <c r="A32" s="36" t="s">
        <v>57</v>
      </c>
      <c r="B32" s="179">
        <v>11.2</v>
      </c>
    </row>
    <row r="33" spans="1:2" ht="15" x14ac:dyDescent="0.2">
      <c r="B33" s="115"/>
    </row>
    <row r="34" spans="1:2" x14ac:dyDescent="0.2">
      <c r="A34" s="69" t="s">
        <v>98</v>
      </c>
      <c r="B34" s="87" t="s">
        <v>48</v>
      </c>
    </row>
    <row r="35" spans="1:2" x14ac:dyDescent="0.2">
      <c r="A35" s="34" t="s">
        <v>49</v>
      </c>
      <c r="B35" s="142">
        <v>10.7</v>
      </c>
    </row>
    <row r="36" spans="1:2" x14ac:dyDescent="0.2">
      <c r="A36" s="35" t="s">
        <v>50</v>
      </c>
      <c r="B36" s="143">
        <v>1.8</v>
      </c>
    </row>
    <row r="37" spans="1:2" x14ac:dyDescent="0.2">
      <c r="A37" s="35" t="s">
        <v>51</v>
      </c>
      <c r="B37" s="143">
        <v>2.6</v>
      </c>
    </row>
    <row r="38" spans="1:2" x14ac:dyDescent="0.2">
      <c r="A38" s="35" t="s">
        <v>52</v>
      </c>
      <c r="B38" s="140">
        <v>15</v>
      </c>
    </row>
    <row r="39" spans="1:2" x14ac:dyDescent="0.2">
      <c r="A39" s="35" t="s">
        <v>53</v>
      </c>
      <c r="B39" s="143">
        <v>0.2</v>
      </c>
    </row>
    <row r="40" spans="1:2" x14ac:dyDescent="0.2">
      <c r="A40" s="35" t="s">
        <v>54</v>
      </c>
      <c r="B40" s="143">
        <v>14.4</v>
      </c>
    </row>
    <row r="41" spans="1:2" x14ac:dyDescent="0.2">
      <c r="A41" s="35" t="s">
        <v>55</v>
      </c>
      <c r="B41" s="143">
        <v>18.3</v>
      </c>
    </row>
    <row r="42" spans="1:2" x14ac:dyDescent="0.2">
      <c r="A42" s="35" t="s">
        <v>56</v>
      </c>
      <c r="B42" s="143">
        <v>25.4</v>
      </c>
    </row>
    <row r="43" spans="1:2" x14ac:dyDescent="0.2">
      <c r="A43" s="36" t="s">
        <v>57</v>
      </c>
      <c r="B43" s="144">
        <v>11.6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J32" sqref="J3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x14ac:dyDescent="0.2">
      <c r="A2" s="187" t="s">
        <v>88</v>
      </c>
      <c r="B2" s="187"/>
      <c r="C2" s="187"/>
      <c r="D2" s="187"/>
      <c r="E2" s="187"/>
      <c r="F2" s="199"/>
      <c r="G2" s="199"/>
      <c r="H2" s="199"/>
      <c r="I2" s="199"/>
      <c r="J2" s="199"/>
      <c r="K2" s="75"/>
      <c r="L2" s="75"/>
      <c r="M2" s="7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45" t="s">
        <v>0</v>
      </c>
      <c r="B22" s="66" t="s">
        <v>1</v>
      </c>
      <c r="C22" s="66" t="s">
        <v>2</v>
      </c>
      <c r="D22" s="66" t="s">
        <v>3</v>
      </c>
      <c r="E22" s="66" t="s">
        <v>4</v>
      </c>
      <c r="F22" s="66" t="s">
        <v>5</v>
      </c>
      <c r="G22" s="66" t="s">
        <v>6</v>
      </c>
      <c r="H22" s="66" t="s">
        <v>7</v>
      </c>
      <c r="I22" s="66" t="s">
        <v>8</v>
      </c>
      <c r="J22" s="66" t="s">
        <v>9</v>
      </c>
      <c r="K22" s="66" t="s">
        <v>10</v>
      </c>
      <c r="L22" s="66" t="s">
        <v>11</v>
      </c>
      <c r="M22" s="67" t="s">
        <v>12</v>
      </c>
    </row>
    <row r="23" spans="1:13" x14ac:dyDescent="0.2">
      <c r="A23" s="44">
        <v>2016</v>
      </c>
      <c r="B23" s="61">
        <v>-90.5</v>
      </c>
      <c r="C23" s="61">
        <v>-148.5</v>
      </c>
      <c r="D23" s="61">
        <v>-205.5</v>
      </c>
      <c r="E23" s="61">
        <v>-176.4</v>
      </c>
      <c r="F23" s="61">
        <v>-174.7</v>
      </c>
      <c r="G23" s="61">
        <v>-167.2</v>
      </c>
      <c r="H23" s="61">
        <v>-148.5</v>
      </c>
      <c r="I23" s="61">
        <v>-183.1</v>
      </c>
      <c r="J23" s="61">
        <v>-168</v>
      </c>
      <c r="K23" s="61">
        <v>-179.4</v>
      </c>
      <c r="L23" s="61">
        <v>-135.9</v>
      </c>
      <c r="M23" s="61">
        <v>-197.9</v>
      </c>
    </row>
    <row r="24" spans="1:13" x14ac:dyDescent="0.2">
      <c r="A24" s="44">
        <v>2017</v>
      </c>
      <c r="B24" s="61">
        <v>-127.3</v>
      </c>
      <c r="C24" s="61">
        <v>-156.1</v>
      </c>
      <c r="D24" s="61">
        <v>-219.1</v>
      </c>
      <c r="E24" s="61">
        <v>-207.3</v>
      </c>
      <c r="F24" s="61">
        <v>-225.7</v>
      </c>
      <c r="G24" s="61">
        <v>-217.7</v>
      </c>
      <c r="H24" s="61">
        <v>-205.3</v>
      </c>
      <c r="I24" s="61">
        <v>-221.8</v>
      </c>
      <c r="J24" s="61">
        <v>-206.9</v>
      </c>
      <c r="K24" s="61">
        <v>-197.7</v>
      </c>
      <c r="L24" s="61">
        <v>-183.2</v>
      </c>
      <c r="M24" s="61">
        <v>-238.3</v>
      </c>
    </row>
    <row r="25" spans="1:13" x14ac:dyDescent="0.2">
      <c r="A25" s="44">
        <v>2018</v>
      </c>
      <c r="B25" s="61">
        <v>-154</v>
      </c>
      <c r="C25" s="61">
        <v>-212.1</v>
      </c>
      <c r="D25" s="61">
        <v>-282</v>
      </c>
      <c r="E25" s="61">
        <v>-244.9</v>
      </c>
      <c r="F25" s="61">
        <v>-282.60000000000002</v>
      </c>
      <c r="G25" s="61">
        <v>-244.6</v>
      </c>
      <c r="H25" s="61">
        <v>-269.2</v>
      </c>
      <c r="I25" s="61">
        <v>-262.10000000000002</v>
      </c>
      <c r="J25" s="61">
        <v>-266.7</v>
      </c>
      <c r="K25" s="61">
        <v>-281.60000000000002</v>
      </c>
      <c r="L25" s="61">
        <v>-253.70000000000005</v>
      </c>
      <c r="M25" s="61">
        <v>-300.49999999999994</v>
      </c>
    </row>
    <row r="26" spans="1:13" x14ac:dyDescent="0.2">
      <c r="A26" s="44">
        <v>2019</v>
      </c>
      <c r="B26" s="61">
        <v>-138.30000000000001</v>
      </c>
      <c r="C26" s="61">
        <v>-217.9</v>
      </c>
      <c r="D26" s="61">
        <v>-276.60000000000002</v>
      </c>
      <c r="E26" s="61">
        <v>-300</v>
      </c>
      <c r="F26" s="61">
        <v>-271.10000000000002</v>
      </c>
      <c r="G26" s="61">
        <v>-243.2</v>
      </c>
      <c r="H26" s="61">
        <v>-278.89999999999998</v>
      </c>
      <c r="I26" s="61">
        <v>-258.5</v>
      </c>
      <c r="J26" s="61">
        <v>-262.89999999999998</v>
      </c>
      <c r="K26" s="61">
        <v>-257</v>
      </c>
      <c r="L26" s="61">
        <v>-237.5</v>
      </c>
      <c r="M26" s="61">
        <v>-321.39999999999998</v>
      </c>
    </row>
    <row r="27" spans="1:13" x14ac:dyDescent="0.2">
      <c r="A27" s="44">
        <v>2020</v>
      </c>
      <c r="B27" s="61">
        <v>-160.30000000000001</v>
      </c>
      <c r="C27" s="61">
        <v>-239.5</v>
      </c>
      <c r="D27" s="61">
        <v>-290.3</v>
      </c>
      <c r="E27" s="61">
        <v>-135.80000000000001</v>
      </c>
      <c r="F27" s="61">
        <v>-173.7</v>
      </c>
      <c r="G27" s="61">
        <v>-223.9</v>
      </c>
      <c r="H27" s="61">
        <v>-305.5</v>
      </c>
      <c r="I27" s="61">
        <v>-269.7</v>
      </c>
      <c r="J27" s="61">
        <v>-296</v>
      </c>
      <c r="K27" s="61">
        <v>-244.2</v>
      </c>
      <c r="L27" s="61">
        <v>-260.89999999999998</v>
      </c>
      <c r="M27" s="61">
        <v>-349</v>
      </c>
    </row>
    <row r="28" spans="1:13" x14ac:dyDescent="0.2">
      <c r="A28" s="40">
        <v>2021</v>
      </c>
      <c r="B28" s="63">
        <v>-201</v>
      </c>
      <c r="C28" s="63">
        <v>-294.39999999999998</v>
      </c>
      <c r="D28" s="63">
        <v>-370.8</v>
      </c>
      <c r="E28" s="63">
        <v>-344</v>
      </c>
      <c r="F28" s="63">
        <v>-361.7</v>
      </c>
      <c r="G28" s="63">
        <v>-362.9</v>
      </c>
      <c r="H28" s="63">
        <v>-321.3</v>
      </c>
      <c r="I28" s="63">
        <v>-338.7</v>
      </c>
      <c r="J28" s="63">
        <v>-376.3</v>
      </c>
      <c r="K28" s="63">
        <v>-294.7</v>
      </c>
      <c r="L28" s="63">
        <v>-337.6</v>
      </c>
      <c r="M28" s="63">
        <v>-429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F21" sqref="F21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x14ac:dyDescent="0.2">
      <c r="A2" s="189" t="s">
        <v>87</v>
      </c>
      <c r="B2" s="189"/>
      <c r="C2" s="189"/>
      <c r="D2" s="189"/>
      <c r="E2" s="189"/>
      <c r="F2" s="74"/>
      <c r="G2" s="75"/>
      <c r="H2" s="75"/>
      <c r="I2" s="75"/>
      <c r="J2" s="75"/>
      <c r="K2" s="75"/>
      <c r="L2" s="75"/>
      <c r="M2" s="75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70" t="s">
        <v>68</v>
      </c>
      <c r="B24" s="37" t="s">
        <v>69</v>
      </c>
      <c r="C24" s="37" t="s">
        <v>70</v>
      </c>
      <c r="D24" s="38" t="s">
        <v>71</v>
      </c>
      <c r="E24" s="6"/>
    </row>
    <row r="25" spans="1:6" ht="15.75" customHeight="1" x14ac:dyDescent="0.2">
      <c r="A25" s="18">
        <v>2016</v>
      </c>
      <c r="B25" s="145">
        <v>2044.5</v>
      </c>
      <c r="C25" s="138">
        <v>4020.3</v>
      </c>
      <c r="D25" s="23">
        <v>-1975.8</v>
      </c>
      <c r="E25" s="6"/>
    </row>
    <row r="26" spans="1:6" ht="15" customHeight="1" x14ac:dyDescent="0.2">
      <c r="A26" s="19">
        <v>2017</v>
      </c>
      <c r="B26" s="95">
        <v>2425</v>
      </c>
      <c r="C26" s="138">
        <v>4831.3</v>
      </c>
      <c r="D26" s="23">
        <v>-2406.3000000000002</v>
      </c>
      <c r="E26" s="6"/>
    </row>
    <row r="27" spans="1:6" ht="14.25" customHeight="1" x14ac:dyDescent="0.2">
      <c r="A27" s="19">
        <v>2018</v>
      </c>
      <c r="B27" s="145">
        <v>2706.2</v>
      </c>
      <c r="C27" s="138">
        <v>5760.1</v>
      </c>
      <c r="D27" s="105">
        <v>-3053.9000000000005</v>
      </c>
      <c r="E27" s="6"/>
    </row>
    <row r="28" spans="1:6" ht="14.25" customHeight="1" x14ac:dyDescent="0.2">
      <c r="A28" s="19">
        <v>2019</v>
      </c>
      <c r="B28" s="145">
        <v>2779.2</v>
      </c>
      <c r="C28" s="138">
        <v>5842.5</v>
      </c>
      <c r="D28" s="105">
        <v>-3063.3</v>
      </c>
      <c r="E28" s="6"/>
    </row>
    <row r="29" spans="1:6" ht="13.5" customHeight="1" x14ac:dyDescent="0.2">
      <c r="A29" s="19">
        <v>2020</v>
      </c>
      <c r="B29" s="145">
        <v>2467.1</v>
      </c>
      <c r="C29" s="138">
        <v>5416</v>
      </c>
      <c r="D29" s="105">
        <v>-2948.9</v>
      </c>
      <c r="E29" s="6"/>
    </row>
    <row r="30" spans="1:6" ht="13.5" customHeight="1" x14ac:dyDescent="0.2">
      <c r="A30" s="19">
        <v>2021</v>
      </c>
      <c r="B30" s="145">
        <v>3144.4</v>
      </c>
      <c r="C30" s="138">
        <v>7176.6</v>
      </c>
      <c r="D30" s="105">
        <v>-4032.2000000000003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9"/>
  <sheetViews>
    <sheetView workbookViewId="0">
      <selection activeCell="S13" sqref="S13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16384" width="9.140625" style="3"/>
  </cols>
  <sheetData>
    <row r="2" spans="1:16" ht="15.75" customHeight="1" x14ac:dyDescent="0.2">
      <c r="A2" s="187" t="s">
        <v>76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7" x14ac:dyDescent="0.2">
      <c r="A18" s="5"/>
    </row>
    <row r="19" spans="1:37" x14ac:dyDescent="0.2">
      <c r="A19" s="5"/>
      <c r="AG19" s="6"/>
    </row>
    <row r="20" spans="1:37" x14ac:dyDescent="0.2">
      <c r="A20" s="5"/>
      <c r="AG20" s="6"/>
    </row>
    <row r="21" spans="1:37" ht="19.5" customHeight="1" x14ac:dyDescent="0.2">
      <c r="A21" s="5"/>
      <c r="AG21" s="6"/>
    </row>
    <row r="22" spans="1:37" x14ac:dyDescent="0.2">
      <c r="A22" s="181"/>
      <c r="B22" s="183">
        <v>2019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>
        <v>2020</v>
      </c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>
        <v>2021</v>
      </c>
      <c r="AA22" s="185"/>
      <c r="AB22" s="185"/>
      <c r="AC22" s="185"/>
      <c r="AD22" s="185"/>
      <c r="AE22" s="185"/>
      <c r="AF22" s="185"/>
      <c r="AG22" s="185"/>
      <c r="AH22" s="185"/>
      <c r="AI22" s="185"/>
      <c r="AJ22" s="186"/>
      <c r="AK22" s="185"/>
    </row>
    <row r="23" spans="1:37" x14ac:dyDescent="0.2">
      <c r="A23" s="182"/>
      <c r="B23" s="32" t="s">
        <v>13</v>
      </c>
      <c r="C23" s="32" t="s">
        <v>14</v>
      </c>
      <c r="D23" s="32" t="s">
        <v>15</v>
      </c>
      <c r="E23" s="32" t="s">
        <v>16</v>
      </c>
      <c r="F23" s="32" t="s">
        <v>17</v>
      </c>
      <c r="G23" s="32" t="s">
        <v>18</v>
      </c>
      <c r="H23" s="32" t="s">
        <v>19</v>
      </c>
      <c r="I23" s="32" t="s">
        <v>20</v>
      </c>
      <c r="J23" s="32" t="s">
        <v>21</v>
      </c>
      <c r="K23" s="32" t="s">
        <v>22</v>
      </c>
      <c r="L23" s="32" t="s">
        <v>23</v>
      </c>
      <c r="M23" s="32" t="s">
        <v>24</v>
      </c>
      <c r="N23" s="32" t="s">
        <v>13</v>
      </c>
      <c r="O23" s="32" t="s">
        <v>14</v>
      </c>
      <c r="P23" s="32" t="s">
        <v>15</v>
      </c>
      <c r="Q23" s="32" t="s">
        <v>16</v>
      </c>
      <c r="R23" s="32" t="s">
        <v>17</v>
      </c>
      <c r="S23" s="32" t="s">
        <v>25</v>
      </c>
      <c r="T23" s="32" t="s">
        <v>19</v>
      </c>
      <c r="U23" s="32" t="s">
        <v>26</v>
      </c>
      <c r="V23" s="32" t="s">
        <v>21</v>
      </c>
      <c r="W23" s="32" t="s">
        <v>27</v>
      </c>
      <c r="X23" s="32" t="s">
        <v>23</v>
      </c>
      <c r="Y23" s="32" t="s">
        <v>24</v>
      </c>
      <c r="Z23" s="85" t="s">
        <v>13</v>
      </c>
      <c r="AA23" s="94" t="s">
        <v>14</v>
      </c>
      <c r="AB23" s="85" t="s">
        <v>15</v>
      </c>
      <c r="AC23" s="85" t="s">
        <v>16</v>
      </c>
      <c r="AD23" s="85" t="s">
        <v>17</v>
      </c>
      <c r="AE23" s="85" t="s">
        <v>25</v>
      </c>
      <c r="AF23" s="85" t="s">
        <v>19</v>
      </c>
      <c r="AG23" s="32" t="s">
        <v>26</v>
      </c>
      <c r="AH23" s="147" t="s">
        <v>21</v>
      </c>
      <c r="AI23" s="46" t="s">
        <v>27</v>
      </c>
      <c r="AJ23" s="46" t="s">
        <v>23</v>
      </c>
      <c r="AK23" s="46" t="s">
        <v>24</v>
      </c>
    </row>
    <row r="24" spans="1:37" ht="28.5" customHeight="1" x14ac:dyDescent="0.2">
      <c r="A24" s="30" t="s">
        <v>72</v>
      </c>
      <c r="B24" s="20">
        <v>107.04955714362214</v>
      </c>
      <c r="C24" s="20">
        <v>103.05469693630643</v>
      </c>
      <c r="D24" s="20">
        <v>106.5540849399146</v>
      </c>
      <c r="E24" s="20">
        <v>83.804058120513616</v>
      </c>
      <c r="F24" s="20">
        <v>97.663587687631406</v>
      </c>
      <c r="G24" s="20">
        <v>96.047232355670943</v>
      </c>
      <c r="H24" s="20">
        <v>108.87893967295254</v>
      </c>
      <c r="I24" s="20">
        <v>93.476142278451405</v>
      </c>
      <c r="J24" s="20">
        <v>116.03027535062083</v>
      </c>
      <c r="K24" s="20">
        <v>112.37403253245004</v>
      </c>
      <c r="L24" s="20">
        <v>99.332915825323369</v>
      </c>
      <c r="M24" s="16">
        <v>81.894486392152885</v>
      </c>
      <c r="N24" s="22">
        <v>100.54069338788538</v>
      </c>
      <c r="O24" s="22">
        <v>111.77933359663091</v>
      </c>
      <c r="P24" s="22">
        <v>85.694935103741471</v>
      </c>
      <c r="Q24" s="22">
        <v>71.283537880135214</v>
      </c>
      <c r="R24" s="22">
        <v>103.90424682350312</v>
      </c>
      <c r="S24" s="22">
        <v>121.75061963317823</v>
      </c>
      <c r="T24" s="22">
        <v>100.8184202333199</v>
      </c>
      <c r="U24" s="22">
        <v>78.376764810035453</v>
      </c>
      <c r="V24" s="22">
        <v>129.49769232961904</v>
      </c>
      <c r="W24" s="22">
        <v>117.47585360993436</v>
      </c>
      <c r="X24" s="22">
        <v>105.08585699580438</v>
      </c>
      <c r="Y24" s="16">
        <v>83.287463510424814</v>
      </c>
      <c r="Z24" s="54">
        <v>90.924906043100663</v>
      </c>
      <c r="AA24" s="21">
        <v>114.41147354263464</v>
      </c>
      <c r="AB24" s="21">
        <v>114.20579997969134</v>
      </c>
      <c r="AC24" s="21">
        <v>84.167356355788357</v>
      </c>
      <c r="AD24" s="21">
        <v>92.421884276527052</v>
      </c>
      <c r="AE24" s="86">
        <v>112.45124175218632</v>
      </c>
      <c r="AF24" s="86">
        <v>106.13290668113962</v>
      </c>
      <c r="AG24" s="86">
        <v>98.134804975011704</v>
      </c>
      <c r="AH24" s="86">
        <v>124.83430055225146</v>
      </c>
      <c r="AI24" s="86">
        <v>119.44752327758337</v>
      </c>
      <c r="AJ24" s="86">
        <v>103.2981065772704</v>
      </c>
      <c r="AK24" s="163">
        <v>89.313925126336528</v>
      </c>
    </row>
    <row r="25" spans="1:37" ht="40.5" customHeight="1" x14ac:dyDescent="0.2">
      <c r="A25" s="29" t="s">
        <v>73</v>
      </c>
      <c r="B25" s="27">
        <f>IF(220321.7383="","-",234254.08835/220321.7383*100)</f>
        <v>106.32363840150403</v>
      </c>
      <c r="C25" s="15">
        <f>IF(215472.31369="","-",241409.84081/215472.31369*100)</f>
        <v>112.03752197942065</v>
      </c>
      <c r="D25" s="15">
        <f>IF(242121.38159="","-",257232.04683/242121.38159*100)</f>
        <v>106.24094623150131</v>
      </c>
      <c r="E25" s="15">
        <f>IF(199735.58403="","-",215570.89403/199735.58403*100)</f>
        <v>107.92813662968615</v>
      </c>
      <c r="F25" s="15">
        <f>IF(223023.34378="","-",210534.26912/223023.34378*100)</f>
        <v>94.400104290284631</v>
      </c>
      <c r="G25" s="15">
        <f>IF(214123.17565="","-",202212.33865/214123.17565*100)</f>
        <v>94.437390084542201</v>
      </c>
      <c r="H25" s="15">
        <f>IF(218832.76993="","-",220166.65021/218832.76993*100)</f>
        <v>100.6095432052643</v>
      </c>
      <c r="I25" s="15">
        <f>IF(218601.82808="","-",205803.2912/218601.82808*100)</f>
        <v>94.145274542115814</v>
      </c>
      <c r="J25" s="15">
        <f>IF(207304.07378="","-",238794.12546/207304.07378*100)</f>
        <v>115.19027152038439</v>
      </c>
      <c r="K25" s="15">
        <f>IF(258965.48256="","-",268342.58823/258965.48256*100)</f>
        <v>103.62098669571817</v>
      </c>
      <c r="L25" s="15">
        <f>IF(268843.90574="","-",266552.51729/268843.90574*100)</f>
        <v>99.147688156183818</v>
      </c>
      <c r="M25" s="17">
        <f>IF(218827.70429="","-",218291.815/218827.70429*100)</f>
        <v>99.755109028932736</v>
      </c>
      <c r="N25" s="15">
        <f>IF(234254.08835="","-",219472.10441/234254.08835*100)</f>
        <v>93.68976480021378</v>
      </c>
      <c r="O25" s="15">
        <f>IF(241409.84081="","-",245324.45574/241409.84081*100)</f>
        <v>101.62156394157972</v>
      </c>
      <c r="P25" s="15">
        <f>IF(257232.04683="","-",210230.63314/257232.04683*100)</f>
        <v>81.728010071364707</v>
      </c>
      <c r="Q25" s="15">
        <f>IF(215570.89403="","-",149859.83301/215570.89403*100)</f>
        <v>69.517656214361068</v>
      </c>
      <c r="R25" s="15">
        <f>IF(210534.26912="","-",155710.73078/210534.26912*100)</f>
        <v>73.959803043393492</v>
      </c>
      <c r="S25" s="15">
        <f>IF(202212.33865="","-",189578.77956/202212.33865*100)</f>
        <v>93.752330261178145</v>
      </c>
      <c r="T25" s="15">
        <f>IF(220166.65021="","-",191130.33065/220166.65021*100)</f>
        <v>86.811663105059509</v>
      </c>
      <c r="U25" s="15">
        <f>IF(205803.2912="","-",163909.5874/205803.2912*100)</f>
        <v>79.643812518387932</v>
      </c>
      <c r="V25" s="15">
        <f>IF(238794.12546="","-",212259.13319/238794.12546*100)</f>
        <v>88.887920831852767</v>
      </c>
      <c r="W25" s="15">
        <f>IF(268342.58823="","-",249353.22858/268342.58823*100)</f>
        <v>92.923464078044901</v>
      </c>
      <c r="X25" s="15">
        <f>IF(266552.51729="","-",262034.9772/266552.51729*100)</f>
        <v>98.30519698859753</v>
      </c>
      <c r="Y25" s="17">
        <f>IF(218291.815="","-",218242.28602/218291.815*100)</f>
        <v>99.977310656379856</v>
      </c>
      <c r="Z25" s="88">
        <f>IF(219472.10441="","-",198437.26393/219472.10441*100)</f>
        <v>90.415711128050958</v>
      </c>
      <c r="AA25" s="72">
        <f>IF(245324.45574="","-",227034.99772/245324.45574*100)</f>
        <v>92.544788099159774</v>
      </c>
      <c r="AB25" s="72">
        <f>IF(210230.63314="","-",259287.13538/210230.63314*100)</f>
        <v>123.33461185332185</v>
      </c>
      <c r="AC25" s="72">
        <f>IF(149859.83301="","-",218235.12722/149859.83301*100)</f>
        <v>145.62616468779689</v>
      </c>
      <c r="AD25" s="72">
        <f>IF(155710.73078="","-",201697.01673/155710.73078*100)</f>
        <v>129.53315145310887</v>
      </c>
      <c r="AE25" s="72">
        <f>IF(189578.77956="","-",226810.79989/189578.77956*100)</f>
        <v>119.63933960141166</v>
      </c>
      <c r="AF25" s="72">
        <f>IF(191130.33065="","-",240720.89459/191130.33065*100)</f>
        <v>125.94594158412818</v>
      </c>
      <c r="AG25" s="72">
        <f>IF(163909.5874="","-",236230.98044/163909.5874*100)</f>
        <v>144.12273509267587</v>
      </c>
      <c r="AH25" s="72">
        <f>IF(212259.13319="","-",294897.29212/212259.13319*100)</f>
        <v>138.93267521074247</v>
      </c>
      <c r="AI25" s="72">
        <f>IF(249353.22858="","-",352247.51165/249353.22858*100)</f>
        <v>141.26446794210585</v>
      </c>
      <c r="AJ25" s="72">
        <f>IF(262034.9772="","-",363865.01311/262034.9772*100)</f>
        <v>138.86123791492062</v>
      </c>
      <c r="AK25" s="93">
        <f>IF(218242.28602="","-",324982.12537/218242.28602*100)</f>
        <v>148.90887155581675</v>
      </c>
    </row>
    <row r="28" spans="1:37" ht="15.75" x14ac:dyDescent="0.2">
      <c r="AD28" s="116"/>
      <c r="AE28" s="117"/>
      <c r="AF28" s="117"/>
      <c r="AG28" s="118"/>
      <c r="AH28" s="119"/>
      <c r="AI28" s="120"/>
      <c r="AJ28" s="121"/>
    </row>
    <row r="29" spans="1:37" ht="15.75" x14ac:dyDescent="0.2">
      <c r="AD29" s="122"/>
      <c r="AE29" s="122"/>
      <c r="AF29" s="123"/>
      <c r="AG29" s="124"/>
      <c r="AH29" s="125"/>
      <c r="AI29" s="126"/>
      <c r="AJ29" s="126"/>
    </row>
  </sheetData>
  <mergeCells count="5">
    <mergeCell ref="A22:A23"/>
    <mergeCell ref="B22:M22"/>
    <mergeCell ref="N22:Y22"/>
    <mergeCell ref="Z22:AK22"/>
    <mergeCell ref="A2:P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workbookViewId="0">
      <selection activeCell="E25" sqref="E25"/>
    </sheetView>
  </sheetViews>
  <sheetFormatPr defaultRowHeight="12" x14ac:dyDescent="0.2"/>
  <cols>
    <col min="1" max="16384" width="9.140625" style="3"/>
  </cols>
  <sheetData>
    <row r="2" spans="1:12" ht="27.75" customHeight="1" x14ac:dyDescent="0.2">
      <c r="A2" s="188" t="s">
        <v>85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20" spans="1:2" x14ac:dyDescent="0.2">
      <c r="A20" s="154"/>
      <c r="B20" s="155" t="s">
        <v>84</v>
      </c>
    </row>
    <row r="21" spans="1:2" x14ac:dyDescent="0.2">
      <c r="A21" s="148">
        <v>2000</v>
      </c>
      <c r="B21" s="149">
        <v>101.7</v>
      </c>
    </row>
    <row r="22" spans="1:2" x14ac:dyDescent="0.2">
      <c r="A22" s="148">
        <v>2001</v>
      </c>
      <c r="B22" s="149">
        <v>119.9</v>
      </c>
    </row>
    <row r="23" spans="1:2" x14ac:dyDescent="0.2">
      <c r="A23" s="148">
        <v>2002</v>
      </c>
      <c r="B23" s="149">
        <v>113.8</v>
      </c>
    </row>
    <row r="24" spans="1:2" x14ac:dyDescent="0.2">
      <c r="A24" s="148">
        <v>2003</v>
      </c>
      <c r="B24" s="149">
        <v>122.7</v>
      </c>
    </row>
    <row r="25" spans="1:2" x14ac:dyDescent="0.2">
      <c r="A25" s="148">
        <v>2004</v>
      </c>
      <c r="B25" s="149">
        <v>124.7</v>
      </c>
    </row>
    <row r="26" spans="1:2" x14ac:dyDescent="0.2">
      <c r="A26" s="148">
        <v>2005</v>
      </c>
      <c r="B26" s="149">
        <v>110.7</v>
      </c>
    </row>
    <row r="27" spans="1:2" x14ac:dyDescent="0.2">
      <c r="A27" s="148">
        <v>2006</v>
      </c>
      <c r="B27" s="149">
        <v>96.3</v>
      </c>
    </row>
    <row r="28" spans="1:2" x14ac:dyDescent="0.2">
      <c r="A28" s="148">
        <v>2007</v>
      </c>
      <c r="B28" s="149">
        <v>127.6</v>
      </c>
    </row>
    <row r="29" spans="1:2" x14ac:dyDescent="0.2">
      <c r="A29" s="148">
        <v>2008</v>
      </c>
      <c r="B29" s="149">
        <v>118.7</v>
      </c>
    </row>
    <row r="30" spans="1:2" x14ac:dyDescent="0.2">
      <c r="A30" s="148">
        <v>2009</v>
      </c>
      <c r="B30" s="149">
        <v>80.599999999999994</v>
      </c>
    </row>
    <row r="31" spans="1:2" x14ac:dyDescent="0.2">
      <c r="A31" s="148">
        <v>2010</v>
      </c>
      <c r="B31" s="149">
        <v>120.1</v>
      </c>
    </row>
    <row r="32" spans="1:2" x14ac:dyDescent="0.2">
      <c r="A32" s="148">
        <v>2011</v>
      </c>
      <c r="B32" s="149">
        <v>143.80000000000001</v>
      </c>
    </row>
    <row r="33" spans="1:2" x14ac:dyDescent="0.2">
      <c r="A33" s="148">
        <v>2012</v>
      </c>
      <c r="B33" s="149">
        <v>97.5</v>
      </c>
    </row>
    <row r="34" spans="1:2" x14ac:dyDescent="0.2">
      <c r="A34" s="148">
        <v>2013</v>
      </c>
      <c r="B34" s="149">
        <v>112.3</v>
      </c>
    </row>
    <row r="35" spans="1:2" x14ac:dyDescent="0.2">
      <c r="A35" s="148">
        <v>2014</v>
      </c>
      <c r="B35" s="149">
        <v>96.3</v>
      </c>
    </row>
    <row r="36" spans="1:2" x14ac:dyDescent="0.2">
      <c r="A36" s="148">
        <v>2015</v>
      </c>
      <c r="B36" s="149">
        <v>84.1</v>
      </c>
    </row>
    <row r="37" spans="1:2" x14ac:dyDescent="0.2">
      <c r="A37" s="148">
        <v>2016</v>
      </c>
      <c r="B37" s="150">
        <v>104</v>
      </c>
    </row>
    <row r="38" spans="1:2" x14ac:dyDescent="0.2">
      <c r="A38" s="148">
        <v>2017</v>
      </c>
      <c r="B38" s="149">
        <v>118.6</v>
      </c>
    </row>
    <row r="39" spans="1:2" x14ac:dyDescent="0.2">
      <c r="A39" s="148">
        <v>2018</v>
      </c>
      <c r="B39" s="151">
        <f>IF(2424972.02699="","-",2706901.80962/2424972.02699*100)</f>
        <v>111.62610452789204</v>
      </c>
    </row>
    <row r="40" spans="1:2" x14ac:dyDescent="0.2">
      <c r="A40" s="148">
        <v>2019</v>
      </c>
      <c r="B40" s="149">
        <v>102.7</v>
      </c>
    </row>
    <row r="41" spans="1:2" x14ac:dyDescent="0.2">
      <c r="A41" s="148">
        <v>2020</v>
      </c>
      <c r="B41" s="176">
        <v>88.8</v>
      </c>
    </row>
    <row r="42" spans="1:2" x14ac:dyDescent="0.2">
      <c r="A42" s="152">
        <v>2021</v>
      </c>
      <c r="B42" s="153">
        <v>127.5</v>
      </c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E32" sqref="E3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5.28515625" style="3" customWidth="1"/>
    <col min="8" max="8" width="14.85546875" style="3" customWidth="1"/>
    <col min="9" max="16384" width="9.140625" style="3"/>
  </cols>
  <sheetData>
    <row r="2" spans="1:13" x14ac:dyDescent="0.2">
      <c r="A2" s="189" t="s">
        <v>95</v>
      </c>
      <c r="B2" s="189"/>
      <c r="C2" s="189"/>
      <c r="D2" s="189"/>
      <c r="E2" s="189"/>
      <c r="F2" s="190"/>
      <c r="G2" s="79"/>
      <c r="H2" s="75"/>
      <c r="I2" s="75"/>
      <c r="J2" s="75"/>
      <c r="K2" s="75"/>
      <c r="L2" s="75"/>
      <c r="M2" s="7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x14ac:dyDescent="0.2">
      <c r="A22" s="68" t="s">
        <v>28</v>
      </c>
      <c r="B22" s="42">
        <v>2021</v>
      </c>
      <c r="C22" s="14">
        <v>2020</v>
      </c>
      <c r="D22" s="14">
        <v>2019</v>
      </c>
      <c r="E22" s="14">
        <v>2018</v>
      </c>
      <c r="F22" s="14">
        <v>2017</v>
      </c>
      <c r="G22" s="14">
        <v>2016</v>
      </c>
      <c r="H22" s="6"/>
    </row>
    <row r="23" spans="1:8" x14ac:dyDescent="0.2">
      <c r="A23" s="52" t="s">
        <v>29</v>
      </c>
      <c r="B23" s="134">
        <v>9.5</v>
      </c>
      <c r="C23" s="134">
        <v>7</v>
      </c>
      <c r="D23" s="134">
        <v>7.06</v>
      </c>
      <c r="E23" s="134">
        <v>6.9</v>
      </c>
      <c r="F23" s="134">
        <v>7.93</v>
      </c>
      <c r="G23" s="102">
        <v>8.1999999999999993</v>
      </c>
    </row>
    <row r="24" spans="1:8" x14ac:dyDescent="0.2">
      <c r="A24" s="52" t="s">
        <v>30</v>
      </c>
      <c r="B24" s="134">
        <v>5.6</v>
      </c>
      <c r="C24" s="134">
        <v>2.8</v>
      </c>
      <c r="D24" s="134">
        <v>4.54</v>
      </c>
      <c r="E24" s="134">
        <v>4.5</v>
      </c>
      <c r="F24" s="134">
        <v>3.81</v>
      </c>
      <c r="G24" s="103">
        <v>3.2</v>
      </c>
    </row>
    <row r="25" spans="1:8" x14ac:dyDescent="0.2">
      <c r="A25" s="52" t="s">
        <v>31</v>
      </c>
      <c r="B25" s="134">
        <v>83.7</v>
      </c>
      <c r="C25" s="134">
        <v>89</v>
      </c>
      <c r="D25" s="134">
        <v>86.71</v>
      </c>
      <c r="E25" s="134">
        <v>86.9</v>
      </c>
      <c r="F25" s="134">
        <v>85.8</v>
      </c>
      <c r="G25" s="112">
        <v>86.9</v>
      </c>
    </row>
    <row r="26" spans="1:8" x14ac:dyDescent="0.2">
      <c r="A26" s="52" t="s">
        <v>32</v>
      </c>
      <c r="B26" s="134">
        <v>1.2</v>
      </c>
      <c r="C26" s="134">
        <v>1.1000000000000001</v>
      </c>
      <c r="D26" s="134">
        <v>1.57</v>
      </c>
      <c r="E26" s="82">
        <v>1.7</v>
      </c>
      <c r="F26" s="134">
        <v>2.39</v>
      </c>
      <c r="G26" s="103">
        <v>1.5</v>
      </c>
    </row>
    <row r="27" spans="1:8" x14ac:dyDescent="0.2">
      <c r="A27" s="53" t="s">
        <v>58</v>
      </c>
      <c r="B27" s="106">
        <v>0</v>
      </c>
      <c r="C27" s="113">
        <v>0.1</v>
      </c>
      <c r="D27" s="96">
        <v>0.11</v>
      </c>
      <c r="E27" s="96">
        <v>0</v>
      </c>
      <c r="F27" s="96">
        <v>0.06</v>
      </c>
      <c r="G27" s="104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D31" sqref="D31"/>
    </sheetView>
  </sheetViews>
  <sheetFormatPr defaultRowHeight="12" x14ac:dyDescent="0.2"/>
  <cols>
    <col min="1" max="1" width="26.140625" style="3" customWidth="1"/>
    <col min="2" max="2" width="15.5703125" style="3" customWidth="1"/>
    <col min="3" max="3" width="16" style="3" customWidth="1"/>
    <col min="4" max="4" width="15.7109375" style="3" customWidth="1"/>
    <col min="5" max="5" width="15.28515625" style="3" customWidth="1"/>
    <col min="6" max="6" width="15.140625" style="3" customWidth="1"/>
    <col min="7" max="7" width="15" style="3" customWidth="1"/>
    <col min="8" max="16384" width="9.140625" style="3"/>
  </cols>
  <sheetData>
    <row r="2" spans="1:13" x14ac:dyDescent="0.2">
      <c r="A2" s="191" t="s">
        <v>94</v>
      </c>
      <c r="B2" s="191"/>
      <c r="C2" s="191"/>
      <c r="D2" s="191"/>
      <c r="E2" s="191"/>
      <c r="F2" s="78"/>
      <c r="G2" s="78"/>
      <c r="H2" s="75"/>
      <c r="I2" s="75"/>
      <c r="J2" s="75"/>
      <c r="K2" s="75"/>
      <c r="L2" s="75"/>
      <c r="M2" s="7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x14ac:dyDescent="0.2">
      <c r="A20" s="33"/>
      <c r="B20" s="13">
        <v>2016</v>
      </c>
      <c r="C20" s="13">
        <v>2017</v>
      </c>
      <c r="D20" s="13">
        <v>2018</v>
      </c>
      <c r="E20" s="14">
        <v>2019</v>
      </c>
      <c r="F20" s="14">
        <v>2020</v>
      </c>
      <c r="G20" s="14">
        <v>2021</v>
      </c>
      <c r="H20" s="6"/>
    </row>
    <row r="21" spans="1:8" ht="15" customHeight="1" x14ac:dyDescent="0.2">
      <c r="A21" s="24" t="s">
        <v>33</v>
      </c>
      <c r="B21" s="135">
        <v>59.5</v>
      </c>
      <c r="C21" s="110">
        <v>60.2</v>
      </c>
      <c r="D21" s="110">
        <v>65.900000000000006</v>
      </c>
      <c r="E21" s="110">
        <v>64.099999999999994</v>
      </c>
      <c r="F21" s="110">
        <v>66.5</v>
      </c>
      <c r="G21" s="111">
        <v>61.1</v>
      </c>
      <c r="H21" s="8"/>
    </row>
    <row r="22" spans="1:8" ht="14.25" customHeight="1" x14ac:dyDescent="0.2">
      <c r="A22" s="25" t="s">
        <v>34</v>
      </c>
      <c r="B22" s="136">
        <v>20.3</v>
      </c>
      <c r="C22" s="108">
        <v>19.100000000000001</v>
      </c>
      <c r="D22" s="108">
        <v>15.4</v>
      </c>
      <c r="E22" s="108">
        <v>15.6</v>
      </c>
      <c r="F22" s="108">
        <v>15.3</v>
      </c>
      <c r="G22" s="112">
        <v>14.8</v>
      </c>
      <c r="H22" s="8"/>
    </row>
    <row r="23" spans="1:8" ht="15" customHeight="1" x14ac:dyDescent="0.2">
      <c r="A23" s="26" t="s">
        <v>35</v>
      </c>
      <c r="B23" s="137">
        <v>20.2</v>
      </c>
      <c r="C23" s="113">
        <v>20.7</v>
      </c>
      <c r="D23" s="113">
        <v>18.7</v>
      </c>
      <c r="E23" s="113">
        <v>20.3</v>
      </c>
      <c r="F23" s="113">
        <v>18.2</v>
      </c>
      <c r="G23" s="114">
        <v>24.1</v>
      </c>
      <c r="H23" s="8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>
      <selection activeCell="J21" sqref="J21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0" x14ac:dyDescent="0.2">
      <c r="A2" s="189" t="s">
        <v>93</v>
      </c>
      <c r="B2" s="189"/>
      <c r="C2" s="189"/>
      <c r="D2" s="189"/>
      <c r="E2" s="189"/>
      <c r="F2" s="189"/>
      <c r="G2" s="77"/>
      <c r="H2" s="77"/>
      <c r="I2" s="75"/>
      <c r="J2" s="75"/>
    </row>
    <row r="3" spans="1:10" x14ac:dyDescent="0.2">
      <c r="A3" s="4"/>
      <c r="B3" s="4"/>
      <c r="C3" s="4"/>
      <c r="D3" s="4"/>
      <c r="E3" s="4"/>
      <c r="F3" s="4"/>
      <c r="G3" s="4"/>
      <c r="H3" s="4"/>
    </row>
    <row r="4" spans="1:10" x14ac:dyDescent="0.2">
      <c r="A4" s="4"/>
      <c r="B4" s="4"/>
      <c r="C4" s="4"/>
      <c r="D4" s="4"/>
      <c r="E4" s="4"/>
      <c r="F4" s="4"/>
      <c r="G4" s="4"/>
      <c r="H4" s="4"/>
    </row>
    <row r="5" spans="1:10" x14ac:dyDescent="0.2">
      <c r="A5" s="4"/>
      <c r="B5" s="4"/>
      <c r="C5" s="4"/>
      <c r="D5" s="4"/>
      <c r="E5" s="4"/>
      <c r="F5" s="4"/>
      <c r="G5" s="4"/>
      <c r="H5" s="4"/>
    </row>
    <row r="6" spans="1:10" x14ac:dyDescent="0.2">
      <c r="A6" s="4"/>
      <c r="B6" s="4"/>
      <c r="C6" s="4"/>
      <c r="D6" s="4"/>
      <c r="E6" s="4"/>
      <c r="F6" s="4"/>
      <c r="G6" s="4"/>
      <c r="H6" s="4"/>
    </row>
    <row r="7" spans="1:10" x14ac:dyDescent="0.2">
      <c r="A7" s="4"/>
      <c r="B7" s="4"/>
      <c r="C7" s="4"/>
      <c r="D7" s="4"/>
      <c r="E7" s="4"/>
      <c r="F7" s="4"/>
      <c r="G7" s="4"/>
      <c r="H7" s="4"/>
    </row>
    <row r="8" spans="1:10" x14ac:dyDescent="0.2">
      <c r="A8" s="4"/>
      <c r="B8" s="4"/>
      <c r="C8" s="4"/>
      <c r="D8" s="4"/>
      <c r="E8" s="4"/>
      <c r="F8" s="4"/>
      <c r="G8" s="4"/>
      <c r="H8" s="4"/>
    </row>
    <row r="9" spans="1:10" x14ac:dyDescent="0.2">
      <c r="A9" s="4"/>
      <c r="B9" s="4"/>
      <c r="C9" s="4"/>
      <c r="D9" s="4"/>
      <c r="E9" s="4"/>
      <c r="F9" s="4"/>
      <c r="G9" s="4"/>
      <c r="H9" s="4"/>
    </row>
    <row r="10" spans="1:10" x14ac:dyDescent="0.2">
      <c r="A10" s="4"/>
      <c r="B10" s="4"/>
      <c r="C10" s="4"/>
      <c r="D10" s="4"/>
      <c r="E10" s="4"/>
      <c r="F10" s="4"/>
      <c r="G10" s="4"/>
      <c r="H10" s="4"/>
    </row>
    <row r="11" spans="1:10" x14ac:dyDescent="0.2">
      <c r="A11" s="4"/>
      <c r="B11" s="4"/>
      <c r="C11" s="4"/>
      <c r="D11" s="4"/>
      <c r="E11" s="4"/>
      <c r="F11" s="4"/>
      <c r="G11" s="4"/>
      <c r="H11" s="4"/>
    </row>
    <row r="12" spans="1:10" x14ac:dyDescent="0.2">
      <c r="A12" s="4"/>
      <c r="B12" s="4"/>
      <c r="C12" s="4"/>
      <c r="D12" s="4"/>
      <c r="E12" s="4"/>
      <c r="F12" s="4"/>
      <c r="G12" s="4"/>
      <c r="H12" s="4"/>
    </row>
    <row r="13" spans="1:10" x14ac:dyDescent="0.2">
      <c r="A13" s="4"/>
      <c r="B13" s="4"/>
      <c r="C13" s="4"/>
      <c r="D13" s="4"/>
      <c r="E13" s="4"/>
      <c r="F13" s="4"/>
      <c r="G13" s="4"/>
      <c r="H13" s="4"/>
    </row>
    <row r="14" spans="1:10" x14ac:dyDescent="0.2">
      <c r="A14" s="4"/>
      <c r="B14" s="4"/>
      <c r="C14" s="4"/>
      <c r="D14" s="4"/>
      <c r="E14" s="4"/>
      <c r="F14" s="4"/>
      <c r="G14" s="4"/>
      <c r="H14" s="4"/>
    </row>
    <row r="15" spans="1:10" x14ac:dyDescent="0.2">
      <c r="A15" s="4"/>
      <c r="B15" s="4"/>
      <c r="C15" s="4"/>
      <c r="D15" s="4"/>
      <c r="E15" s="4"/>
      <c r="F15" s="4"/>
      <c r="G15" s="4"/>
      <c r="H15" s="4"/>
    </row>
    <row r="16" spans="1:10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5"/>
    </row>
    <row r="22" spans="1:8" ht="14.25" customHeight="1" x14ac:dyDescent="0.2">
      <c r="A22" s="5"/>
    </row>
    <row r="23" spans="1:8" ht="23.25" customHeight="1" x14ac:dyDescent="0.2">
      <c r="A23" s="162"/>
      <c r="B23" s="14">
        <v>2016</v>
      </c>
      <c r="C23" s="14">
        <v>2017</v>
      </c>
      <c r="D23" s="14">
        <v>2018</v>
      </c>
      <c r="E23" s="14">
        <v>2019</v>
      </c>
      <c r="F23" s="14">
        <v>2020</v>
      </c>
      <c r="G23" s="14">
        <v>2021</v>
      </c>
    </row>
    <row r="24" spans="1:8" ht="13.5" customHeight="1" x14ac:dyDescent="0.2">
      <c r="A24" s="99" t="s">
        <v>36</v>
      </c>
      <c r="B24" s="169">
        <v>25.092932719188493</v>
      </c>
      <c r="C24" s="170">
        <f>IF(600607.99038="","-",600607.99038/2424972.02699*100)</f>
        <v>24.76762551053034</v>
      </c>
      <c r="D24" s="170">
        <f>IF(792137.25516="","-",792137.25516/2706173.30142*100)</f>
        <v>29.271490290157871</v>
      </c>
      <c r="E24" s="170">
        <f>IF(765414.78791="","-",765414.78791/2779164.46518*100)</f>
        <v>27.541183600317293</v>
      </c>
      <c r="F24" s="170">
        <f>IF(706674.1093="","-",706674.1093/2467106.07968*100)</f>
        <v>28.643847750221603</v>
      </c>
      <c r="G24" s="171">
        <f>IF(833463.03664="","-",833463.03664/3144446.15815*100)</f>
        <v>26.505877179031067</v>
      </c>
    </row>
    <row r="25" spans="1:8" ht="14.25" customHeight="1" x14ac:dyDescent="0.2">
      <c r="A25" s="97" t="s">
        <v>38</v>
      </c>
      <c r="B25" s="138">
        <v>3.0067380733823303</v>
      </c>
      <c r="C25" s="166">
        <f>IF(104063.31636="","-",104063.31636/2424972.02699*100)</f>
        <v>4.2913202792350855</v>
      </c>
      <c r="D25" s="166">
        <f>IF(107124.79787="","-",107124.79787/2706173.30142*100)</f>
        <v>3.958534282109309</v>
      </c>
      <c r="E25" s="166">
        <f>IF(175543.37425="","-",175543.37425/2779164.46518*100)</f>
        <v>6.3164082748384764</v>
      </c>
      <c r="F25" s="166">
        <f>IF(171687.12764="","-",171687.12764/2467106.07968*100)</f>
        <v>6.9590492704824811</v>
      </c>
      <c r="G25" s="172">
        <f>IF(313959.59291="","-",313959.59291/3144446.15815*100)</f>
        <v>9.984575251710293</v>
      </c>
    </row>
    <row r="26" spans="1:8" ht="12.75" customHeight="1" x14ac:dyDescent="0.2">
      <c r="A26" s="97" t="s">
        <v>79</v>
      </c>
      <c r="B26" s="138">
        <v>11.404890602720632</v>
      </c>
      <c r="C26" s="166">
        <f>IF(254534.81514="","-",254534.81514/2424972.02699*100)</f>
        <v>10.496402115447975</v>
      </c>
      <c r="D26" s="166">
        <f>IF(218571.09808="","-",218571.09808/2706173.30142*100)</f>
        <v>8.0767590887586547</v>
      </c>
      <c r="E26" s="166">
        <f>IF(249858.71118="","-",249858.71118/2779164.46518*100)</f>
        <v>8.9904255149512089</v>
      </c>
      <c r="F26" s="166">
        <f>IF(216833.64131="","-",216833.64131/2467106.07968*100)</f>
        <v>8.788987352263538</v>
      </c>
      <c r="G26" s="172">
        <f>IF(276067.08135="","-",276067.08135/3144446.15815*100)</f>
        <v>8.7795137033741106</v>
      </c>
    </row>
    <row r="27" spans="1:8" ht="14.25" customHeight="1" x14ac:dyDescent="0.2">
      <c r="A27" s="97" t="s">
        <v>37</v>
      </c>
      <c r="B27" s="138">
        <v>6.1932749739699569</v>
      </c>
      <c r="C27" s="166">
        <f>IF(166125.33701="","-",166125.33701/2424972.02699*100)</f>
        <v>6.8506083847987025</v>
      </c>
      <c r="D27" s="166">
        <f>IF(219902.73735="","-",219902.73735/2706173.30142*100)</f>
        <v>8.1259665533841208</v>
      </c>
      <c r="E27" s="166">
        <f>IF(245960.38245="","-",245960.38245/2779164.46518*100)</f>
        <v>8.8501557044077188</v>
      </c>
      <c r="F27" s="166">
        <f>IF(225600.61639="","-",225600.61639/2467106.07968*100)</f>
        <v>9.1443419578967564</v>
      </c>
      <c r="G27" s="172">
        <f>IF(245445.88827="","-",245445.88827/3144446.15815*100)</f>
        <v>7.8056953728985246</v>
      </c>
    </row>
    <row r="28" spans="1:8" ht="12.75" customHeight="1" x14ac:dyDescent="0.2">
      <c r="A28" s="97" t="s">
        <v>39</v>
      </c>
      <c r="B28" s="138">
        <v>9.6747830695171544</v>
      </c>
      <c r="C28" s="166">
        <f>IF(236025.89038="","-",236025.89038/2424972.02699*100)</f>
        <v>9.7331386817260519</v>
      </c>
      <c r="D28" s="166">
        <f>IF(309606.99167="","-",309606.99167/2706173.30142*100)</f>
        <v>11.44076735616086</v>
      </c>
      <c r="E28" s="166">
        <f>IF(267051.6788="","-",267051.6788/2779164.46518*100)</f>
        <v>9.6090635205607988</v>
      </c>
      <c r="F28" s="166">
        <f>IF(213726.23884="","-",213726.23884/2467106.07968*100)</f>
        <v>8.6630340138321777</v>
      </c>
      <c r="G28" s="172">
        <f>IF(240059.08368="","-",240059.08368/3144446.15815*100)</f>
        <v>7.634383659513384</v>
      </c>
    </row>
    <row r="29" spans="1:8" ht="13.5" customHeight="1" x14ac:dyDescent="0.2">
      <c r="A29" s="97" t="s">
        <v>80</v>
      </c>
      <c r="B29" s="138">
        <v>2.176446068846674</v>
      </c>
      <c r="C29" s="166">
        <f>IF(44055.18099="","-",44055.18099/2424972.02699*100)</f>
        <v>1.8167294508829264</v>
      </c>
      <c r="D29" s="166">
        <f>IF(60114.76714="","-",60114.76714/2706173.30142*100)</f>
        <v>2.2213938445278507</v>
      </c>
      <c r="E29" s="166">
        <f>IF(85378.69695="","-",85378.69695/2779164.46518*100)</f>
        <v>3.0720994752093675</v>
      </c>
      <c r="F29" s="166">
        <f>IF(61397.70689="","-",61397.70689/2467106.07968*100)</f>
        <v>2.4886528956210787</v>
      </c>
      <c r="G29" s="172">
        <f>IF(118855.20765="","-",118855.20765/3144446.15815*100)</f>
        <v>3.7798455331137593</v>
      </c>
    </row>
    <row r="30" spans="1:8" ht="13.5" customHeight="1" x14ac:dyDescent="0.2">
      <c r="A30" s="97" t="s">
        <v>40</v>
      </c>
      <c r="B30" s="138">
        <f>IF(OR(73408.25711="",73408.25711="***"),"-",73408.25711/2044538.64752*100)</f>
        <v>3.5904558321283537</v>
      </c>
      <c r="C30" s="166">
        <f>IF(102922.8802="","-",102922.8802/2424972.02699*100)</f>
        <v>4.2442914414873956</v>
      </c>
      <c r="D30" s="166">
        <f>IF(98055.76385="","-",98055.76385/2706173.30142*100)</f>
        <v>3.6234103632072481</v>
      </c>
      <c r="E30" s="166">
        <f>IF(113039.83757="","-",113039.83757/2779164.46518*100)</f>
        <v>4.0674036742434634</v>
      </c>
      <c r="F30" s="166">
        <f>IF(109763.99893="","-",109763.99893/2467106.07968*100)</f>
        <v>4.4490992841392991</v>
      </c>
      <c r="G30" s="172">
        <f>IF(108508.15569="","-",108508.15569/3144446.15815*100)</f>
        <v>3.4507875229079952</v>
      </c>
    </row>
    <row r="31" spans="1:8" ht="13.5" customHeight="1" x14ac:dyDescent="0.2">
      <c r="A31" s="97" t="s">
        <v>41</v>
      </c>
      <c r="B31" s="138">
        <v>2.4311817260237807</v>
      </c>
      <c r="C31" s="166">
        <f>IF(65524.03276="","-",65524.03276/2424972.02699*100)</f>
        <v>2.7020531383750352</v>
      </c>
      <c r="D31" s="166">
        <f>IF(80275.94023="","-",80275.94023/2706173.30142*100)</f>
        <v>2.9664005696855078</v>
      </c>
      <c r="E31" s="166">
        <f>IF(80160.14641="","-",80160.14641/2779164.46518*100)</f>
        <v>2.8843253939924072</v>
      </c>
      <c r="F31" s="166">
        <f>IF(69480.88574="","-",69480.88574/2467106.07968*100)</f>
        <v>2.8162909699047933</v>
      </c>
      <c r="G31" s="172">
        <f>IF(92766.58145="","-",92766.58145/3144446.15815*100)</f>
        <v>2.9501723605462589</v>
      </c>
    </row>
    <row r="32" spans="1:8" x14ac:dyDescent="0.2">
      <c r="A32" s="97" t="s">
        <v>82</v>
      </c>
      <c r="B32" s="138">
        <v>1.3834958700492501</v>
      </c>
      <c r="C32" s="166">
        <f>IF(29881.34593="","-",29881.34593/2424972.02699*100)</f>
        <v>1.2322346648711764</v>
      </c>
      <c r="D32" s="166">
        <f>IF(42723.27087="","-",42723.27087/2706173.30142*100)</f>
        <v>1.5787337362164495</v>
      </c>
      <c r="E32" s="166">
        <f>IF(64817.8432="","-",64817.8432/2779164.46518*100)</f>
        <v>2.3322780645801724</v>
      </c>
      <c r="F32" s="166">
        <f>IF(80461.43231="","-",80461.43231/2467106.07968*100)</f>
        <v>3.2613689769041625</v>
      </c>
      <c r="G32" s="172">
        <f>IF(79000.73983="","-",79000.73983/3144446.15815*100)</f>
        <v>2.5123896500895793</v>
      </c>
    </row>
    <row r="33" spans="1:7" ht="12" customHeight="1" x14ac:dyDescent="0.2">
      <c r="A33" s="97" t="s">
        <v>45</v>
      </c>
      <c r="B33" s="138">
        <f>IF(OR(76015.91664="",76015.91664="***"),"-",76015.91664/2044538.64752*100)</f>
        <v>3.7179985192359344</v>
      </c>
      <c r="C33" s="166">
        <f>IF(78127.71864="","-",78127.71864/2424972.02699*100)</f>
        <v>3.2217987576943781</v>
      </c>
      <c r="D33" s="166">
        <f>IF(48413.00075="","-",48413.00075/2706173.30142*100)</f>
        <v>1.7889837552013552</v>
      </c>
      <c r="E33" s="166">
        <f>IF(62957.59931="","-",62957.59931/2779164.46518*100)</f>
        <v>2.265342699174242</v>
      </c>
      <c r="F33" s="166">
        <f>IF(58158.27616="","-",58158.27616/2467106.07968*100)</f>
        <v>2.3573480134888856</v>
      </c>
      <c r="G33" s="172">
        <f>IF(77766.04431="","-",77766.04431/3144446.15815*100)</f>
        <v>2.4731237362242764</v>
      </c>
    </row>
    <row r="34" spans="1:7" ht="12.75" customHeight="1" x14ac:dyDescent="0.2">
      <c r="A34" s="97" t="s">
        <v>42</v>
      </c>
      <c r="B34" s="138">
        <v>5.0641790031991638</v>
      </c>
      <c r="C34" s="166">
        <f>IF(109993.99949="","-",109993.99949/2424972.02699*100)</f>
        <v>4.5358873531638304</v>
      </c>
      <c r="D34" s="166">
        <f>IF(87234.06028="","-",87234.06028/2706173.30142*100)</f>
        <v>3.2235208378645228</v>
      </c>
      <c r="E34" s="166">
        <f>IF(80423.39978="","-",80423.39978/2779164.46518*100)</f>
        <v>2.8937977866232965</v>
      </c>
      <c r="F34" s="166">
        <f>IF(65881.91475="","-",65881.91475/2467106.07968*100)</f>
        <v>2.6704127273905187</v>
      </c>
      <c r="G34" s="172">
        <f>IF(67811.3222="","-",67811.3222/3144446.15815*100)</f>
        <v>2.1565426402433947</v>
      </c>
    </row>
    <row r="35" spans="1:7" ht="15" customHeight="1" x14ac:dyDescent="0.2">
      <c r="A35" s="97" t="s">
        <v>47</v>
      </c>
      <c r="B35" s="138">
        <v>5.5910486230552792</v>
      </c>
      <c r="C35" s="166">
        <f>IF(136149.05672="","-",136149.05672/2424972.02699*100)</f>
        <v>5.6144588557994712</v>
      </c>
      <c r="D35" s="166">
        <f>IF(78819.44556="","-",78819.44556/2706173.30142*100)</f>
        <v>2.9125793798439061</v>
      </c>
      <c r="E35" s="166">
        <f>IF(49936.12554="","-",49936.12554/2779164.46518*100)</f>
        <v>1.796803541699205</v>
      </c>
      <c r="F35" s="166">
        <f>IF(42764.58253="","-",42764.58253/2467106.07968*100)</f>
        <v>1.7333905048601255</v>
      </c>
      <c r="G35" s="172">
        <f>IF(65377.83267="","-",65377.83267/3144446.15815*100)</f>
        <v>2.0791525560248205</v>
      </c>
    </row>
    <row r="36" spans="1:7" ht="14.25" customHeight="1" x14ac:dyDescent="0.2">
      <c r="A36" s="97" t="s">
        <v>44</v>
      </c>
      <c r="B36" s="138">
        <f>IF(OR(18796.54173="",18796.54173="***"),"-",18796.54173/2044538.64752*100)</f>
        <v>0.91935370127632332</v>
      </c>
      <c r="C36" s="166">
        <f>IF(27939.42992="","-",27939.42992/2424972.02699*100)</f>
        <v>1.1521547304065134</v>
      </c>
      <c r="D36" s="166">
        <f>IF(25558.1734="","-",25558.1734/2706173.30142*100)</f>
        <v>0.94443964052815677</v>
      </c>
      <c r="E36" s="166">
        <f>IF(38145.47781="","-",38145.47781/2779164.46518*100)</f>
        <v>1.3725520129493094</v>
      </c>
      <c r="F36" s="166">
        <f>IF(34662.53935="","-",34662.53935/2467106.07968*100)</f>
        <v>1.4049877966534767</v>
      </c>
      <c r="G36" s="172">
        <f>IF(62797.90029="","-",62797.90029/3144446.15815*100)</f>
        <v>1.99710528123485</v>
      </c>
    </row>
    <row r="37" spans="1:7" x14ac:dyDescent="0.2">
      <c r="A37" s="97" t="s">
        <v>74</v>
      </c>
      <c r="B37" s="138">
        <v>1.4425986388555896</v>
      </c>
      <c r="C37" s="166">
        <f>IF(29492.2928="","-",29492.2928/2424972.02699*100)</f>
        <v>1.2161910517626608</v>
      </c>
      <c r="D37" s="166">
        <f>IF(37443.4421="","-",37443.4421/2706173.30142*100)</f>
        <v>1.3836306078532534</v>
      </c>
      <c r="E37" s="166">
        <f>IF(39276.09025="","-",39276.09025/2779164.46518*100)</f>
        <v>1.413233752161414</v>
      </c>
      <c r="F37" s="166">
        <f>IF(27039.61827="","-",27039.61827/2467106.07968*100)</f>
        <v>1.0960054978060456</v>
      </c>
      <c r="G37" s="172">
        <f>IF(44501.64637="","-",44501.64637/3144446.15815*100)</f>
        <v>1.4152459330447575</v>
      </c>
    </row>
    <row r="38" spans="1:7" x14ac:dyDescent="0.2">
      <c r="A38" s="97" t="s">
        <v>43</v>
      </c>
      <c r="B38" s="138">
        <v>0.45063156136352139</v>
      </c>
      <c r="C38" s="166">
        <f>IF(9927.99007="","-",9927.99007/2424972.02699*100)</f>
        <v>0.40940637498087473</v>
      </c>
      <c r="D38" s="166">
        <f>IF(8233.02862="","-",8233.02862/2706173.30142*100)</f>
        <v>0.30423138886485629</v>
      </c>
      <c r="E38" s="166">
        <f>IF(11132.94197="","-",11132.94197/2779164.46518*100)</f>
        <v>0.40058593543073912</v>
      </c>
      <c r="F38" s="166">
        <f>IF(27269.74917="","-",27269.74917/2467106.07968*100)</f>
        <v>1.1053334671988271</v>
      </c>
      <c r="G38" s="172">
        <f>IF(41801.2056="","-",41801.2056/3144446.15815*100)</f>
        <v>1.329366238046616</v>
      </c>
    </row>
    <row r="39" spans="1:7" x14ac:dyDescent="0.2">
      <c r="A39" s="97" t="s">
        <v>46</v>
      </c>
      <c r="B39" s="138">
        <f>IF(OR(26898.00139="",26898.00139="***"),"-",26898.00139/2044538.64752*100)</f>
        <v>1.315602491673461</v>
      </c>
      <c r="C39" s="166">
        <f>IF(27854.53346="","-",27854.53346/2424972.02699*100)</f>
        <v>1.1486538050739692</v>
      </c>
      <c r="D39" s="166">
        <f>IF(37495.8782="","-",37495.8782/2706173.30142*100)</f>
        <v>1.3855682553783577</v>
      </c>
      <c r="E39" s="166">
        <f>IF(37885.94716="","-",37885.94716/2779164.46518*100)</f>
        <v>1.3632135713690561</v>
      </c>
      <c r="F39" s="166">
        <f>IF(35958.30808="","-",35958.30808/2467106.07968*100)</f>
        <v>1.4575096051266687</v>
      </c>
      <c r="G39" s="172">
        <f>IF(35829.53069="","-",35829.53069/3144446.15815*100)</f>
        <v>1.1394544186146887</v>
      </c>
    </row>
    <row r="40" spans="1:7" x14ac:dyDescent="0.2">
      <c r="A40" s="97" t="s">
        <v>81</v>
      </c>
      <c r="B40" s="138">
        <f>IF(OR(44746.08607="",44746.08607="***"),"-",44746.08607/2044538.64752*100)</f>
        <v>2.1885664095553508</v>
      </c>
      <c r="C40" s="166">
        <f>IF(50832.82295="","-",50832.82295/2424972.02699*100)</f>
        <v>2.0962230650180453</v>
      </c>
      <c r="D40" s="166">
        <f>IF(48358.65056="","-",48358.65056/2706173.30142*100)</f>
        <v>1.7869753771728127</v>
      </c>
      <c r="E40" s="166">
        <f>IF(36009.6745="","-",36009.6745/2779164.46518*100)</f>
        <v>1.2957014581599344</v>
      </c>
      <c r="F40" s="166">
        <f>IF(29629.16883="","-",29629.16883/2467106.07968*100)</f>
        <v>1.2009685790990834</v>
      </c>
      <c r="G40" s="172">
        <f>IF(32403.57893="","-",32403.57893/3144446.15815*100)</f>
        <v>1.0305019485232427</v>
      </c>
    </row>
    <row r="41" spans="1:7" ht="13.5" customHeight="1" x14ac:dyDescent="0.2">
      <c r="A41" s="97" t="s">
        <v>96</v>
      </c>
      <c r="B41" s="138">
        <f>IF(OR(17016.36593="",17016.36593="***"),"-",17016.36593/2044538.64752*100)</f>
        <v>0.83228389693883464</v>
      </c>
      <c r="C41" s="166">
        <f>IF(18829.07644="","-",18829.07644/2424972.02699*100)</f>
        <v>0.77646571714774038</v>
      </c>
      <c r="D41" s="166">
        <f>IF(21768.70865="","-",21768.70865/2706173.30142*100)</f>
        <v>0.80440926080297181</v>
      </c>
      <c r="E41" s="166">
        <f>IF(24335.80652="","-",24335.80652/2779164.46518*100)</f>
        <v>0.87565190275357907</v>
      </c>
      <c r="F41" s="166">
        <f>IF(25681.56647="","-",25681.56647/2467106.07968*100)</f>
        <v>1.0409591497310513</v>
      </c>
      <c r="G41" s="172">
        <f>IF(31732.32781="","-",31732.32781/3144446.15815*100)</f>
        <v>1.0091547513941013</v>
      </c>
    </row>
    <row r="42" spans="1:7" x14ac:dyDescent="0.2">
      <c r="A42" s="97" t="s">
        <v>78</v>
      </c>
      <c r="B42" s="138">
        <f>IF(OR(11244.76998="",11244.76998="***"),"-",11244.76998/2044538.64752*100)</f>
        <v>0.54999058069358409</v>
      </c>
      <c r="C42" s="166">
        <f>IF(7986.94117="","-",7986.94117/2424972.02699*100)</f>
        <v>0.32936219804208633</v>
      </c>
      <c r="D42" s="166">
        <f>IF(13952.91019="","-",13952.91019/2706173.30142*100)</f>
        <v>0.51559558963494856</v>
      </c>
      <c r="E42" s="166">
        <f>IF(14362.4507="","-",14362.4507/2779164.46518*100)</f>
        <v>0.51679023965462867</v>
      </c>
      <c r="F42" s="166">
        <f>IF(11625.95502="","-",11625.95502/2467106.07968*100)</f>
        <v>0.47123855418117905</v>
      </c>
      <c r="G42" s="172">
        <f>IF(24831.19348="","-",24831.19348/3144446.15815*100)</f>
        <v>0.78968416793020102</v>
      </c>
    </row>
    <row r="43" spans="1:7" x14ac:dyDescent="0.2">
      <c r="A43" s="98" t="s">
        <v>83</v>
      </c>
      <c r="B43" s="167">
        <f>IF(OR(3706.95491="",3706.95491="***"),"-",3706.95491/2044538.64752*100)</f>
        <v>0.18131009235244783</v>
      </c>
      <c r="C43" s="168">
        <f>IF(10948.7462="","-",10948.7462/2424972.02699*100)</f>
        <v>0.45149989682933156</v>
      </c>
      <c r="D43" s="168">
        <f>IF(20847.21472="","-",20847.21472/2706173.30142*100)</f>
        <v>0.77035771172012235</v>
      </c>
      <c r="E43" s="168">
        <f>IF(8620.21519="","-",8620.21519/2779164.46518*100)</f>
        <v>0.31017290620984139</v>
      </c>
      <c r="F43" s="168">
        <f>IF(9539.65528="","-",9539.65528/2467106.07968*100)</f>
        <v>0.38667389937433727</v>
      </c>
      <c r="G43" s="173">
        <f>IF(24067.8182="","-",24067.8182/3144446.15815*100)</f>
        <v>0.76540722879351297</v>
      </c>
    </row>
    <row r="44" spans="1:7" x14ac:dyDescent="0.2">
      <c r="B44" s="6"/>
      <c r="C44" s="6"/>
      <c r="D44" s="6"/>
      <c r="E44" s="6"/>
      <c r="F44" s="6"/>
      <c r="G44" s="6"/>
    </row>
    <row r="45" spans="1:7" x14ac:dyDescent="0.2">
      <c r="B45" s="6"/>
      <c r="C45" s="6"/>
      <c r="D45" s="6"/>
      <c r="E45" s="6"/>
      <c r="F45" s="6"/>
      <c r="G45" s="6"/>
    </row>
    <row r="46" spans="1:7" x14ac:dyDescent="0.2">
      <c r="B46" s="6"/>
      <c r="C46" s="6"/>
      <c r="D46" s="6"/>
      <c r="E46" s="6"/>
      <c r="F46" s="6"/>
      <c r="G46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E36" sqref="E36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1" spans="1:13" ht="9" customHeight="1" x14ac:dyDescent="0.2"/>
    <row r="2" spans="1:13" ht="15" customHeight="1" x14ac:dyDescent="0.2">
      <c r="A2" s="193" t="s">
        <v>92</v>
      </c>
      <c r="B2" s="193"/>
      <c r="C2" s="193"/>
      <c r="D2" s="193"/>
      <c r="E2" s="193"/>
      <c r="F2" s="193"/>
      <c r="G2" s="193"/>
    </row>
    <row r="3" spans="1:13" x14ac:dyDescent="0.2">
      <c r="A3" s="192"/>
      <c r="B3" s="192"/>
      <c r="C3" s="192"/>
      <c r="D3" s="192"/>
      <c r="E3" s="192"/>
      <c r="F3" s="192"/>
      <c r="G3" s="192"/>
      <c r="H3" s="192"/>
      <c r="I3" s="75"/>
      <c r="J3" s="75"/>
      <c r="K3" s="75"/>
      <c r="L3" s="75"/>
      <c r="M3" s="75"/>
    </row>
    <row r="25" spans="1:2" ht="16.5" customHeight="1" x14ac:dyDescent="0.2">
      <c r="A25" s="68" t="s">
        <v>97</v>
      </c>
      <c r="B25" s="47" t="s">
        <v>48</v>
      </c>
    </row>
    <row r="26" spans="1:2" x14ac:dyDescent="0.2">
      <c r="A26" s="58" t="s">
        <v>49</v>
      </c>
      <c r="B26" s="139">
        <v>21.3</v>
      </c>
    </row>
    <row r="27" spans="1:2" x14ac:dyDescent="0.2">
      <c r="A27" s="59" t="s">
        <v>50</v>
      </c>
      <c r="B27" s="140">
        <v>7.6</v>
      </c>
    </row>
    <row r="28" spans="1:2" x14ac:dyDescent="0.2">
      <c r="A28" s="59" t="s">
        <v>51</v>
      </c>
      <c r="B28" s="140">
        <v>10.8</v>
      </c>
    </row>
    <row r="29" spans="1:2" x14ac:dyDescent="0.2">
      <c r="A29" s="59" t="s">
        <v>52</v>
      </c>
      <c r="B29" s="140">
        <v>0.6</v>
      </c>
    </row>
    <row r="30" spans="1:2" x14ac:dyDescent="0.2">
      <c r="A30" s="59" t="s">
        <v>53</v>
      </c>
      <c r="B30" s="140">
        <v>4.2</v>
      </c>
    </row>
    <row r="31" spans="1:2" x14ac:dyDescent="0.2">
      <c r="A31" s="59" t="s">
        <v>54</v>
      </c>
      <c r="B31" s="140">
        <v>5.2</v>
      </c>
    </row>
    <row r="32" spans="1:2" x14ac:dyDescent="0.2">
      <c r="A32" s="59" t="s">
        <v>55</v>
      </c>
      <c r="B32" s="140">
        <v>7</v>
      </c>
    </row>
    <row r="33" spans="1:2" x14ac:dyDescent="0.2">
      <c r="A33" s="59" t="s">
        <v>56</v>
      </c>
      <c r="B33" s="140">
        <v>22.3</v>
      </c>
    </row>
    <row r="34" spans="1:2" x14ac:dyDescent="0.2">
      <c r="A34" s="60" t="s">
        <v>57</v>
      </c>
      <c r="B34" s="141">
        <v>21</v>
      </c>
    </row>
    <row r="35" spans="1:2" x14ac:dyDescent="0.2">
      <c r="B35" s="109"/>
    </row>
    <row r="36" spans="1:2" x14ac:dyDescent="0.2">
      <c r="A36" s="68" t="s">
        <v>98</v>
      </c>
      <c r="B36" s="46" t="s">
        <v>48</v>
      </c>
    </row>
    <row r="37" spans="1:2" x14ac:dyDescent="0.2">
      <c r="A37" s="58" t="s">
        <v>49</v>
      </c>
      <c r="B37" s="139">
        <v>25.8</v>
      </c>
    </row>
    <row r="38" spans="1:2" x14ac:dyDescent="0.2">
      <c r="A38" s="59" t="s">
        <v>50</v>
      </c>
      <c r="B38" s="140">
        <v>6.7</v>
      </c>
    </row>
    <row r="39" spans="1:2" x14ac:dyDescent="0.2">
      <c r="A39" s="59" t="s">
        <v>51</v>
      </c>
      <c r="B39" s="140">
        <v>11.6</v>
      </c>
    </row>
    <row r="40" spans="1:2" x14ac:dyDescent="0.2">
      <c r="A40" s="59" t="s">
        <v>52</v>
      </c>
      <c r="B40" s="140">
        <v>0.5</v>
      </c>
    </row>
    <row r="41" spans="1:2" x14ac:dyDescent="0.2">
      <c r="A41" s="59" t="s">
        <v>53</v>
      </c>
      <c r="B41" s="140">
        <v>3.8</v>
      </c>
    </row>
    <row r="42" spans="1:2" x14ac:dyDescent="0.2">
      <c r="A42" s="59" t="s">
        <v>54</v>
      </c>
      <c r="B42" s="140">
        <v>4.9000000000000004</v>
      </c>
    </row>
    <row r="43" spans="1:2" x14ac:dyDescent="0.2">
      <c r="A43" s="59" t="s">
        <v>55</v>
      </c>
      <c r="B43" s="140">
        <v>7.7</v>
      </c>
    </row>
    <row r="44" spans="1:2" x14ac:dyDescent="0.2">
      <c r="A44" s="59" t="s">
        <v>56</v>
      </c>
      <c r="B44" s="140">
        <v>20.2</v>
      </c>
    </row>
    <row r="45" spans="1:2" x14ac:dyDescent="0.2">
      <c r="A45" s="60" t="s">
        <v>57</v>
      </c>
      <c r="B45" s="141">
        <v>18.8</v>
      </c>
    </row>
    <row r="46" spans="1:2" x14ac:dyDescent="0.2">
      <c r="B46" s="100"/>
    </row>
  </sheetData>
  <mergeCells count="2">
    <mergeCell ref="A3:H3"/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E34" sqref="E34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x14ac:dyDescent="0.2">
      <c r="A2" s="189" t="s">
        <v>91</v>
      </c>
      <c r="B2" s="189"/>
      <c r="C2" s="189"/>
      <c r="D2" s="189"/>
      <c r="E2" s="189"/>
      <c r="F2" s="190"/>
      <c r="G2" s="190"/>
      <c r="H2" s="190"/>
      <c r="I2" s="190"/>
      <c r="J2" s="190"/>
      <c r="K2" s="75"/>
      <c r="L2" s="75"/>
      <c r="M2" s="7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43" t="s">
        <v>0</v>
      </c>
      <c r="B21" s="43" t="s">
        <v>1</v>
      </c>
      <c r="C21" s="66" t="s">
        <v>2</v>
      </c>
      <c r="D21" s="66" t="s">
        <v>3</v>
      </c>
      <c r="E21" s="66" t="s">
        <v>4</v>
      </c>
      <c r="F21" s="66" t="s">
        <v>5</v>
      </c>
      <c r="G21" s="66" t="s">
        <v>6</v>
      </c>
      <c r="H21" s="66" t="s">
        <v>7</v>
      </c>
      <c r="I21" s="66" t="s">
        <v>8</v>
      </c>
      <c r="J21" s="66" t="s">
        <v>9</v>
      </c>
      <c r="K21" s="66" t="s">
        <v>10</v>
      </c>
      <c r="L21" s="66" t="s">
        <v>11</v>
      </c>
      <c r="M21" s="66" t="s">
        <v>12</v>
      </c>
    </row>
    <row r="22" spans="1:13" x14ac:dyDescent="0.2">
      <c r="A22" s="44">
        <v>2016</v>
      </c>
      <c r="B22" s="65">
        <v>207.3</v>
      </c>
      <c r="C22" s="65">
        <v>287</v>
      </c>
      <c r="D22" s="65">
        <v>366.8</v>
      </c>
      <c r="E22" s="65">
        <v>354.9</v>
      </c>
      <c r="F22" s="65">
        <v>327.7</v>
      </c>
      <c r="G22" s="65">
        <v>324.60000000000002</v>
      </c>
      <c r="H22" s="65">
        <v>314.10000000000002</v>
      </c>
      <c r="I22" s="65">
        <v>351.1</v>
      </c>
      <c r="J22" s="65">
        <v>361.6</v>
      </c>
      <c r="K22" s="65">
        <v>380.2</v>
      </c>
      <c r="L22" s="65">
        <v>353.5</v>
      </c>
      <c r="M22" s="62">
        <v>391.4</v>
      </c>
    </row>
    <row r="23" spans="1:13" x14ac:dyDescent="0.2">
      <c r="A23" s="44">
        <v>2017</v>
      </c>
      <c r="B23" s="65">
        <v>266.8</v>
      </c>
      <c r="C23" s="65">
        <v>332.7</v>
      </c>
      <c r="D23" s="65">
        <v>431.2</v>
      </c>
      <c r="E23" s="65">
        <v>361.5</v>
      </c>
      <c r="F23" s="65">
        <v>400.4</v>
      </c>
      <c r="G23" s="65">
        <v>388.8</v>
      </c>
      <c r="H23" s="65">
        <v>396.9</v>
      </c>
      <c r="I23" s="65">
        <v>429.7</v>
      </c>
      <c r="J23" s="65">
        <v>430.8</v>
      </c>
      <c r="K23" s="65">
        <v>465.9</v>
      </c>
      <c r="L23" s="65">
        <v>455.3</v>
      </c>
      <c r="M23" s="62">
        <v>471.4</v>
      </c>
    </row>
    <row r="24" spans="1:13" x14ac:dyDescent="0.2">
      <c r="A24" s="44">
        <v>2018</v>
      </c>
      <c r="B24" s="65">
        <v>374.3</v>
      </c>
      <c r="C24" s="65">
        <v>427.6</v>
      </c>
      <c r="D24" s="65">
        <v>524.1</v>
      </c>
      <c r="E24" s="65">
        <v>444.6</v>
      </c>
      <c r="F24" s="65">
        <v>505.6</v>
      </c>
      <c r="G24" s="65">
        <v>458.7</v>
      </c>
      <c r="H24" s="65">
        <v>488</v>
      </c>
      <c r="I24" s="65">
        <v>480.7</v>
      </c>
      <c r="J24" s="65">
        <v>474</v>
      </c>
      <c r="K24" s="65">
        <v>540.6</v>
      </c>
      <c r="L24" s="65">
        <v>522.6</v>
      </c>
      <c r="M24" s="62">
        <v>519.29999999999995</v>
      </c>
    </row>
    <row r="25" spans="1:13" x14ac:dyDescent="0.2">
      <c r="A25" s="44">
        <v>2019</v>
      </c>
      <c r="B25" s="65">
        <v>372.6</v>
      </c>
      <c r="C25" s="65">
        <v>459.3</v>
      </c>
      <c r="D25" s="65">
        <v>533.79999999999995</v>
      </c>
      <c r="E25" s="65">
        <v>515.6</v>
      </c>
      <c r="F25" s="65">
        <v>481.6</v>
      </c>
      <c r="G25" s="65">
        <v>445.4</v>
      </c>
      <c r="H25" s="65">
        <v>499.1</v>
      </c>
      <c r="I25" s="65">
        <v>464.3</v>
      </c>
      <c r="J25" s="65">
        <v>501.7</v>
      </c>
      <c r="K25" s="65">
        <v>525.29999999999995</v>
      </c>
      <c r="L25" s="65">
        <v>504.1</v>
      </c>
      <c r="M25" s="62">
        <v>539.70000000000005</v>
      </c>
    </row>
    <row r="26" spans="1:13" x14ac:dyDescent="0.2">
      <c r="A26" s="44">
        <v>2020</v>
      </c>
      <c r="B26" s="65">
        <v>379.8</v>
      </c>
      <c r="C26" s="65">
        <v>484.8</v>
      </c>
      <c r="D26" s="65">
        <v>500.5</v>
      </c>
      <c r="E26" s="65">
        <v>285.60000000000002</v>
      </c>
      <c r="F26" s="65">
        <v>329.4</v>
      </c>
      <c r="G26" s="65">
        <v>413.5</v>
      </c>
      <c r="H26" s="65">
        <v>496.6</v>
      </c>
      <c r="I26" s="65">
        <v>433.6</v>
      </c>
      <c r="J26" s="65">
        <v>508.3</v>
      </c>
      <c r="K26" s="65">
        <v>493.6</v>
      </c>
      <c r="L26" s="65">
        <v>522.9</v>
      </c>
      <c r="M26" s="62">
        <v>567.29999999999995</v>
      </c>
    </row>
    <row r="27" spans="1:13" x14ac:dyDescent="0.2">
      <c r="A27" s="40">
        <v>2021</v>
      </c>
      <c r="B27" s="63">
        <v>399.4</v>
      </c>
      <c r="C27" s="63">
        <v>521.4</v>
      </c>
      <c r="D27" s="63">
        <v>630.1</v>
      </c>
      <c r="E27" s="63">
        <v>562.20000000000005</v>
      </c>
      <c r="F27" s="63">
        <v>563.4</v>
      </c>
      <c r="G27" s="63">
        <v>589.70000000000005</v>
      </c>
      <c r="H27" s="63">
        <v>562</v>
      </c>
      <c r="I27" s="63">
        <v>574.9</v>
      </c>
      <c r="J27" s="63">
        <v>671.2</v>
      </c>
      <c r="K27" s="63">
        <v>646.9</v>
      </c>
      <c r="L27" s="63">
        <v>701.5</v>
      </c>
      <c r="M27" s="64">
        <v>754</v>
      </c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2"/>
  <sheetViews>
    <sheetView workbookViewId="0">
      <selection activeCell="AK18" sqref="AK18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36" width="6" style="3" customWidth="1"/>
    <col min="37" max="37" width="6.42578125" style="3" customWidth="1"/>
    <col min="38" max="16384" width="9.140625" style="3"/>
  </cols>
  <sheetData>
    <row r="2" spans="1:13" x14ac:dyDescent="0.2">
      <c r="A2" s="187" t="s">
        <v>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7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1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1" x14ac:dyDescent="0.2">
      <c r="A23" s="194"/>
      <c r="B23" s="183">
        <v>2019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>
        <v>2020</v>
      </c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>
        <v>2021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96"/>
    </row>
    <row r="24" spans="1:41" x14ac:dyDescent="0.2">
      <c r="A24" s="195"/>
      <c r="B24" s="32" t="s">
        <v>13</v>
      </c>
      <c r="C24" s="32" t="s">
        <v>14</v>
      </c>
      <c r="D24" s="32" t="s">
        <v>15</v>
      </c>
      <c r="E24" s="32" t="s">
        <v>16</v>
      </c>
      <c r="F24" s="32" t="s">
        <v>17</v>
      </c>
      <c r="G24" s="32" t="s">
        <v>18</v>
      </c>
      <c r="H24" s="32" t="s">
        <v>19</v>
      </c>
      <c r="I24" s="32" t="s">
        <v>20</v>
      </c>
      <c r="J24" s="32" t="s">
        <v>21</v>
      </c>
      <c r="K24" s="32" t="s">
        <v>22</v>
      </c>
      <c r="L24" s="32" t="s">
        <v>23</v>
      </c>
      <c r="M24" s="32" t="s">
        <v>24</v>
      </c>
      <c r="N24" s="32" t="s">
        <v>13</v>
      </c>
      <c r="O24" s="32" t="s">
        <v>14</v>
      </c>
      <c r="P24" s="32" t="s">
        <v>15</v>
      </c>
      <c r="Q24" s="32" t="s">
        <v>16</v>
      </c>
      <c r="R24" s="32" t="s">
        <v>17</v>
      </c>
      <c r="S24" s="32" t="s">
        <v>25</v>
      </c>
      <c r="T24" s="32" t="s">
        <v>19</v>
      </c>
      <c r="U24" s="32" t="s">
        <v>26</v>
      </c>
      <c r="V24" s="32" t="s">
        <v>21</v>
      </c>
      <c r="W24" s="32" t="s">
        <v>27</v>
      </c>
      <c r="X24" s="32" t="s">
        <v>23</v>
      </c>
      <c r="Y24" s="32" t="s">
        <v>24</v>
      </c>
      <c r="Z24" s="83" t="s">
        <v>13</v>
      </c>
      <c r="AA24" s="83" t="s">
        <v>14</v>
      </c>
      <c r="AB24" s="84" t="s">
        <v>15</v>
      </c>
      <c r="AC24" s="83" t="s">
        <v>16</v>
      </c>
      <c r="AD24" s="83" t="s">
        <v>17</v>
      </c>
      <c r="AE24" s="83" t="s">
        <v>25</v>
      </c>
      <c r="AF24" s="83" t="s">
        <v>19</v>
      </c>
      <c r="AG24" s="83" t="s">
        <v>26</v>
      </c>
      <c r="AH24" s="101" t="s">
        <v>21</v>
      </c>
      <c r="AI24" s="51" t="s">
        <v>27</v>
      </c>
      <c r="AJ24" s="107" t="s">
        <v>23</v>
      </c>
      <c r="AK24" s="46" t="s">
        <v>24</v>
      </c>
    </row>
    <row r="25" spans="1:41" ht="27.75" customHeight="1" x14ac:dyDescent="0.2">
      <c r="A25" s="28" t="s">
        <v>72</v>
      </c>
      <c r="B25" s="54">
        <v>71.738158213015794</v>
      </c>
      <c r="C25" s="20">
        <v>123.27227087030982</v>
      </c>
      <c r="D25" s="20">
        <v>116.24365644398502</v>
      </c>
      <c r="E25" s="20">
        <v>96.580225893758936</v>
      </c>
      <c r="F25" s="20">
        <v>93.408604141465986</v>
      </c>
      <c r="G25" s="20">
        <v>92.490171422142794</v>
      </c>
      <c r="H25" s="20">
        <v>112.04816621722891</v>
      </c>
      <c r="I25" s="20">
        <v>93.020207912369386</v>
      </c>
      <c r="J25" s="20">
        <v>108.06099409813686</v>
      </c>
      <c r="K25" s="20">
        <v>104.71321760096355</v>
      </c>
      <c r="L25" s="20">
        <v>95.961007942682357</v>
      </c>
      <c r="M25" s="16">
        <v>107.05149255623367</v>
      </c>
      <c r="N25" s="20">
        <v>70.382208343865415</v>
      </c>
      <c r="O25" s="20">
        <v>127.63158194440297</v>
      </c>
      <c r="P25" s="20">
        <v>103.24095247310265</v>
      </c>
      <c r="Q25" s="20">
        <v>57.064146061655876</v>
      </c>
      <c r="R25" s="20">
        <v>115.32045479750228</v>
      </c>
      <c r="S25" s="20">
        <v>125.55839051166471</v>
      </c>
      <c r="T25" s="20">
        <v>120.09478099934977</v>
      </c>
      <c r="U25" s="20">
        <v>87.312042792465732</v>
      </c>
      <c r="V25" s="20">
        <v>117.22959939467061</v>
      </c>
      <c r="W25" s="20">
        <v>97.096953437578748</v>
      </c>
      <c r="X25" s="20">
        <v>105.93754706899317</v>
      </c>
      <c r="Y25" s="16">
        <v>108.49423751970338</v>
      </c>
      <c r="Z25" s="92">
        <v>70.407885353173725</v>
      </c>
      <c r="AA25" s="23">
        <v>130.56565598353049</v>
      </c>
      <c r="AB25" s="23">
        <v>120.83026196604835</v>
      </c>
      <c r="AC25" s="71">
        <v>89.231037795592442</v>
      </c>
      <c r="AD25" s="23">
        <v>100.2114807539604</v>
      </c>
      <c r="AE25" s="81">
        <v>104.66057637383682</v>
      </c>
      <c r="AF25" s="81">
        <v>95.30942428771003</v>
      </c>
      <c r="AG25" s="23">
        <v>102.29866266763055</v>
      </c>
      <c r="AH25" s="23">
        <v>116.75028041134044</v>
      </c>
      <c r="AI25" s="23">
        <v>96.373528322817748</v>
      </c>
      <c r="AJ25" s="23">
        <v>108.43907965493625</v>
      </c>
      <c r="AK25" s="174">
        <v>107.49454762149138</v>
      </c>
    </row>
    <row r="26" spans="1:41" ht="42" customHeight="1" x14ac:dyDescent="0.2">
      <c r="A26" s="29" t="s">
        <v>73</v>
      </c>
      <c r="B26" s="27">
        <f>IF(374257.25828="","-",372548.49281/374257.25828*100)</f>
        <v>99.543424894989869</v>
      </c>
      <c r="C26" s="15">
        <f>IF(427600.8878="","-",459248.98718/427600.8878*100)</f>
        <v>107.40131750961253</v>
      </c>
      <c r="D26" s="15">
        <f>IF(524151.65323="","-",533847.81488/524151.65323*100)</f>
        <v>101.84987714724333</v>
      </c>
      <c r="E26" s="15">
        <f>IF(444601.83252="","-",515591.42554/444601.83252*100)</f>
        <v>115.96700414337735</v>
      </c>
      <c r="F26" s="15">
        <f>IF(505594.98812="","-",481606.75367/505594.98812*100)</f>
        <v>95.255444572503052</v>
      </c>
      <c r="G26" s="15">
        <f>IF(458682.35918="","-",445438.91205/458682.35918*100)</f>
        <v>97.112719321999705</v>
      </c>
      <c r="H26" s="15">
        <f>IF(488041.26888="","-",499106.13257/488041.26888*100)</f>
        <v>102.26719836939048</v>
      </c>
      <c r="I26" s="15">
        <f>IF(480650.77296="","-",464269.56222/480650.77296*100)</f>
        <v>96.591868428897087</v>
      </c>
      <c r="J26" s="15">
        <f>IF(473973.76404="","-",501694.30423/473973.76404*100)</f>
        <v>105.84853894732886</v>
      </c>
      <c r="K26" s="15">
        <f>IF(540614.13985="","-",525340.24848/540614.13985*100)</f>
        <v>97.174714783775727</v>
      </c>
      <c r="L26" s="15">
        <f>IF(522571.0681="","-",504121.79757/522571.0681*100)</f>
        <v>96.469519333115954</v>
      </c>
      <c r="M26" s="17">
        <f>IF(519317.05816="","-",539669.9086/519317.05816*100)</f>
        <v>103.91915692353963</v>
      </c>
      <c r="N26" s="15">
        <f>IF(372548.49281="","-",379831.59944/372548.49281*100)</f>
        <v>101.95494191241148</v>
      </c>
      <c r="O26" s="15">
        <f>IF(459248.98718="","-",484785.07909/459248.98718*100)</f>
        <v>105.56040244460927</v>
      </c>
      <c r="P26" s="15">
        <f>IF(533847.81488="","-",500496.7331/533847.81488*100)</f>
        <v>93.752698643620619</v>
      </c>
      <c r="Q26" s="15">
        <f>IF(515591.42554="","-",285604.18681/515591.42554*100)</f>
        <v>55.393509795256001</v>
      </c>
      <c r="R26" s="15">
        <f>IF(481606.75367="","-",329360.04715/481606.75367*100)</f>
        <v>68.38775508029515</v>
      </c>
      <c r="S26" s="15">
        <f>IF(445438.91205="","-",413539.17419/445438.91205*100)</f>
        <v>92.838583025180498</v>
      </c>
      <c r="T26" s="15">
        <f>IF(499106.13257="","-",496638.96559/499106.13257*100)</f>
        <v>99.505682896081424</v>
      </c>
      <c r="U26" s="15">
        <f>IF(464269.56222="","-",433625.62616/464269.56222*100)</f>
        <v>93.399537993946922</v>
      </c>
      <c r="V26" s="15">
        <f>IF(501694.30423="","-",508337.58442/501694.30423*100)</f>
        <v>101.32416894790069</v>
      </c>
      <c r="W26" s="15">
        <f>IF(525340.24848="","-",493580.30765/525340.24848*100)</f>
        <v>93.954405564414117</v>
      </c>
      <c r="X26" s="15">
        <f>IF(504121.79757="","-",522886.87074/504121.79757*100)</f>
        <v>103.7223292586142</v>
      </c>
      <c r="Y26" s="17">
        <f>IF(539669.9086="","-",567302.1235/539669.9086*100)</f>
        <v>105.12020671519058</v>
      </c>
      <c r="Z26" s="88">
        <f>IF(379831.59944="","-",399368.86107/379831.59944*100)</f>
        <v>105.14366410240868</v>
      </c>
      <c r="AA26" s="72">
        <f>IF(484785.07909="","-",521438.57325/484785.07909*100)</f>
        <v>107.56077192573727</v>
      </c>
      <c r="AB26" s="72">
        <f>IF(500496.7331="","-",630055.59405/500496.7331*100)</f>
        <v>125.88605526903886</v>
      </c>
      <c r="AC26" s="72">
        <f>IF(285604.18681="","-",562205.14526/285604.18681*100)</f>
        <v>196.84765533007069</v>
      </c>
      <c r="AD26" s="72">
        <f>IF(329360.04715="","-",563394.10094/329360.04715*100)</f>
        <v>171.05720800538208</v>
      </c>
      <c r="AE26" s="72">
        <f>IF(413539.17419="","-",589651.5133/413539.17419*100)</f>
        <v>142.58661575531545</v>
      </c>
      <c r="AF26" s="72">
        <f>IF(496638.96559="","-",561993.46263/496638.96559*100)</f>
        <v>113.15935751484174</v>
      </c>
      <c r="AG26" s="15">
        <f>IF(433625.62616="","-",574911.79655/433625.62616*100)</f>
        <v>132.58252323350189</v>
      </c>
      <c r="AH26" s="15">
        <f>IF(508337.58442="","-",671211.13459/508337.58442*100)</f>
        <v>132.04043044659673</v>
      </c>
      <c r="AI26" s="15">
        <f>IF(493580.30765="","-",646869.8529/493580.30765*100)</f>
        <v>131.05665742213895</v>
      </c>
      <c r="AJ26" s="15">
        <f>IF(522886.87074="","-",701459.71505/522886.87074*100)</f>
        <v>134.15133450516365</v>
      </c>
      <c r="AK26" s="17">
        <f>IF(567302.1235="","-",754030.94744/567302.1235*100)</f>
        <v>132.91523444121219</v>
      </c>
    </row>
    <row r="27" spans="1:4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</row>
    <row r="28" spans="1:4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Z28" s="89"/>
      <c r="AA28" s="89"/>
      <c r="AB28" s="90"/>
      <c r="AC28" s="91"/>
      <c r="AD28" s="89"/>
      <c r="AE28" s="82"/>
      <c r="AF28" s="82"/>
      <c r="AG28" s="82"/>
      <c r="AH28" s="82"/>
    </row>
    <row r="31" spans="1:41" ht="15.75" x14ac:dyDescent="0.25">
      <c r="S31" s="129"/>
      <c r="T31" s="130"/>
      <c r="U31" s="131"/>
      <c r="V31" s="130"/>
      <c r="W31" s="129"/>
      <c r="X31" s="130"/>
      <c r="Y31" s="131"/>
      <c r="Z31" s="130"/>
      <c r="AA31" s="131"/>
      <c r="AB31" s="130"/>
      <c r="AC31" s="128"/>
      <c r="AD31" s="130"/>
      <c r="AE31" s="128"/>
      <c r="AF31" s="130"/>
      <c r="AG31" s="128"/>
      <c r="AH31" s="130"/>
      <c r="AI31" s="132"/>
      <c r="AJ31" s="130"/>
      <c r="AK31" s="120"/>
      <c r="AL31" s="130"/>
      <c r="AM31" s="128"/>
      <c r="AN31" s="130"/>
      <c r="AO31" s="127"/>
    </row>
    <row r="32" spans="1:41" ht="15.75" x14ac:dyDescent="0.2">
      <c r="X32" s="128"/>
    </row>
  </sheetData>
  <mergeCells count="5">
    <mergeCell ref="A2:L2"/>
    <mergeCell ref="A23:A24"/>
    <mergeCell ref="B23:M23"/>
    <mergeCell ref="N23:Y23"/>
    <mergeCell ref="Z23:AK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  <vt:lpstr>Figura 15</vt:lpstr>
      <vt:lpstr>Figura 16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Mariana Eni</cp:lastModifiedBy>
  <dcterms:created xsi:type="dcterms:W3CDTF">2017-02-13T11:50:10Z</dcterms:created>
  <dcterms:modified xsi:type="dcterms:W3CDTF">2022-02-17T06:19:25Z</dcterms:modified>
</cp:coreProperties>
</file>