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868CF60-24AF-4A80-A2F7-9ABC8B79A6D0}" xr6:coauthVersionLast="37" xr6:coauthVersionMax="37" xr10:uidLastSave="{00000000-0000-0000-0000-000000000000}"/>
  <bookViews>
    <workbookView xWindow="0" yWindow="0" windowWidth="25200" windowHeight="11175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79021" iterate="1"/>
</workbook>
</file>

<file path=xl/calcChain.xml><?xml version="1.0" encoding="utf-8"?>
<calcChain xmlns="http://schemas.openxmlformats.org/spreadsheetml/2006/main">
  <c r="G37" i="2" l="1"/>
  <c r="F37" i="2"/>
  <c r="E37" i="2"/>
  <c r="D37" i="2"/>
  <c r="C37" i="2"/>
  <c r="E39" i="8" l="1"/>
  <c r="D39" i="8"/>
  <c r="E38" i="8"/>
  <c r="D38" i="8"/>
  <c r="E37" i="8"/>
  <c r="D37" i="8"/>
  <c r="E36" i="8"/>
  <c r="D36" i="8"/>
  <c r="E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B129" i="3" l="1"/>
  <c r="D128" i="3"/>
  <c r="D126" i="3"/>
  <c r="D125" i="3"/>
  <c r="D119" i="3"/>
  <c r="D117" i="3"/>
  <c r="D116" i="3"/>
  <c r="D114" i="3"/>
  <c r="D112" i="3"/>
  <c r="D111" i="3"/>
  <c r="D110" i="3"/>
  <c r="D103" i="3"/>
  <c r="D102" i="3"/>
  <c r="D101" i="3"/>
  <c r="D97" i="3"/>
  <c r="D92" i="3"/>
  <c r="D90" i="3"/>
  <c r="D89" i="3"/>
  <c r="D88" i="3"/>
  <c r="D86" i="3"/>
  <c r="D85" i="3"/>
  <c r="D82" i="3"/>
  <c r="D80" i="3"/>
  <c r="D79" i="3"/>
  <c r="D77" i="3"/>
  <c r="D76" i="3"/>
  <c r="D75" i="3"/>
  <c r="D74" i="3"/>
  <c r="B74" i="3"/>
  <c r="D73" i="3"/>
  <c r="D72" i="3"/>
  <c r="D71" i="3"/>
  <c r="D70" i="3"/>
  <c r="D69" i="3"/>
  <c r="D68" i="3"/>
  <c r="D67" i="3"/>
  <c r="D65" i="3"/>
  <c r="D64" i="3"/>
  <c r="D63" i="3"/>
  <c r="D62" i="3"/>
  <c r="D61" i="3"/>
  <c r="D60" i="3"/>
  <c r="D58" i="3"/>
  <c r="D56" i="3"/>
  <c r="D55" i="3"/>
  <c r="D54" i="3"/>
  <c r="D53" i="3"/>
  <c r="D52" i="3"/>
  <c r="D51" i="3"/>
  <c r="C51" i="3"/>
  <c r="D50" i="3"/>
  <c r="D48" i="3"/>
  <c r="B48" i="3"/>
  <c r="D47" i="3"/>
  <c r="C47" i="3"/>
  <c r="B47" i="3"/>
  <c r="C35" i="3"/>
  <c r="B35" i="3"/>
  <c r="C34" i="3"/>
  <c r="B34" i="3"/>
  <c r="C33" i="3"/>
  <c r="B33" i="3"/>
  <c r="C32" i="3"/>
  <c r="B32" i="3"/>
  <c r="C31" i="3"/>
  <c r="B31" i="3"/>
  <c r="D30" i="3"/>
  <c r="C30" i="3"/>
  <c r="B30" i="3"/>
  <c r="C29" i="3"/>
  <c r="B29" i="3"/>
  <c r="D28" i="3"/>
  <c r="C28" i="3"/>
  <c r="B28" i="3"/>
  <c r="D27" i="3"/>
  <c r="C27" i="3"/>
  <c r="B27" i="3"/>
  <c r="D26" i="3"/>
  <c r="C26" i="3"/>
  <c r="B26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C14" i="3"/>
  <c r="B14" i="3"/>
  <c r="D13" i="3"/>
  <c r="C13" i="3"/>
  <c r="B13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G48" i="2" l="1"/>
  <c r="F48" i="2"/>
  <c r="E48" i="2"/>
  <c r="D48" i="2"/>
  <c r="C48" i="2"/>
  <c r="G111" i="2"/>
  <c r="F111" i="2"/>
  <c r="E111" i="2"/>
  <c r="D111" i="2"/>
  <c r="G110" i="2"/>
  <c r="F110" i="2"/>
  <c r="E110" i="2"/>
  <c r="D110" i="2"/>
  <c r="C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C104" i="2"/>
  <c r="G103" i="2"/>
  <c r="F103" i="2"/>
  <c r="E103" i="2"/>
  <c r="D103" i="2"/>
  <c r="G102" i="2"/>
  <c r="F102" i="2"/>
  <c r="E102" i="2"/>
  <c r="D102" i="2"/>
  <c r="C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C99" i="2"/>
  <c r="G98" i="2"/>
  <c r="F98" i="2"/>
  <c r="E98" i="2"/>
  <c r="D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G70" i="2"/>
  <c r="F70" i="2"/>
  <c r="E70" i="2"/>
  <c r="D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G60" i="2"/>
  <c r="F60" i="2"/>
  <c r="E60" i="2"/>
  <c r="D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G51" i="2"/>
  <c r="F51" i="2"/>
  <c r="E51" i="2"/>
  <c r="D51" i="2"/>
  <c r="G50" i="2"/>
  <c r="F50" i="2"/>
  <c r="E50" i="2"/>
  <c r="D50" i="2"/>
  <c r="C50" i="2"/>
  <c r="G49" i="2"/>
  <c r="F49" i="2"/>
  <c r="E49" i="2"/>
  <c r="D49" i="2"/>
  <c r="C49" i="2"/>
  <c r="G36" i="2"/>
  <c r="F36" i="2"/>
  <c r="E36" i="2"/>
  <c r="D36" i="2"/>
  <c r="C36" i="2"/>
  <c r="G35" i="2"/>
  <c r="F35" i="2"/>
  <c r="E35" i="2"/>
  <c r="D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E81" i="4" l="1"/>
  <c r="E79" i="4"/>
  <c r="E78" i="4"/>
  <c r="E77" i="4"/>
  <c r="E76" i="4"/>
  <c r="E75" i="4"/>
  <c r="E74" i="4"/>
  <c r="E73" i="4"/>
  <c r="E72" i="4"/>
  <c r="E71" i="4"/>
  <c r="E69" i="4"/>
  <c r="E68" i="4"/>
  <c r="E67" i="4"/>
  <c r="E66" i="4"/>
  <c r="E65" i="4"/>
  <c r="E64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6" i="4"/>
  <c r="E45" i="4"/>
  <c r="E44" i="4"/>
  <c r="E41" i="4"/>
  <c r="E40" i="4"/>
  <c r="E38" i="4"/>
  <c r="E31" i="4"/>
  <c r="E30" i="4"/>
  <c r="E29" i="4"/>
  <c r="E28" i="4"/>
  <c r="E27" i="4"/>
  <c r="E23" i="4"/>
  <c r="E21" i="4"/>
  <c r="E20" i="4"/>
  <c r="E19" i="4"/>
  <c r="E18" i="4"/>
  <c r="E16" i="4"/>
  <c r="E12" i="4"/>
  <c r="E11" i="4"/>
  <c r="E9" i="4"/>
  <c r="E6" i="4"/>
  <c r="H82" i="6" l="1"/>
  <c r="G82" i="6"/>
  <c r="F82" i="6"/>
  <c r="E82" i="6"/>
  <c r="H81" i="6"/>
  <c r="G81" i="6"/>
  <c r="F81" i="6"/>
  <c r="E81" i="6"/>
  <c r="H80" i="6"/>
  <c r="G80" i="6"/>
  <c r="F80" i="6"/>
  <c r="E80" i="6"/>
  <c r="D80" i="6"/>
  <c r="H79" i="6"/>
  <c r="G79" i="6"/>
  <c r="F79" i="6"/>
  <c r="E79" i="6"/>
  <c r="H78" i="6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H37" i="6"/>
  <c r="G37" i="6"/>
  <c r="F37" i="6"/>
  <c r="E37" i="6"/>
  <c r="D37" i="6"/>
  <c r="H36" i="6"/>
  <c r="G36" i="6"/>
  <c r="F36" i="6"/>
  <c r="E36" i="6"/>
  <c r="H35" i="6"/>
  <c r="G35" i="6"/>
  <c r="F35" i="6"/>
  <c r="E35" i="6"/>
  <c r="D35" i="6"/>
  <c r="H34" i="6"/>
  <c r="G34" i="6"/>
  <c r="F34" i="6"/>
  <c r="E34" i="6"/>
  <c r="H33" i="6"/>
  <c r="G33" i="6"/>
  <c r="F33" i="6"/>
  <c r="E33" i="6"/>
  <c r="H32" i="6"/>
  <c r="G32" i="6"/>
  <c r="F32" i="6"/>
  <c r="E32" i="6"/>
  <c r="H31" i="6"/>
  <c r="G31" i="6"/>
  <c r="F31" i="6"/>
  <c r="E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H24" i="6"/>
  <c r="G24" i="6"/>
  <c r="F24" i="6"/>
  <c r="E24" i="6"/>
  <c r="H23" i="6"/>
  <c r="G23" i="6"/>
  <c r="F23" i="6"/>
  <c r="E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H9" i="6"/>
  <c r="G9" i="6"/>
  <c r="F9" i="6"/>
  <c r="E9" i="6"/>
  <c r="D9" i="6"/>
  <c r="H8" i="6"/>
  <c r="G8" i="6"/>
  <c r="F8" i="6"/>
  <c r="E8" i="6"/>
  <c r="D8" i="6"/>
  <c r="H7" i="6"/>
  <c r="G7" i="6"/>
  <c r="D7" i="6"/>
  <c r="H81" i="5" l="1"/>
  <c r="G81" i="5"/>
  <c r="F81" i="5"/>
  <c r="E81" i="5"/>
  <c r="D81" i="5"/>
  <c r="H80" i="5"/>
  <c r="G80" i="5"/>
  <c r="F80" i="5"/>
  <c r="E80" i="5"/>
  <c r="D80" i="5"/>
  <c r="H79" i="5"/>
  <c r="G79" i="5"/>
  <c r="F79" i="5"/>
  <c r="E79" i="5"/>
  <c r="D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D69" i="5"/>
  <c r="H68" i="5"/>
  <c r="G68" i="5"/>
  <c r="F68" i="5"/>
  <c r="E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D59" i="5"/>
  <c r="H58" i="5"/>
  <c r="G58" i="5"/>
  <c r="F58" i="5"/>
  <c r="E58" i="5"/>
  <c r="H57" i="5"/>
  <c r="G57" i="5"/>
  <c r="F57" i="5"/>
  <c r="E57" i="5"/>
  <c r="H56" i="5"/>
  <c r="G56" i="5"/>
  <c r="F56" i="5"/>
  <c r="E56" i="5"/>
  <c r="H55" i="5"/>
  <c r="G55" i="5"/>
  <c r="F55" i="5"/>
  <c r="E55" i="5"/>
  <c r="D55" i="5"/>
  <c r="H54" i="5"/>
  <c r="G54" i="5"/>
  <c r="F54" i="5"/>
  <c r="E54" i="5"/>
  <c r="H53" i="5"/>
  <c r="G53" i="5"/>
  <c r="F53" i="5"/>
  <c r="E53" i="5"/>
  <c r="D53" i="5"/>
  <c r="H52" i="5"/>
  <c r="G52" i="5"/>
  <c r="F52" i="5"/>
  <c r="E52" i="5"/>
  <c r="D52" i="5"/>
  <c r="H51" i="5"/>
  <c r="G51" i="5"/>
  <c r="F51" i="5"/>
  <c r="E51" i="5"/>
  <c r="H50" i="5"/>
  <c r="G50" i="5"/>
  <c r="F50" i="5"/>
  <c r="E50" i="5"/>
  <c r="D50" i="5"/>
  <c r="H49" i="5"/>
  <c r="G49" i="5"/>
  <c r="F49" i="5"/>
  <c r="E49" i="5"/>
  <c r="D49" i="5"/>
  <c r="H48" i="5"/>
  <c r="G48" i="5"/>
  <c r="F48" i="5"/>
  <c r="E48" i="5"/>
  <c r="D48" i="5"/>
  <c r="H47" i="5"/>
  <c r="G47" i="5"/>
  <c r="F47" i="5"/>
  <c r="E47" i="5"/>
  <c r="D47" i="5"/>
  <c r="H46" i="5"/>
  <c r="G46" i="5"/>
  <c r="F46" i="5"/>
  <c r="E46" i="5"/>
  <c r="D46" i="5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H37" i="5"/>
  <c r="G37" i="5"/>
  <c r="F37" i="5"/>
  <c r="E37" i="5"/>
  <c r="D37" i="5"/>
  <c r="H36" i="5"/>
  <c r="G36" i="5"/>
  <c r="F36" i="5"/>
  <c r="E36" i="5"/>
  <c r="H35" i="5"/>
  <c r="G35" i="5"/>
  <c r="F35" i="5"/>
  <c r="E35" i="5"/>
  <c r="D35" i="5"/>
  <c r="H34" i="5"/>
  <c r="G34" i="5"/>
  <c r="F34" i="5"/>
  <c r="E34" i="5"/>
  <c r="H33" i="5"/>
  <c r="G33" i="5"/>
  <c r="F33" i="5"/>
  <c r="E33" i="5"/>
  <c r="D33" i="5"/>
  <c r="H32" i="5"/>
  <c r="G32" i="5"/>
  <c r="F32" i="5"/>
  <c r="E32" i="5"/>
  <c r="H31" i="5"/>
  <c r="G31" i="5"/>
  <c r="F31" i="5"/>
  <c r="E31" i="5"/>
  <c r="D31" i="5"/>
  <c r="H30" i="5"/>
  <c r="G30" i="5"/>
  <c r="F30" i="5"/>
  <c r="E30" i="5"/>
  <c r="D30" i="5"/>
  <c r="H29" i="5"/>
  <c r="G29" i="5"/>
  <c r="F29" i="5"/>
  <c r="E29" i="5"/>
  <c r="D29" i="5"/>
  <c r="H28" i="5"/>
  <c r="G28" i="5"/>
  <c r="F28" i="5"/>
  <c r="E28" i="5"/>
  <c r="D28" i="5"/>
  <c r="H27" i="5"/>
  <c r="G27" i="5"/>
  <c r="F27" i="5"/>
  <c r="E27" i="5"/>
  <c r="D27" i="5"/>
  <c r="H26" i="5"/>
  <c r="G26" i="5"/>
  <c r="F26" i="5"/>
  <c r="E26" i="5"/>
  <c r="H25" i="5"/>
  <c r="G25" i="5"/>
  <c r="F25" i="5"/>
  <c r="E25" i="5"/>
  <c r="H24" i="5"/>
  <c r="G24" i="5"/>
  <c r="F24" i="5"/>
  <c r="E24" i="5"/>
  <c r="H23" i="5"/>
  <c r="G23" i="5"/>
  <c r="F23" i="5"/>
  <c r="E23" i="5"/>
  <c r="D23" i="5"/>
  <c r="H22" i="5"/>
  <c r="G22" i="5"/>
  <c r="F22" i="5"/>
  <c r="E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H16" i="5"/>
  <c r="G16" i="5"/>
  <c r="F16" i="5"/>
  <c r="E16" i="5"/>
  <c r="D16" i="5"/>
  <c r="H15" i="5"/>
  <c r="G15" i="5"/>
  <c r="F15" i="5"/>
  <c r="E15" i="5"/>
  <c r="H14" i="5"/>
  <c r="G14" i="5"/>
  <c r="F14" i="5"/>
  <c r="E14" i="5"/>
  <c r="D14" i="5"/>
  <c r="H13" i="5"/>
  <c r="G13" i="5"/>
  <c r="F13" i="5"/>
  <c r="E13" i="5"/>
  <c r="H12" i="5"/>
  <c r="G12" i="5"/>
  <c r="F12" i="5"/>
  <c r="E12" i="5"/>
  <c r="H11" i="5"/>
  <c r="G11" i="5"/>
  <c r="F11" i="5"/>
  <c r="E11" i="5"/>
  <c r="D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H7" i="5"/>
  <c r="G7" i="5"/>
  <c r="E14" i="8" l="1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D46" i="3" l="1"/>
  <c r="D39" i="3"/>
  <c r="D38" i="3"/>
  <c r="D5" i="3"/>
  <c r="G47" i="2" l="1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G44" i="2"/>
  <c r="F44" i="2"/>
  <c r="E44" i="2"/>
  <c r="D44" i="2"/>
  <c r="G43" i="2"/>
  <c r="F43" i="2"/>
  <c r="E43" i="2"/>
  <c r="D43" i="2"/>
  <c r="C43" i="2"/>
  <c r="G42" i="2"/>
  <c r="F42" i="2"/>
  <c r="E42" i="2"/>
  <c r="D42" i="2"/>
  <c r="G41" i="2"/>
  <c r="F41" i="2"/>
  <c r="E41" i="2"/>
  <c r="D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G6" i="2"/>
  <c r="F6" i="2"/>
  <c r="C6" i="2"/>
  <c r="G104" i="1" l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G100" i="1"/>
  <c r="F100" i="1"/>
  <c r="E100" i="1"/>
  <c r="D100" i="1"/>
  <c r="C100" i="1"/>
  <c r="G99" i="1"/>
  <c r="F99" i="1"/>
  <c r="E99" i="1"/>
  <c r="D99" i="1"/>
  <c r="G98" i="1"/>
  <c r="F98" i="1"/>
  <c r="E98" i="1"/>
  <c r="D98" i="1"/>
  <c r="G97" i="1"/>
  <c r="F97" i="1"/>
  <c r="E97" i="1"/>
  <c r="D97" i="1"/>
  <c r="C97" i="1"/>
  <c r="G96" i="1"/>
  <c r="F96" i="1"/>
  <c r="E96" i="1"/>
  <c r="D96" i="1"/>
  <c r="G95" i="1"/>
  <c r="F95" i="1"/>
  <c r="E95" i="1"/>
  <c r="D95" i="1"/>
  <c r="G94" i="1"/>
  <c r="F94" i="1"/>
  <c r="E94" i="1"/>
  <c r="D94" i="1"/>
  <c r="C94" i="1"/>
  <c r="G93" i="1"/>
  <c r="F93" i="1"/>
  <c r="E93" i="1"/>
  <c r="D93" i="1"/>
  <c r="G92" i="1"/>
  <c r="F92" i="1"/>
  <c r="E92" i="1"/>
  <c r="D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G87" i="1"/>
  <c r="F87" i="1"/>
  <c r="E87" i="1"/>
  <c r="D87" i="1"/>
  <c r="C87" i="1"/>
  <c r="G86" i="1"/>
  <c r="F86" i="1"/>
  <c r="E86" i="1"/>
  <c r="D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G79" i="1"/>
  <c r="F79" i="1"/>
  <c r="E79" i="1"/>
  <c r="D79" i="1"/>
  <c r="C79" i="1"/>
  <c r="G78" i="1"/>
  <c r="F78" i="1"/>
  <c r="E78" i="1"/>
  <c r="D78" i="1"/>
  <c r="G77" i="1"/>
  <c r="F77" i="1"/>
  <c r="E77" i="1"/>
  <c r="D77" i="1"/>
  <c r="C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G69" i="1"/>
  <c r="F69" i="1"/>
  <c r="E69" i="1"/>
  <c r="D69" i="1"/>
  <c r="C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C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G29" i="1"/>
  <c r="F29" i="1"/>
  <c r="E29" i="1"/>
  <c r="D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G20" i="1"/>
  <c r="F20" i="1"/>
  <c r="E20" i="1"/>
  <c r="D20" i="1"/>
  <c r="C20" i="1"/>
  <c r="G19" i="1"/>
  <c r="F19" i="1"/>
  <c r="E19" i="1"/>
  <c r="D19" i="1"/>
  <c r="G18" i="1"/>
  <c r="F18" i="1"/>
  <c r="E18" i="1"/>
  <c r="D18" i="1"/>
  <c r="C18" i="1"/>
  <c r="G17" i="1"/>
  <c r="F17" i="1"/>
  <c r="E17" i="1"/>
  <c r="D17" i="1"/>
  <c r="G16" i="1"/>
  <c r="F16" i="1"/>
  <c r="E16" i="1"/>
  <c r="D16" i="1"/>
  <c r="C16" i="1"/>
  <c r="G15" i="1"/>
  <c r="F15" i="1"/>
  <c r="E15" i="1"/>
  <c r="D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G11" i="1"/>
  <c r="F11" i="1"/>
  <c r="E11" i="1"/>
  <c r="D11" i="1"/>
  <c r="C11" i="1"/>
  <c r="G10" i="1"/>
  <c r="F10" i="1"/>
  <c r="E10" i="1"/>
  <c r="D10" i="1"/>
  <c r="G9" i="1"/>
  <c r="F9" i="1"/>
  <c r="E9" i="1"/>
  <c r="D9" i="1"/>
  <c r="G8" i="1"/>
  <c r="F8" i="1"/>
  <c r="E8" i="1"/>
  <c r="D8" i="1"/>
  <c r="G6" i="1"/>
  <c r="F6" i="1"/>
</calcChain>
</file>

<file path=xl/sharedStrings.xml><?xml version="1.0" encoding="utf-8"?>
<sst xmlns="http://schemas.openxmlformats.org/spreadsheetml/2006/main" count="1152" uniqueCount="416">
  <si>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</si>
  <si>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</si>
  <si>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</si>
  <si>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</si>
  <si>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</si>
  <si>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</si>
  <si>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</si>
  <si>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</si>
  <si>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</si>
  <si>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</si>
  <si>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</si>
  <si>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</si>
  <si>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</si>
  <si>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</si>
  <si>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</si>
  <si>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</si>
  <si>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</si>
  <si>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</si>
  <si>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</si>
  <si>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</si>
  <si>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</si>
  <si>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</si>
  <si>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</si>
  <si>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</si>
  <si>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</si>
  <si>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</si>
  <si>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</si>
  <si>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</si>
  <si>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</si>
  <si>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</si>
  <si>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</si>
  <si>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</si>
  <si>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</si>
  <si>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</si>
  <si>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</si>
  <si>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</si>
  <si>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</si>
  <si>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</si>
  <si>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</si>
  <si>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</si>
  <si>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</si>
  <si>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</si>
  <si>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</si>
  <si>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</si>
  <si>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</si>
  <si>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</si>
  <si>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</si>
  <si>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</si>
  <si>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</si>
  <si>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</si>
  <si>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</si>
  <si>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</si>
  <si>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</si>
  <si>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</si>
  <si>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</si>
  <si>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</si>
  <si>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</si>
  <si>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</si>
  <si>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</si>
  <si>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</si>
  <si>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</si>
  <si>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</si>
  <si>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</si>
  <si>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</si>
  <si>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</si>
  <si>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</si>
  <si>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</si>
  <si>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</si>
  <si>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</si>
  <si>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</si>
  <si>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</si>
  <si>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</si>
  <si>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</si>
  <si>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</si>
  <si>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</si>
  <si>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</si>
  <si>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</si>
  <si>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</si>
  <si>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</si>
  <si>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</si>
  <si>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</si>
  <si>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</si>
  <si>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</si>
  <si>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</si>
  <si>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</si>
  <si>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</si>
  <si>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</si>
  <si>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</si>
  <si>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</si>
  <si>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</si>
  <si>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</si>
  <si>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</si>
  <si>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</si>
  <si>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</si>
  <si>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</si>
  <si>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</si>
  <si>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</si>
  <si>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</si>
  <si>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</si>
  <si>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</si>
  <si>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</si>
  <si>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</si>
  <si>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</si>
  <si>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</si>
  <si>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</si>
  <si>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mii dolari         SUA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</si>
  <si>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</si>
  <si>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</si>
  <si>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</si>
  <si>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</si>
  <si>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</si>
  <si>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</si>
  <si>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</si>
  <si>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</si>
  <si>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</si>
  <si>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</si>
  <si>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</si>
  <si>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</si>
  <si>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</si>
  <si>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</si>
  <si>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</si>
  <si>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</si>
  <si>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</si>
  <si>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</si>
  <si>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</si>
  <si>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</si>
  <si>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</si>
  <si>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</si>
  <si>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</si>
  <si>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</si>
  <si>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</si>
  <si>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</si>
  <si>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</si>
  <si>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</si>
  <si>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</si>
  <si>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</si>
  <si>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</si>
  <si>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</si>
  <si>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</si>
  <si>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</si>
  <si>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</si>
  <si>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</si>
  <si>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</si>
  <si>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</si>
  <si>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</si>
  <si>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</si>
  <si>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</si>
  <si>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</si>
  <si>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</si>
  <si>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</si>
  <si>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</si>
  <si>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</si>
  <si>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</si>
  <si>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</si>
  <si>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</si>
  <si>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</si>
  <si>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</si>
  <si>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</si>
  <si>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</si>
  <si>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</si>
  <si>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</si>
  <si>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</si>
  <si>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</si>
  <si>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</si>
  <si>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</si>
  <si>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</si>
  <si>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</si>
  <si>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</si>
  <si>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</si>
  <si>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</si>
  <si>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</si>
  <si>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</si>
  <si>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</si>
  <si>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</si>
  <si>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</si>
  <si>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</si>
  <si>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</si>
  <si>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</si>
  <si>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</si>
  <si>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</si>
  <si>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</si>
  <si>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</si>
  <si>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</si>
  <si>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</si>
  <si>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</si>
  <si>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</si>
  <si>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</si>
  <si>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</si>
  <si>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</si>
  <si>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</si>
  <si>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</si>
  <si>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</si>
  <si>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</si>
  <si>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</si>
  <si>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</si>
  <si>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</si>
  <si>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</si>
  <si>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</si>
  <si>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</si>
  <si>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</si>
  <si>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</si>
  <si>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</si>
  <si>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</si>
  <si>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BALANŢA COMERCIALĂ – total, mii dolari SUA</t>
  </si>
  <si>
    <t>de 2,5 ori</t>
  </si>
  <si>
    <t>Libia</t>
  </si>
  <si>
    <t>de 2,3 ori</t>
  </si>
  <si>
    <t>Afganistan</t>
  </si>
  <si>
    <t>Tanzania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</si>
  <si>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</si>
  <si>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</si>
  <si>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</si>
  <si>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</si>
  <si>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</si>
  <si>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</si>
  <si>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</si>
  <si>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</si>
  <si>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</si>
  <si>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</si>
  <si>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</si>
  <si>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</si>
  <si>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</si>
  <si>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</si>
  <si>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</si>
  <si>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</si>
  <si>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</si>
  <si>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</si>
  <si>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</si>
  <si>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</si>
  <si>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</si>
  <si>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</si>
  <si>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</si>
  <si>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</si>
  <si>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</si>
  <si>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</si>
  <si>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</si>
  <si>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</si>
  <si>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</si>
  <si>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</si>
  <si>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</si>
  <si>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</si>
  <si>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</si>
  <si>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</si>
  <si>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</si>
  <si>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</si>
  <si>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</si>
  <si>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</si>
  <si>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</si>
  <si>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</si>
  <si>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</si>
  <si>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</si>
  <si>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</si>
  <si>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</si>
  <si>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</si>
  <si>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</si>
  <si>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</si>
  <si>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</si>
  <si>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</si>
  <si>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</si>
  <si>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</si>
  <si>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</si>
  <si>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</si>
  <si>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</si>
  <si>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</si>
  <si>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</si>
  <si>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</si>
  <si>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</si>
  <si>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</si>
  <si>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</si>
  <si>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</si>
  <si>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</si>
  <si>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</si>
  <si>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</si>
  <si>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</si>
  <si>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</si>
  <si>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</si>
  <si>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</si>
  <si>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</si>
  <si>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</si>
  <si>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de 2,6 ori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</si>
  <si>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</si>
  <si>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</si>
  <si>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</si>
  <si>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</si>
  <si>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</si>
  <si>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</si>
  <si>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-</t>
  </si>
  <si>
    <t>de 2,7 ori</t>
  </si>
  <si>
    <t>de 2,4 ori</t>
  </si>
  <si>
    <t>35</t>
  </si>
  <si>
    <t>Energie electrica</t>
  </si>
  <si>
    <t>Energie electrică</t>
  </si>
  <si>
    <t>BALANŢA COMERCIALĂ - total, mii dolari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</si>
  <si>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</si>
  <si>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</si>
  <si>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t>de 4,2 ori</t>
  </si>
  <si>
    <t>de 3,0 ori</t>
  </si>
  <si>
    <t>Celelalte țări ale lumii</t>
  </si>
  <si>
    <t>Madagascar</t>
  </si>
  <si>
    <t>Malawi</t>
  </si>
  <si>
    <t>Coreea de Nord</t>
  </si>
  <si>
    <t>de 3,3 ori</t>
  </si>
  <si>
    <t>de 3,7 ori</t>
  </si>
  <si>
    <t>Republica Yemen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</si>
  <si>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</si>
  <si>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pe grupe de ţări</t>
    </r>
  </si>
  <si>
    <r>
      <t xml:space="preserve"> 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Faţă de perioada corespunzătoare din anul precedent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</si>
  <si>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pe grupe de ţări</t>
    </r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</si>
  <si>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</si>
  <si>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</si>
  <si>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</si>
  <si>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</si>
  <si>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</si>
  <si>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</si>
  <si>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3,2 ori</t>
  </si>
  <si>
    <t>de 2,8 ori</t>
  </si>
  <si>
    <t>Șri Lanka</t>
  </si>
  <si>
    <t>de 4,8 ori</t>
  </si>
  <si>
    <t>de 4,7 ori</t>
  </si>
  <si>
    <t>de 4,1 ori</t>
  </si>
  <si>
    <t>Mărfuri manufacturate, clasificate noiembrie ales după materia primă</t>
  </si>
  <si>
    <t>de 6,7 ori</t>
  </si>
  <si>
    <t>de 4,0 ori</t>
  </si>
  <si>
    <t>2021</t>
  </si>
  <si>
    <t>2022</t>
  </si>
  <si>
    <t>Cehia</t>
  </si>
  <si>
    <t>Kârgâzstan</t>
  </si>
  <si>
    <t>Panama</t>
  </si>
  <si>
    <t>Taiwan, provincie a Chinei</t>
  </si>
  <si>
    <t>de 5,1 ori</t>
  </si>
  <si>
    <t>de 2,9 ori</t>
  </si>
  <si>
    <t>Insulele Feroe</t>
  </si>
  <si>
    <t>Ţările Uniunii Europene - total</t>
  </si>
  <si>
    <t>97</t>
  </si>
  <si>
    <t>Aur nemonetar</t>
  </si>
  <si>
    <t>99</t>
  </si>
  <si>
    <t>Kuwait</t>
  </si>
  <si>
    <t>Paraguay</t>
  </si>
  <si>
    <t>Burkina Faso</t>
  </si>
  <si>
    <t>de 4,5 ori</t>
  </si>
  <si>
    <t>de 12,8 ori</t>
  </si>
  <si>
    <t>de 4,3 ori</t>
  </si>
  <si>
    <t>de 16,1 ori</t>
  </si>
  <si>
    <t>Liechtenstein</t>
  </si>
  <si>
    <t>Operațiuni neidentificate (ajutor umanitar)</t>
  </si>
  <si>
    <t>96</t>
  </si>
  <si>
    <t>Monede, care nu au curs legal (cu exceptia monedelor de aur)</t>
  </si>
  <si>
    <t>de 3,5 ori</t>
  </si>
  <si>
    <t>de 4,6 ori</t>
  </si>
  <si>
    <t>Ianuarie - aprilie 2022</t>
  </si>
  <si>
    <t>în % faţă de ianuarie - aprilie 2021 ¹</t>
  </si>
  <si>
    <t>ianuarie - aprilie</t>
  </si>
  <si>
    <t>Ianuarie - aprilie</t>
  </si>
  <si>
    <t>Ianuarie - aprilie 2022  în % faţă de ianuarie - aprilie 2021 ¹</t>
  </si>
  <si>
    <t>Ianuarie - aprilie 2022 în % faţă de            ianuarie - aprilie 2021 ¹</t>
  </si>
  <si>
    <t>Arabia Saudita</t>
  </si>
  <si>
    <t>Gambia</t>
  </si>
  <si>
    <t>Kosovo</t>
  </si>
  <si>
    <t>de 3,4 ori</t>
  </si>
  <si>
    <t>de 14,7 ori</t>
  </si>
  <si>
    <t>de 67,2 ori</t>
  </si>
  <si>
    <t>de 8,0 oiri</t>
  </si>
  <si>
    <t>de 106,8 ori</t>
  </si>
  <si>
    <t>de 17,0 ori</t>
  </si>
  <si>
    <t>de 3,8 ori</t>
  </si>
  <si>
    <t>de 5,9 ori</t>
  </si>
  <si>
    <t>de 10,0 ori</t>
  </si>
  <si>
    <t>de 178,3 ori</t>
  </si>
  <si>
    <t>de 50,1 ori</t>
  </si>
  <si>
    <t>de 80,0 ori</t>
  </si>
  <si>
    <t xml:space="preserve">Țări cu codul țării de origine a mărfii "EU" </t>
  </si>
  <si>
    <t>San Marino</t>
  </si>
  <si>
    <t>Mauritius</t>
  </si>
  <si>
    <t>de 18,5 ori</t>
  </si>
  <si>
    <t>de 59,1 ori</t>
  </si>
  <si>
    <t>de 19,3 ori</t>
  </si>
  <si>
    <t>de 140,3 ori</t>
  </si>
  <si>
    <t>de 6,2 ori</t>
  </si>
  <si>
    <t>de 15,4 ori</t>
  </si>
  <si>
    <t>de 1094,4 ori</t>
  </si>
  <si>
    <t>de 140,2 ori</t>
  </si>
  <si>
    <t>Samoa Americana</t>
  </si>
  <si>
    <t>Venezuela</t>
  </si>
  <si>
    <t>Guatemala</t>
  </si>
  <si>
    <t>de 5,4 ori</t>
  </si>
  <si>
    <t>de 13,8 ori</t>
  </si>
  <si>
    <t>de 11,8 ori</t>
  </si>
  <si>
    <t>de 15,7 ori</t>
  </si>
  <si>
    <t>de 76,6 ori</t>
  </si>
  <si>
    <t>de 72,9 ori</t>
  </si>
  <si>
    <t>de 32,7 ori</t>
  </si>
  <si>
    <t>de 29,9 ori</t>
  </si>
  <si>
    <t>de 19,4 ori</t>
  </si>
  <si>
    <t>de 8,4 ori</t>
  </si>
  <si>
    <t>de 11,0 ori</t>
  </si>
  <si>
    <t>de 20,7 ori</t>
  </si>
  <si>
    <t>de 3,6 ori</t>
  </si>
  <si>
    <t>de 23,9 ori</t>
  </si>
  <si>
    <t>de 77,7 ori</t>
  </si>
  <si>
    <r>
      <t xml:space="preserve">ianuarie - aprilie </t>
    </r>
    <r>
      <rPr>
        <b/>
        <vertAlign val="superscript"/>
        <sz val="10"/>
        <rFont val="Times New Roman"/>
        <family val="1"/>
        <charset val="204"/>
      </rPr>
      <t>1,2</t>
    </r>
  </si>
  <si>
    <r>
      <t>ianuarie - aprilie</t>
    </r>
    <r>
      <rPr>
        <b/>
        <vertAlign val="superscript"/>
        <sz val="10"/>
        <color indexed="8"/>
        <rFont val="Times New Roman"/>
        <family val="1"/>
        <charset val="204"/>
      </rPr>
      <t xml:space="preserve"> 1,2</t>
    </r>
  </si>
  <si>
    <t>de 30,0 ori</t>
  </si>
  <si>
    <t>de 3,1 ori</t>
  </si>
  <si>
    <t>de 43,1 ori</t>
  </si>
  <si>
    <t>de 5,5 ori</t>
  </si>
  <si>
    <t>de 5,2 ori</t>
  </si>
  <si>
    <t>de 5,6 ori</t>
  </si>
  <si>
    <t>de 5,7 ori</t>
  </si>
  <si>
    <t>de 138,4 ori</t>
  </si>
  <si>
    <t>de 85,0 ori</t>
  </si>
  <si>
    <t>de 135,0 ori</t>
  </si>
  <si>
    <t>de 121,4 ori</t>
  </si>
  <si>
    <t>de 121,7 ori</t>
  </si>
  <si>
    <t>Sri Lanka</t>
  </si>
  <si>
    <t xml:space="preserve">Regatul Țarilor de Jos (Netherlands) </t>
  </si>
  <si>
    <t>de 5,8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</si>
</sst>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\ _₽;[Red]\-#,##0.0\ _₽"/>
  </numFmts>
  <fonts count="38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b/>
      <vertAlign val="superscript"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47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4" fontId="0" fillId="0" borderId="0" xfId="0" applyNumberFormat="1"/>
    <xf numFmtId="0" fontId="0" fillId="0" borderId="0" xfId="0" applyFill="1"/>
    <xf numFmtId="4" fontId="23" fillId="0" borderId="0" xfId="0" applyNumberFormat="1" applyFont="1" applyFill="1" applyBorder="1" applyAlignment="1" applyProtection="1">
      <alignment horizontal="right" vertical="top" wrapText="1" indent="1"/>
    </xf>
    <xf numFmtId="4" fontId="11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center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1"/>
    </xf>
    <xf numFmtId="0" fontId="11" fillId="0" borderId="0" xfId="0" applyNumberFormat="1" applyFont="1" applyFill="1" applyAlignment="1" applyProtection="1">
      <alignment horizontal="left" vertical="top" wrapText="1" indent="1"/>
    </xf>
    <xf numFmtId="4" fontId="11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Alignment="1" applyProtection="1">
      <alignment horizontal="left" vertical="top" wrapText="1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27" fillId="0" borderId="5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29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9" fillId="0" borderId="0" xfId="0" applyNumberFormat="1" applyFont="1" applyBorder="1" applyAlignment="1">
      <alignment horizontal="right" vertical="top" indent="1"/>
    </xf>
    <xf numFmtId="0" fontId="27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Border="1" applyAlignment="1">
      <alignment horizontal="right" vertical="top" inden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22" fillId="0" borderId="0" xfId="0" applyNumberFormat="1" applyFont="1" applyFill="1" applyBorder="1" applyAlignment="1" applyProtection="1">
      <alignment horizontal="right" vertical="top" inden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8" fontId="34" fillId="0" borderId="0" xfId="0" applyNumberFormat="1" applyFont="1" applyFill="1" applyBorder="1" applyAlignment="1" applyProtection="1">
      <alignment horizontal="left" wrapText="1"/>
    </xf>
    <xf numFmtId="0" fontId="34" fillId="0" borderId="0" xfId="0" applyFont="1" applyAlignment="1">
      <alignment horizontal="left"/>
    </xf>
    <xf numFmtId="4" fontId="11" fillId="0" borderId="0" xfId="0" applyNumberFormat="1" applyFont="1" applyFill="1" applyAlignment="1" applyProtection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wrapText="1" indent="1"/>
    </xf>
    <xf numFmtId="4" fontId="11" fillId="0" borderId="0" xfId="0" applyNumberFormat="1" applyFont="1" applyBorder="1" applyAlignment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/>
    </xf>
    <xf numFmtId="4" fontId="27" fillId="0" borderId="0" xfId="0" applyNumberFormat="1" applyFont="1" applyFill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wrapText="1" indent="1"/>
    </xf>
    <xf numFmtId="4" fontId="27" fillId="0" borderId="5" xfId="0" applyNumberFormat="1" applyFont="1" applyFill="1" applyBorder="1" applyAlignment="1" applyProtection="1">
      <alignment horizontal="right" vertical="top" wrapText="1" indent="1"/>
    </xf>
    <xf numFmtId="0" fontId="34" fillId="0" borderId="0" xfId="0" applyFont="1" applyAlignment="1">
      <alignment horizontal="left"/>
    </xf>
    <xf numFmtId="164" fontId="9" fillId="0" borderId="0" xfId="0" applyNumberFormat="1" applyFont="1" applyFill="1" applyAlignment="1" applyProtection="1">
      <alignment horizontal="right" vertical="top" indent="1"/>
    </xf>
    <xf numFmtId="38" fontId="11" fillId="0" borderId="0" xfId="0" applyNumberFormat="1" applyFont="1" applyFill="1" applyBorder="1" applyAlignment="1" applyProtection="1">
      <alignment horizontal="center" vertical="top"/>
    </xf>
    <xf numFmtId="38" fontId="11" fillId="0" borderId="0" xfId="0" applyNumberFormat="1" applyFont="1" applyFill="1" applyBorder="1" applyAlignment="1" applyProtection="1">
      <alignment horizontal="left" vertical="top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right" vertical="top"/>
    </xf>
    <xf numFmtId="38" fontId="9" fillId="0" borderId="0" xfId="4" applyNumberFormat="1" applyFont="1" applyFill="1" applyAlignment="1" applyProtection="1">
      <alignment horizontal="left" vertical="top" wrapText="1" indent="1"/>
    </xf>
    <xf numFmtId="38" fontId="9" fillId="0" borderId="0" xfId="4" applyNumberFormat="1" applyFont="1" applyFill="1" applyBorder="1" applyAlignment="1" applyProtection="1">
      <alignment horizontal="left" vertical="top" wrapText="1" indent="1"/>
    </xf>
    <xf numFmtId="4" fontId="36" fillId="0" borderId="0" xfId="0" applyNumberFormat="1" applyFont="1" applyAlignment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wrapText="1" indent="1"/>
    </xf>
    <xf numFmtId="38" fontId="9" fillId="0" borderId="3" xfId="0" applyNumberFormat="1" applyFont="1" applyFill="1" applyBorder="1" applyAlignment="1" applyProtection="1">
      <alignment horizontal="center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0" fontId="37" fillId="0" borderId="0" xfId="0" applyFont="1" applyAlignment="1">
      <alignment horizontal="center" vertical="top"/>
    </xf>
    <xf numFmtId="4" fontId="27" fillId="0" borderId="0" xfId="0" applyNumberFormat="1" applyFont="1" applyFill="1" applyBorder="1" applyAlignment="1" applyProtection="1">
      <alignment horizontal="right" vertical="top"/>
    </xf>
    <xf numFmtId="0" fontId="34" fillId="0" borderId="0" xfId="0" applyFont="1" applyAlignment="1">
      <alignment horizontal="left"/>
    </xf>
    <xf numFmtId="4" fontId="36" fillId="0" borderId="0" xfId="0" applyNumberFormat="1" applyFont="1" applyAlignment="1">
      <alignment horizontal="right" vertical="top"/>
    </xf>
    <xf numFmtId="0" fontId="36" fillId="0" borderId="0" xfId="0" applyFont="1" applyAlignment="1">
      <alignment horizontal="left" vertical="top" wrapText="1" indent="1"/>
    </xf>
    <xf numFmtId="38" fontId="9" fillId="0" borderId="0" xfId="0" applyNumberFormat="1" applyFont="1" applyFill="1" applyBorder="1" applyAlignment="1" applyProtection="1">
      <alignment horizontal="left" vertical="top" wrapText="1" indent="1"/>
    </xf>
    <xf numFmtId="4" fontId="36" fillId="0" borderId="3" xfId="0" applyNumberFormat="1" applyFont="1" applyBorder="1" applyAlignment="1">
      <alignment horizontal="right" vertical="top"/>
    </xf>
    <xf numFmtId="38" fontId="9" fillId="0" borderId="3" xfId="0" applyNumberFormat="1" applyFont="1" applyFill="1" applyBorder="1" applyAlignment="1" applyProtection="1">
      <alignment horizontal="left" vertical="top" wrapText="1" indent="1"/>
    </xf>
    <xf numFmtId="38" fontId="9" fillId="0" borderId="0" xfId="0" applyNumberFormat="1" applyFont="1" applyFill="1" applyBorder="1" applyAlignment="1" applyProtection="1">
      <alignment horizontal="center" vertical="top"/>
    </xf>
    <xf numFmtId="4" fontId="32" fillId="0" borderId="0" xfId="0" applyNumberFormat="1" applyFont="1" applyAlignment="1">
      <alignment horizontal="right" vertical="top" indent="1"/>
    </xf>
    <xf numFmtId="4" fontId="24" fillId="0" borderId="0" xfId="0" applyNumberFormat="1" applyFont="1" applyAlignment="1">
      <alignment horizontal="right" vertical="top" indent="1"/>
    </xf>
    <xf numFmtId="0" fontId="28" fillId="0" borderId="5" xfId="0" applyNumberFormat="1" applyFont="1" applyFill="1" applyBorder="1" applyAlignment="1" applyProtection="1">
      <alignment horizontal="center" vertical="top"/>
    </xf>
    <xf numFmtId="4" fontId="0" fillId="0" borderId="0" xfId="0" applyNumberFormat="1" applyAlignment="1">
      <alignment horizontal="right" vertical="top"/>
    </xf>
    <xf numFmtId="2" fontId="27" fillId="0" borderId="5" xfId="0" applyNumberFormat="1" applyFont="1" applyFill="1" applyBorder="1" applyAlignment="1" applyProtection="1">
      <alignment horizontal="right" vertical="top" indent="1"/>
    </xf>
    <xf numFmtId="4" fontId="36" fillId="0" borderId="0" xfId="0" applyNumberFormat="1" applyFont="1" applyBorder="1" applyAlignment="1">
      <alignment horizontal="right" vertical="top"/>
    </xf>
    <xf numFmtId="2" fontId="11" fillId="0" borderId="0" xfId="0" applyNumberFormat="1" applyFont="1" applyFill="1" applyAlignment="1" applyProtection="1">
      <alignment horizontal="right" vertical="top" indent="1"/>
    </xf>
    <xf numFmtId="2" fontId="9" fillId="0" borderId="0" xfId="0" applyNumberFormat="1" applyFont="1" applyFill="1" applyAlignment="1" applyProtection="1">
      <alignment horizontal="right" vertical="top" indent="1"/>
    </xf>
    <xf numFmtId="2" fontId="9" fillId="0" borderId="3" xfId="0" applyNumberFormat="1" applyFont="1" applyFill="1" applyBorder="1" applyAlignment="1" applyProtection="1">
      <alignment horizontal="right" vertical="top" indent="1"/>
    </xf>
    <xf numFmtId="0" fontId="36" fillId="0" borderId="0" xfId="0" applyFont="1" applyAlignment="1">
      <alignment horizontal="left" vertical="top" indent="1"/>
    </xf>
    <xf numFmtId="0" fontId="31" fillId="0" borderId="0" xfId="0" applyFont="1" applyAlignment="1">
      <alignment horizontal="right" vertical="top" indent="1"/>
    </xf>
    <xf numFmtId="0" fontId="36" fillId="0" borderId="0" xfId="0" applyFont="1" applyAlignment="1">
      <alignment horizontal="right" vertical="top" indent="1"/>
    </xf>
    <xf numFmtId="0" fontId="27" fillId="0" borderId="0" xfId="0" applyFont="1" applyAlignment="1">
      <alignment horizontal="left" vertical="top" wrapText="1"/>
    </xf>
    <xf numFmtId="4" fontId="27" fillId="0" borderId="0" xfId="0" applyNumberFormat="1" applyFont="1" applyFill="1" applyBorder="1" applyAlignment="1" applyProtection="1">
      <alignment horizontal="right" vertical="top" indent="1"/>
    </xf>
    <xf numFmtId="4" fontId="27" fillId="0" borderId="0" xfId="0" applyNumberFormat="1" applyFont="1" applyBorder="1" applyAlignment="1">
      <alignment horizontal="right" vertical="top" inden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</xf>
    <xf numFmtId="4" fontId="36" fillId="0" borderId="0" xfId="0" applyNumberFormat="1" applyFont="1" applyBorder="1" applyAlignment="1">
      <alignment horizontal="right" vertical="top" indent="1"/>
    </xf>
    <xf numFmtId="4" fontId="25" fillId="0" borderId="0" xfId="0" applyNumberFormat="1" applyFont="1" applyBorder="1" applyAlignment="1">
      <alignment horizontal="right" vertical="top" inden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center"/>
    </xf>
    <xf numFmtId="38" fontId="9" fillId="0" borderId="0" xfId="0" applyNumberFormat="1" applyFont="1" applyFill="1" applyAlignment="1" applyProtection="1">
      <alignment horizontal="left" wrapText="1"/>
    </xf>
    <xf numFmtId="0" fontId="36" fillId="0" borderId="0" xfId="0" applyFont="1" applyBorder="1" applyAlignment="1">
      <alignment horizontal="right" vertical="top" indent="1"/>
    </xf>
    <xf numFmtId="2" fontId="36" fillId="0" borderId="0" xfId="0" applyNumberFormat="1" applyFont="1" applyBorder="1" applyAlignment="1">
      <alignment horizontal="right" vertical="top" indent="1"/>
    </xf>
    <xf numFmtId="165" fontId="9" fillId="0" borderId="0" xfId="0" applyNumberFormat="1" applyFont="1" applyFill="1" applyAlignment="1" applyProtection="1">
      <alignment horizontal="left" vertical="top" wrapText="1" indent="1"/>
    </xf>
    <xf numFmtId="38" fontId="9" fillId="0" borderId="0" xfId="0" applyNumberFormat="1" applyFont="1" applyFill="1" applyBorder="1" applyAlignment="1" applyProtection="1">
      <alignment horizontal="left" vertical="top" wrapText="1"/>
    </xf>
    <xf numFmtId="0" fontId="36" fillId="0" borderId="3" xfId="0" applyFont="1" applyBorder="1" applyAlignment="1">
      <alignment horizontal="left" vertical="top" wrapText="1" indent="1"/>
    </xf>
    <xf numFmtId="4" fontId="36" fillId="0" borderId="3" xfId="0" applyNumberFormat="1" applyFont="1" applyBorder="1" applyAlignment="1">
      <alignment horizontal="right" vertical="top" indent="1"/>
    </xf>
    <xf numFmtId="4" fontId="20" fillId="0" borderId="5" xfId="0" applyNumberFormat="1" applyFont="1" applyFill="1" applyBorder="1" applyAlignment="1" applyProtection="1">
      <alignment horizontal="right" vertical="top" indent="1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06"/>
  <sheetViews>
    <sheetView tabSelected="1" zoomScale="99" zoomScaleNormal="99" workbookViewId="0">
      <selection sqref="A1:G1"/>
    </sheetView>
  </sheetViews>
  <sheetFormatPr defaultRowHeight="15.75" x14ac:dyDescent="0.25"/>
  <cols>
    <col min="1" max="1" width="29.75" style="7" customWidth="1"/>
    <col min="2" max="2" width="12.125" style="7" customWidth="1"/>
    <col min="3" max="3" width="10.5" style="7" customWidth="1"/>
    <col min="4" max="4" width="9" style="7" customWidth="1"/>
    <col min="5" max="5" width="8.75" style="7" customWidth="1"/>
    <col min="6" max="6" width="9.875" style="7" customWidth="1"/>
    <col min="7" max="7" width="9.625" style="7" customWidth="1"/>
    <col min="9" max="9" width="9.625" customWidth="1"/>
  </cols>
  <sheetData>
    <row r="1" spans="1:8" x14ac:dyDescent="0.25">
      <c r="A1" s="115" t="s">
        <v>304</v>
      </c>
      <c r="B1" s="115"/>
      <c r="C1" s="115"/>
      <c r="D1" s="115"/>
      <c r="E1" s="115"/>
      <c r="F1" s="115"/>
      <c r="G1" s="115"/>
    </row>
    <row r="3" spans="1:8" ht="54" customHeight="1" x14ac:dyDescent="0.25">
      <c r="A3" s="116"/>
      <c r="B3" s="119" t="s">
        <v>349</v>
      </c>
      <c r="C3" s="120"/>
      <c r="D3" s="119" t="s">
        <v>104</v>
      </c>
      <c r="E3" s="120"/>
      <c r="F3" s="121" t="s">
        <v>1</v>
      </c>
      <c r="G3" s="122"/>
    </row>
    <row r="4" spans="1:8" ht="22.5" customHeight="1" x14ac:dyDescent="0.25">
      <c r="A4" s="117"/>
      <c r="B4" s="123" t="s">
        <v>95</v>
      </c>
      <c r="C4" s="125" t="s">
        <v>350</v>
      </c>
      <c r="D4" s="127" t="s">
        <v>351</v>
      </c>
      <c r="E4" s="127"/>
      <c r="F4" s="127" t="s">
        <v>399</v>
      </c>
      <c r="G4" s="119"/>
    </row>
    <row r="5" spans="1:8" ht="28.5" customHeight="1" x14ac:dyDescent="0.25">
      <c r="A5" s="118"/>
      <c r="B5" s="124"/>
      <c r="C5" s="126"/>
      <c r="D5" s="63" t="s">
        <v>323</v>
      </c>
      <c r="E5" s="63" t="s">
        <v>324</v>
      </c>
      <c r="F5" s="63" t="s">
        <v>323</v>
      </c>
      <c r="G5" s="64" t="s">
        <v>324</v>
      </c>
      <c r="H5" s="1"/>
    </row>
    <row r="6" spans="1:8" ht="15.75" customHeight="1" x14ac:dyDescent="0.25">
      <c r="A6" s="30" t="s">
        <v>96</v>
      </c>
      <c r="B6" s="23">
        <v>1459101.16692</v>
      </c>
      <c r="C6" s="24" t="s">
        <v>100</v>
      </c>
      <c r="D6" s="24">
        <v>100</v>
      </c>
      <c r="E6" s="24">
        <v>100</v>
      </c>
      <c r="F6" s="24">
        <f>IF(824887.0263="","-",(902994.52425-824887.0263)/824887.0263*100)</f>
        <v>9.4688721557845632</v>
      </c>
      <c r="G6" s="24">
        <f>IF(902994.52425="","-",(1459101.16692-902994.52425)/902994.52425*100)</f>
        <v>61.584719257504396</v>
      </c>
    </row>
    <row r="7" spans="1:8" x14ac:dyDescent="0.25">
      <c r="A7" s="31" t="s">
        <v>120</v>
      </c>
      <c r="B7" s="46"/>
      <c r="C7" s="47"/>
      <c r="D7" s="47"/>
      <c r="E7" s="47"/>
      <c r="F7" s="47"/>
      <c r="G7" s="47"/>
    </row>
    <row r="8" spans="1:8" x14ac:dyDescent="0.25">
      <c r="A8" s="25" t="s">
        <v>132</v>
      </c>
      <c r="B8" s="16">
        <v>970861.26054000005</v>
      </c>
      <c r="C8" s="26" t="s">
        <v>99</v>
      </c>
      <c r="D8" s="26">
        <f>IF(581946.2617="","-",581946.2617/902994.52425*100)</f>
        <v>64.446266956418924</v>
      </c>
      <c r="E8" s="26">
        <f>IF(970861.26054="","-",970861.26054/1459101.16692*100)</f>
        <v>66.538310197460817</v>
      </c>
      <c r="F8" s="26">
        <f>IF(824887.0263="","-",(581946.2617-529563.49898)/824887.0263*100)</f>
        <v>6.3502953798365489</v>
      </c>
      <c r="G8" s="26">
        <f>IF(902994.52425="","-",(970861.26054-581946.2617)/902994.52425*100)</f>
        <v>43.069474774835548</v>
      </c>
    </row>
    <row r="9" spans="1:8" ht="15.75" customHeight="1" x14ac:dyDescent="0.25">
      <c r="A9" s="27" t="s">
        <v>2</v>
      </c>
      <c r="B9" s="17">
        <v>459802.86320000002</v>
      </c>
      <c r="C9" s="28" t="s">
        <v>101</v>
      </c>
      <c r="D9" s="28">
        <f>IF(247792.63908="","-",247792.63908/902994.52425*100)</f>
        <v>27.441211704557023</v>
      </c>
      <c r="E9" s="28">
        <f>IF(459802.8632="","-",459802.8632/1459101.16692*100)</f>
        <v>31.512747273761192</v>
      </c>
      <c r="F9" s="28">
        <f>IF(OR(824887.0263="",202944.70685="",247792.63908=""),"-",(247792.63908-202944.70685)/824887.0263*100)</f>
        <v>5.4368575089808031</v>
      </c>
      <c r="G9" s="28">
        <f>IF(OR(902994.52425="",459802.8632="",247792.63908=""),"-",(459802.8632-247792.63908)/902994.52425*100)</f>
        <v>23.478572508076869</v>
      </c>
    </row>
    <row r="10" spans="1:8" ht="15.75" customHeight="1" x14ac:dyDescent="0.25">
      <c r="A10" s="27" t="s">
        <v>3</v>
      </c>
      <c r="B10" s="17">
        <v>145398.33498000001</v>
      </c>
      <c r="C10" s="28" t="s">
        <v>204</v>
      </c>
      <c r="D10" s="28">
        <f>IF(58002.33211="","-",58002.33211/902994.52425*100)</f>
        <v>6.4233315432532647</v>
      </c>
      <c r="E10" s="28">
        <f>IF(145398.33498="","-",145398.33498/1459101.16692*100)</f>
        <v>9.9649248644574602</v>
      </c>
      <c r="F10" s="28">
        <f>IF(OR(824887.0263="",71436.16188="",58002.33211=""),"-",(58002.33211-71436.16188)/824887.0263*100)</f>
        <v>-1.6285660147010601</v>
      </c>
      <c r="G10" s="28">
        <f>IF(OR(902994.52425="",145398.33498="",58002.33211=""),"-",(145398.33498-58002.33211)/902994.52425*100)</f>
        <v>9.6784643232015721</v>
      </c>
    </row>
    <row r="11" spans="1:8" ht="13.5" customHeight="1" x14ac:dyDescent="0.25">
      <c r="A11" s="27" t="s">
        <v>4</v>
      </c>
      <c r="B11" s="17">
        <v>87929.742079999996</v>
      </c>
      <c r="C11" s="28">
        <f>IF(OR(94699.91074="",87929.74208=""),"-",87929.74208/94699.91074*100)</f>
        <v>92.850923926858172</v>
      </c>
      <c r="D11" s="28">
        <f>IF(94699.91074="","-",94699.91074/902994.52425*100)</f>
        <v>10.487318383093729</v>
      </c>
      <c r="E11" s="28">
        <f>IF(87929.74208="","-",87929.74208/1459101.16692*100)</f>
        <v>6.0262950968375879</v>
      </c>
      <c r="F11" s="28">
        <f>IF(OR(824887.0263="",72591.21203="",94699.91074=""),"-",(94699.91074-72591.21203)/824887.0263*100)</f>
        <v>2.6802092898912178</v>
      </c>
      <c r="G11" s="28">
        <f>IF(OR(902994.52425="",87929.74208="",94699.91074=""),"-",(87929.74208-94699.91074)/902994.52425*100)</f>
        <v>-0.7497463692399583</v>
      </c>
    </row>
    <row r="12" spans="1:8" ht="15.75" customHeight="1" x14ac:dyDescent="0.25">
      <c r="A12" s="27" t="s">
        <v>6</v>
      </c>
      <c r="B12" s="17">
        <v>63079.221839999998</v>
      </c>
      <c r="C12" s="28" t="s">
        <v>317</v>
      </c>
      <c r="D12" s="28">
        <f>IF(13121.33735="","-",13121.33735/902994.52425*100)</f>
        <v>1.4530915744919037</v>
      </c>
      <c r="E12" s="28">
        <f>IF(63079.22184="","-",63079.22184/1459101.16692*100)</f>
        <v>4.3231561505192406</v>
      </c>
      <c r="F12" s="28">
        <f>IF(OR(824887.0263="",15205.32653="",13121.33735=""),"-",(13121.33735-15205.32653)/824887.0263*100)</f>
        <v>-0.2526393449715964</v>
      </c>
      <c r="G12" s="28">
        <f>IF(OR(902994.52425="",63079.22184="",13121.33735=""),"-",(63079.22184-13121.33735)/902994.52425*100)</f>
        <v>5.5324681543881464</v>
      </c>
    </row>
    <row r="13" spans="1:8" s="10" customFormat="1" x14ac:dyDescent="0.25">
      <c r="A13" s="27" t="s">
        <v>5</v>
      </c>
      <c r="B13" s="17">
        <v>42853.642509999998</v>
      </c>
      <c r="C13" s="28">
        <f>IF(OR(36254.0642="",42853.64251=""),"-",42853.64251/36254.0642*100)</f>
        <v>118.20369234630526</v>
      </c>
      <c r="D13" s="28">
        <f>IF(36254.0642="","-",36254.0642/902994.52425*100)</f>
        <v>4.014870879766578</v>
      </c>
      <c r="E13" s="28">
        <f>IF(42853.64251="","-",42853.64251/1459101.16692*100)</f>
        <v>2.9369891191615771</v>
      </c>
      <c r="F13" s="28">
        <f>IF(OR(824887.0263="",35097.11766="",36254.0642=""),"-",(36254.0642-35097.11766)/824887.0263*100)</f>
        <v>0.14025515047671894</v>
      </c>
      <c r="G13" s="28">
        <f>IF(OR(902994.52425="",42853.64251="",36254.0642=""),"-",(42853.64251-36254.0642)/902994.52425*100)</f>
        <v>0.73085474305410736</v>
      </c>
    </row>
    <row r="14" spans="1:8" s="10" customFormat="1" x14ac:dyDescent="0.25">
      <c r="A14" s="27" t="s">
        <v>325</v>
      </c>
      <c r="B14" s="17">
        <v>31465.695739999999</v>
      </c>
      <c r="C14" s="28">
        <f>IF(OR(27703.77848="",31465.69574=""),"-",31465.69574/27703.77848*100)</f>
        <v>113.57907645239011</v>
      </c>
      <c r="D14" s="28">
        <f>IF(27703.77848="","-",27703.77848/902994.52425*100)</f>
        <v>3.0679896429061873</v>
      </c>
      <c r="E14" s="28">
        <f>IF(31465.69574="","-",31465.69574/1459101.16692*100)</f>
        <v>2.1565122729920487</v>
      </c>
      <c r="F14" s="28">
        <f>IF(OR(824887.0263="",27218.5145="",27703.77848=""),"-",(27703.77848-27218.5145)/824887.0263*100)</f>
        <v>5.8827932132310676E-2</v>
      </c>
      <c r="G14" s="28">
        <f>IF(OR(902994.52425="",31465.69574="",27703.77848=""),"-",(31465.69574-27703.77848)/902994.52425*100)</f>
        <v>0.41660465916164141</v>
      </c>
    </row>
    <row r="15" spans="1:8" s="10" customFormat="1" x14ac:dyDescent="0.25">
      <c r="A15" s="109" t="s">
        <v>414</v>
      </c>
      <c r="B15" s="17">
        <v>26061.08094</v>
      </c>
      <c r="C15" s="28" t="s">
        <v>18</v>
      </c>
      <c r="D15" s="28">
        <f>IF(13178.07129="","-",13178.07129/902994.52425*100)</f>
        <v>1.4593744409408582</v>
      </c>
      <c r="E15" s="28">
        <f>IF(26061.08094="","-",26061.08094/1459101.16692*100)</f>
        <v>1.7861051399891648</v>
      </c>
      <c r="F15" s="28">
        <f>IF(OR(824887.0263="",12528.30206="",13178.07129=""),"-",(13178.07129-12528.30206)/824887.0263*100)</f>
        <v>7.8770693353551163E-2</v>
      </c>
      <c r="G15" s="28">
        <f>IF(OR(902994.52425="",26061.08094="",13178.07129=""),"-",(26061.08094-13178.07129)/902994.52425*100)</f>
        <v>1.4266985351544894</v>
      </c>
    </row>
    <row r="16" spans="1:8" s="10" customFormat="1" x14ac:dyDescent="0.25">
      <c r="A16" s="27" t="s">
        <v>40</v>
      </c>
      <c r="B16" s="17">
        <v>18314.694879999999</v>
      </c>
      <c r="C16" s="28">
        <f>IF(OR(14206.46289="",18314.69488=""),"-",18314.69488/14206.46289*100)</f>
        <v>128.91804963564718</v>
      </c>
      <c r="D16" s="28">
        <f>IF(14206.46289="","-",14206.46289/902994.52425*100)</f>
        <v>1.5732612445019487</v>
      </c>
      <c r="E16" s="28">
        <f>IF(18314.69488="","-",18314.69488/1459101.16692*100)</f>
        <v>1.2552039087639331</v>
      </c>
      <c r="F16" s="28">
        <f>IF(OR(824887.0263="",4852.2338="",14206.46289=""),"-",(14206.46289-4852.2338)/824887.0263*100)</f>
        <v>1.1340012379583719</v>
      </c>
      <c r="G16" s="28">
        <f>IF(OR(902994.52425="",18314.69488="",14206.46289=""),"-",(18314.69488-14206.46289)/902994.52425*100)</f>
        <v>0.45495646758347424</v>
      </c>
    </row>
    <row r="17" spans="1:7" s="10" customFormat="1" x14ac:dyDescent="0.25">
      <c r="A17" s="27" t="s">
        <v>8</v>
      </c>
      <c r="B17" s="17">
        <v>17033.46254</v>
      </c>
      <c r="C17" s="28" t="s">
        <v>198</v>
      </c>
      <c r="D17" s="28">
        <f>IF(9584.26753="","-",9584.26753/902994.52425*100)</f>
        <v>1.0613871150503822</v>
      </c>
      <c r="E17" s="28">
        <f>IF(17033.46254="","-",17033.46254/1459101.16692*100)</f>
        <v>1.1673942099543202</v>
      </c>
      <c r="F17" s="28">
        <f>IF(OR(824887.0263="",16241.55693="",9584.26753=""),"-",(9584.26753-16241.55693)/824887.0263*100)</f>
        <v>-0.80705468600482477</v>
      </c>
      <c r="G17" s="28">
        <f>IF(OR(902994.52425="",17033.46254="",9584.26753=""),"-",(17033.46254-9584.26753)/902994.52425*100)</f>
        <v>0.82494354173266748</v>
      </c>
    </row>
    <row r="18" spans="1:7" s="10" customFormat="1" x14ac:dyDescent="0.25">
      <c r="A18" s="27" t="s">
        <v>308</v>
      </c>
      <c r="B18" s="17">
        <v>16575.236540000002</v>
      </c>
      <c r="C18" s="28">
        <f>IF(OR(12487.16734="",16575.23654=""),"-",16575.23654/12487.16734*100)</f>
        <v>132.73816301720197</v>
      </c>
      <c r="D18" s="28">
        <f>IF(12487.16734="","-",12487.16734/902994.52425*100)</f>
        <v>1.3828619116346763</v>
      </c>
      <c r="E18" s="28">
        <f>IF(16575.23654="","-",16575.23654/1459101.16692*100)</f>
        <v>1.1359895335419736</v>
      </c>
      <c r="F18" s="28">
        <f>IF(OR(824887.0263="",14373.34846="",12487.16734=""),"-",(12487.16734-14373.34846)/824887.0263*100)</f>
        <v>-0.2286593266547535</v>
      </c>
      <c r="G18" s="28">
        <f>IF(OR(902994.52425="",16575.23654="",12487.16734=""),"-",(16575.23654-12487.16734)/902994.52425*100)</f>
        <v>0.45272358693375558</v>
      </c>
    </row>
    <row r="19" spans="1:7" s="12" customFormat="1" x14ac:dyDescent="0.25">
      <c r="A19" s="27" t="s">
        <v>49</v>
      </c>
      <c r="B19" s="17">
        <v>14093.70708</v>
      </c>
      <c r="C19" s="28" t="s">
        <v>100</v>
      </c>
      <c r="D19" s="28">
        <f>IF(8760.01223="","-",8760.01223/902994.52425*100)</f>
        <v>0.97010690483154394</v>
      </c>
      <c r="E19" s="28">
        <f>IF(14093.70708="","-",14093.70708/1459101.16692*100)</f>
        <v>0.9659170590446613</v>
      </c>
      <c r="F19" s="28">
        <f>IF(OR(824887.0263="",8883.20258="",8760.01223=""),"-",(8760.01223-8883.20258)/824887.0263*100)</f>
        <v>-1.4934208694318381E-2</v>
      </c>
      <c r="G19" s="28">
        <f>IF(OR(902994.52425="",14093.70708="",8760.01223=""),"-",(14093.70708-8760.01223)/902994.52425*100)</f>
        <v>0.59066746328611519</v>
      </c>
    </row>
    <row r="20" spans="1:7" s="10" customFormat="1" x14ac:dyDescent="0.25">
      <c r="A20" s="27" t="s">
        <v>38</v>
      </c>
      <c r="B20" s="17">
        <v>13167.589330000001</v>
      </c>
      <c r="C20" s="28">
        <f>IF(OR(16462.4502="",13167.58933=""),"-",13167.58933/16462.4502*100)</f>
        <v>79.985598559320167</v>
      </c>
      <c r="D20" s="28">
        <f>IF(16462.4502="","-",16462.4502/902994.52425*100)</f>
        <v>1.8230952412112593</v>
      </c>
      <c r="E20" s="28">
        <f>IF(13167.58933="","-",13167.58933/1459101.16692*100)</f>
        <v>0.90244526072138753</v>
      </c>
      <c r="F20" s="28">
        <f>IF(OR(824887.0263="",18552.75422="",16462.4502=""),"-",(16462.4502-18552.75422)/824887.0263*100)</f>
        <v>-0.25340488495448649</v>
      </c>
      <c r="G20" s="28">
        <f>IF(OR(902994.52425="",13167.58933="",16462.4502=""),"-",(13167.58933-16462.4502)/902994.52425*100)</f>
        <v>-0.3648816002219516</v>
      </c>
    </row>
    <row r="21" spans="1:7" s="10" customFormat="1" x14ac:dyDescent="0.25">
      <c r="A21" s="27" t="s">
        <v>45</v>
      </c>
      <c r="B21" s="17">
        <v>9057.9138600000006</v>
      </c>
      <c r="C21" s="28" t="s">
        <v>322</v>
      </c>
      <c r="D21" s="28">
        <f>IF(2268.20821="","-",2268.20821/902994.52425*100)</f>
        <v>0.2511873714720369</v>
      </c>
      <c r="E21" s="28">
        <f>IF(9057.91386="","-",9057.91386/1459101.16692*100)</f>
        <v>0.62078723979915984</v>
      </c>
      <c r="F21" s="28">
        <f>IF(OR(824887.0263="",7081.10511="",2268.20821=""),"-",(2268.20821-7081.10511)/824887.0263*100)</f>
        <v>-0.583461340347183</v>
      </c>
      <c r="G21" s="28">
        <f>IF(OR(902994.52425="",9057.91386="",2268.20821=""),"-",(9057.91386-2268.20821)/902994.52425*100)</f>
        <v>0.75190994714384629</v>
      </c>
    </row>
    <row r="22" spans="1:7" s="10" customFormat="1" x14ac:dyDescent="0.25">
      <c r="A22" s="27" t="s">
        <v>7</v>
      </c>
      <c r="B22" s="17">
        <v>7399.3669200000004</v>
      </c>
      <c r="C22" s="28">
        <f>IF(OR(7604.99096="",7399.36692=""),"-",7399.36692/7604.99096*100)</f>
        <v>97.296196128548715</v>
      </c>
      <c r="D22" s="28">
        <f>IF(7604.99096="","-",7604.99096/902994.52425*100)</f>
        <v>0.84219679696468552</v>
      </c>
      <c r="E22" s="28">
        <f>IF(7399.36692="","-",7399.36692/1459101.16692*100)</f>
        <v>0.50711815518722669</v>
      </c>
      <c r="F22" s="28">
        <f>IF(OR(824887.0263="",7672.52789="",7604.99096=""),"-",(7604.99096-7672.52789)/824887.0263*100)</f>
        <v>-8.1874157122987599E-3</v>
      </c>
      <c r="G22" s="28">
        <f>IF(OR(902994.52425="",7399.36692="",7604.99096=""),"-",(7399.36692-7604.99096)/902994.52425*100)</f>
        <v>-2.2771349601569825E-2</v>
      </c>
    </row>
    <row r="23" spans="1:7" s="10" customFormat="1" x14ac:dyDescent="0.25">
      <c r="A23" s="27" t="s">
        <v>39</v>
      </c>
      <c r="B23" s="17">
        <v>6732.2174800000003</v>
      </c>
      <c r="C23" s="28">
        <f>IF(OR(7614.34821="",6732.21748=""),"-",6732.21748/7614.34821*100)</f>
        <v>88.414888501664677</v>
      </c>
      <c r="D23" s="28">
        <f>IF(7614.34821="","-",7614.34821/902994.52425*100)</f>
        <v>0.84323304355851414</v>
      </c>
      <c r="E23" s="28">
        <f>IF(6732.21748="","-",6732.21748/1459101.16692*100)</f>
        <v>0.46139483900290207</v>
      </c>
      <c r="F23" s="28">
        <f>IF(OR(824887.0263="",3463.09252="",7614.34821=""),"-",(7614.34821-3463.09252)/824887.0263*100)</f>
        <v>0.50325142203051765</v>
      </c>
      <c r="G23" s="28">
        <f>IF(OR(902994.52425="",6732.21748="",7614.34821=""),"-",(6732.21748-7614.34821)/902994.52425*100)</f>
        <v>-9.7689488287060325E-2</v>
      </c>
    </row>
    <row r="24" spans="1:7" s="10" customFormat="1" x14ac:dyDescent="0.25">
      <c r="A24" s="27" t="s">
        <v>42</v>
      </c>
      <c r="B24" s="17">
        <v>3505.9055899999998</v>
      </c>
      <c r="C24" s="28">
        <f>IF(OR(4726.54953="",3505.90559=""),"-",3505.90559/4726.54953*100)</f>
        <v>74.174735031286119</v>
      </c>
      <c r="D24" s="28">
        <f>IF(4726.54953="","-",4726.54953/902994.52425*100)</f>
        <v>0.52343058601886094</v>
      </c>
      <c r="E24" s="28">
        <f>IF(3505.90559="","-",3505.90559/1459101.16692*100)</f>
        <v>0.24027844466745071</v>
      </c>
      <c r="F24" s="28">
        <f>IF(OR(824887.0263="",3864.22769="",4726.54953=""),"-",(4726.54953-3864.22769)/824887.0263*100)</f>
        <v>0.10453817462348905</v>
      </c>
      <c r="G24" s="28">
        <f>IF(OR(902994.52425="",3505.90559="",4726.54953=""),"-",(3505.90559-4726.54953)/902994.52425*100)</f>
        <v>-0.13517733576666263</v>
      </c>
    </row>
    <row r="25" spans="1:7" s="10" customFormat="1" x14ac:dyDescent="0.25">
      <c r="A25" s="27" t="s">
        <v>41</v>
      </c>
      <c r="B25" s="17">
        <v>3479.2269000000001</v>
      </c>
      <c r="C25" s="28">
        <f>IF(OR(2747.05585="",3479.2269=""),"-",3479.2269/2747.05585*100)</f>
        <v>126.65293645194726</v>
      </c>
      <c r="D25" s="28">
        <f>IF(2747.05585="","-",2747.05585/902994.52425*100)</f>
        <v>0.30421622459799763</v>
      </c>
      <c r="E25" s="28">
        <f>IF(3479.2269="","-",3479.2269/1459101.16692*100)</f>
        <v>0.23845001147824868</v>
      </c>
      <c r="F25" s="28">
        <f>IF(OR(824887.0263="",2319.88383="",2747.05585=""),"-",(2747.05585-2319.88383)/824887.0263*100)</f>
        <v>5.1785518062523558E-2</v>
      </c>
      <c r="G25" s="28">
        <f>IF(OR(902994.52425="",3479.2269="",2747.05585=""),"-",(3479.2269-2747.05585)/902994.52425*100)</f>
        <v>8.1082557018617482E-2</v>
      </c>
    </row>
    <row r="26" spans="1:7" s="7" customFormat="1" x14ac:dyDescent="0.25">
      <c r="A26" s="27" t="s">
        <v>43</v>
      </c>
      <c r="B26" s="17">
        <v>1761.4448400000001</v>
      </c>
      <c r="C26" s="28">
        <f>IF(OR(1911.25304="",1761.44484=""),"-",1761.44484/1911.25304*100)</f>
        <v>92.161780943458965</v>
      </c>
      <c r="D26" s="28">
        <f>IF(1911.25304="","-",1911.25304/902994.52425*100)</f>
        <v>0.21165721260463116</v>
      </c>
      <c r="E26" s="28">
        <f>IF(1761.44484="","-",1761.44484/1459101.16692*100)</f>
        <v>0.12072122755670286</v>
      </c>
      <c r="F26" s="28">
        <f>IF(OR(824887.0263="",1404.05322="",1911.25304=""),"-",(1911.25304-1404.05322)/824887.0263*100)</f>
        <v>6.148718598170054E-2</v>
      </c>
      <c r="G26" s="28">
        <f>IF(OR(902994.52425="",1761.44484="",1911.25304=""),"-",(1761.44484-1911.25304)/902994.52425*100)</f>
        <v>-1.6590155972919782E-2</v>
      </c>
    </row>
    <row r="27" spans="1:7" s="7" customFormat="1" x14ac:dyDescent="0.25">
      <c r="A27" s="27" t="s">
        <v>44</v>
      </c>
      <c r="B27" s="17">
        <v>1170.51019</v>
      </c>
      <c r="C27" s="28">
        <f>IF(OR(918.35283="",1170.51019=""),"-",1170.51019/918.35283*100)</f>
        <v>127.45756878649787</v>
      </c>
      <c r="D27" s="28">
        <f>IF(918.35283="","-",918.35283/902994.52425*100)</f>
        <v>0.10170081936684568</v>
      </c>
      <c r="E27" s="28">
        <f>IF(1170.51019="","-",1170.51019/1459101.16692*100)</f>
        <v>8.0221318201726663E-2</v>
      </c>
      <c r="F27" s="28">
        <f>IF(OR(824887.0263="",2328.14457="",918.35283=""),"-",(918.35283-2328.14457)/824887.0263*100)</f>
        <v>-0.17090725093878226</v>
      </c>
      <c r="G27" s="28">
        <f>IF(OR(902994.52425="",1170.51019="",918.35283=""),"-",(1170.51019-918.35283)/902994.52425*100)</f>
        <v>2.7924572434083608E-2</v>
      </c>
    </row>
    <row r="28" spans="1:7" s="10" customFormat="1" x14ac:dyDescent="0.25">
      <c r="A28" s="27" t="s">
        <v>46</v>
      </c>
      <c r="B28" s="17">
        <v>551.95205999999996</v>
      </c>
      <c r="C28" s="28">
        <f>IF(OR(684.40094="",551.95206=""),"-",551.95206/684.40094*100)</f>
        <v>80.647472518082736</v>
      </c>
      <c r="D28" s="28">
        <f>IF(684.40094="","-",684.40094/902994.52425*100)</f>
        <v>7.5792368792982748E-2</v>
      </c>
      <c r="E28" s="28">
        <f>IF(551.95206="","-",551.95206/1459101.16692*100)</f>
        <v>3.7828224150153293E-2</v>
      </c>
      <c r="F28" s="28">
        <f>IF(OR(824887.0263="",412.95671="",684.40094=""),"-",(684.40094-412.95671)/824887.0263*100)</f>
        <v>3.2906837099566592E-2</v>
      </c>
      <c r="G28" s="28">
        <f>IF(OR(902994.52425="",551.95206="",684.40094=""),"-",(551.95206-684.40094)/902994.52425*100)</f>
        <v>-1.4667738999858064E-2</v>
      </c>
    </row>
    <row r="29" spans="1:7" s="10" customFormat="1" x14ac:dyDescent="0.25">
      <c r="A29" s="27" t="s">
        <v>48</v>
      </c>
      <c r="B29" s="17">
        <v>527.24271999999996</v>
      </c>
      <c r="C29" s="28" t="s">
        <v>204</v>
      </c>
      <c r="D29" s="28">
        <f>IF(214.44301="","-",214.44301/902994.52425*100)</f>
        <v>2.3747985645661569E-2</v>
      </c>
      <c r="E29" s="28">
        <f>IF(527.24272="","-",527.24272/1459101.16692*100)</f>
        <v>3.6134761040110097E-2</v>
      </c>
      <c r="F29" s="28">
        <f>IF(OR(824887.0263="",121.21804="",214.44301=""),"-",(214.44301-121.21804)/824887.0263*100)</f>
        <v>1.1301543972410028E-2</v>
      </c>
      <c r="G29" s="28">
        <f>IF(OR(902994.52425="",527.24272="",214.44301=""),"-",(527.24272-214.44301)/902994.52425*100)</f>
        <v>3.4640266535370411E-2</v>
      </c>
    </row>
    <row r="30" spans="1:7" s="7" customFormat="1" x14ac:dyDescent="0.25">
      <c r="A30" s="27" t="s">
        <v>309</v>
      </c>
      <c r="B30" s="17">
        <v>525.95041000000003</v>
      </c>
      <c r="C30" s="28" t="s">
        <v>339</v>
      </c>
      <c r="D30" s="28">
        <f>IF(117.0098="","-",117.0098/902994.52425*100)</f>
        <v>1.2957974479101611E-2</v>
      </c>
      <c r="E30" s="28">
        <f>IF(525.95041="","-",525.95041/1459101.16692*100)</f>
        <v>3.6046192130064755E-2</v>
      </c>
      <c r="F30" s="28">
        <f>IF(OR(824887.0263="",345.01853="",117.0098=""),"-",(117.0098-345.01853)/824887.0263*100)</f>
        <v>-2.7641206944752746E-2</v>
      </c>
      <c r="G30" s="28">
        <f>IF(OR(902994.52425="",525.95041="",117.0098=""),"-",(525.95041-117.0098)/902994.52425*100)</f>
        <v>4.5287163877284167E-2</v>
      </c>
    </row>
    <row r="31" spans="1:7" s="7" customFormat="1" x14ac:dyDescent="0.25">
      <c r="A31" s="27" t="s">
        <v>51</v>
      </c>
      <c r="B31" s="17">
        <v>310.17068999999998</v>
      </c>
      <c r="C31" s="28">
        <f>IF(OR(262.90567="",310.17069=""),"-",310.17069/262.90567*100)</f>
        <v>117.97793862718898</v>
      </c>
      <c r="D31" s="28">
        <f>IF(262.90567="","-",262.90567/902994.52425*100)</f>
        <v>2.911486868852959E-2</v>
      </c>
      <c r="E31" s="28">
        <f>IF(310.17069="","-",310.17069/1459101.16692*100)</f>
        <v>2.1257654851632786E-2</v>
      </c>
      <c r="F31" s="28">
        <f>IF(OR(824887.0263="",103.15197="",262.90567=""),"-",(262.90567-103.15197)/824887.0263*100)</f>
        <v>1.9366736887179478E-2</v>
      </c>
      <c r="G31" s="28">
        <f>IF(OR(902994.52425="",310.17069="",262.90567=""),"-",(310.17069-262.90567)/902994.52425*100)</f>
        <v>5.2342532242105116E-3</v>
      </c>
    </row>
    <row r="32" spans="1:7" s="7" customFormat="1" x14ac:dyDescent="0.25">
      <c r="A32" s="27" t="s">
        <v>47</v>
      </c>
      <c r="B32" s="17">
        <v>51.240180000000002</v>
      </c>
      <c r="C32" s="28">
        <f>IF(OR(545.38369="",51.24018=""),"-",51.24018/545.38369*100)</f>
        <v>9.3952534590830918</v>
      </c>
      <c r="D32" s="28">
        <f>IF(545.38369="","-",545.38369/902994.52425*100)</f>
        <v>6.0397231140795586E-2</v>
      </c>
      <c r="E32" s="28">
        <f>IF(51.24018="","-",51.24018/1459101.16692*100)</f>
        <v>3.5117633486759737E-3</v>
      </c>
      <c r="F32" s="28">
        <f>IF(OR(824887.0263="",460.92453="",545.38369=""),"-",(545.38369-460.92453)/824887.0263*100)</f>
        <v>1.0238876028737947E-2</v>
      </c>
      <c r="G32" s="28">
        <f>IF(OR(902994.52425="",51.24018="",545.38369=""),"-",(51.24018-545.38369)/902994.52425*100)</f>
        <v>-5.472275819284958E-2</v>
      </c>
    </row>
    <row r="33" spans="1:7" s="7" customFormat="1" x14ac:dyDescent="0.25">
      <c r="A33" s="27" t="s">
        <v>50</v>
      </c>
      <c r="B33" s="17">
        <v>10.2437</v>
      </c>
      <c r="C33" s="28">
        <f>IF(OR(75.22038="",10.2437=""),"-",10.2437/75.22038*100)</f>
        <v>13.618250798520295</v>
      </c>
      <c r="D33" s="28">
        <f>IF(75.22038="","-",75.22038/902994.52425*100)</f>
        <v>8.3301036695073855E-3</v>
      </c>
      <c r="E33" s="28">
        <f>IF(10.2437="","-",10.2437/1459101.16692*100)</f>
        <v>7.0205550048481628E-4</v>
      </c>
      <c r="F33" s="28">
        <f>IF(OR(824887.0263="",34.72929="",75.22038=""),"-",(75.22038-34.72929)/824887.0263*100)</f>
        <v>4.9086830934438721E-3</v>
      </c>
      <c r="G33" s="28">
        <f>IF(OR(902994.52425="",10.2437="",75.22038=""),"-",(10.2437-75.22038)/902994.52425*100)</f>
        <v>-7.1956892600171267E-3</v>
      </c>
    </row>
    <row r="34" spans="1:7" s="7" customFormat="1" x14ac:dyDescent="0.25">
      <c r="A34" s="27" t="s">
        <v>53</v>
      </c>
      <c r="B34" s="17">
        <v>2.6033400000000002</v>
      </c>
      <c r="C34" s="28" t="str">
        <f>IF(OR(""="",2.60334=""),"-",2.60334/""*100)</f>
        <v>-</v>
      </c>
      <c r="D34" s="28" t="str">
        <f>IF(""="","-",""/902994.52425*100)</f>
        <v>-</v>
      </c>
      <c r="E34" s="28">
        <f>IF(2.60334="","-",2.60334/1459101.16692*100)</f>
        <v>1.7842080172517175E-4</v>
      </c>
      <c r="F34" s="28" t="str">
        <f>IF(OR(824887.0263="",2.36964="",""=""),"-",(""-2.36964)/824887.0263*100)</f>
        <v>-</v>
      </c>
      <c r="G34" s="28" t="str">
        <f>IF(OR(902994.52425="",2.60334="",""=""),"-",(2.60334-"")/902994.52425*100)</f>
        <v>-</v>
      </c>
    </row>
    <row r="35" spans="1:7" s="7" customFormat="1" ht="14.25" customHeight="1" x14ac:dyDescent="0.25">
      <c r="A35" s="25" t="s">
        <v>134</v>
      </c>
      <c r="B35" s="16">
        <v>178509.52718</v>
      </c>
      <c r="C35" s="26">
        <f>IF(144264.37245="","-",178509.52718/144264.37245*100)</f>
        <v>123.73777679715683</v>
      </c>
      <c r="D35" s="26">
        <f>IF(144264.37245="","-",144264.37245/902994.52425*100)</f>
        <v>15.976217859108463</v>
      </c>
      <c r="E35" s="26">
        <f>IF(178509.52718="","-",178509.52718/1459101.16692*100)</f>
        <v>12.234211802928904</v>
      </c>
      <c r="F35" s="26">
        <f>IF(824887.0263="","-",(144264.37245-128972.26234)/824887.0263*100)</f>
        <v>1.8538429654533646</v>
      </c>
      <c r="G35" s="26">
        <f>IF(902994.52425="","-",(178509.52718-144264.37245)/902994.52425*100)</f>
        <v>3.7923989360226744</v>
      </c>
    </row>
    <row r="36" spans="1:7" s="11" customFormat="1" ht="14.25" customHeight="1" x14ac:dyDescent="0.2">
      <c r="A36" s="27" t="s">
        <v>10</v>
      </c>
      <c r="B36" s="17">
        <v>78479.660359999994</v>
      </c>
      <c r="C36" s="28" t="s">
        <v>330</v>
      </c>
      <c r="D36" s="28">
        <f>IF(27370.52689="","-",27370.52689/902994.52425*100)</f>
        <v>3.0310844811305069</v>
      </c>
      <c r="E36" s="28">
        <f>IF(78479.66036="","-",78479.66036/1459101.16692*100)</f>
        <v>5.3786304979566166</v>
      </c>
      <c r="F36" s="28">
        <f>IF(OR(824887.0263="",20165.6553="",27370.52689=""),"-",(27370.52689-20165.6553)/824887.0263*100)</f>
        <v>0.87343737509331243</v>
      </c>
      <c r="G36" s="28">
        <f>IF(OR(902994.52425="",78479.66036="",27370.52689=""),"-",(78479.66036-27370.52689)/902994.52425*100)</f>
        <v>5.6599605088912028</v>
      </c>
    </row>
    <row r="37" spans="1:7" s="11" customFormat="1" ht="14.25" customHeight="1" x14ac:dyDescent="0.2">
      <c r="A37" s="27" t="s">
        <v>310</v>
      </c>
      <c r="B37" s="17">
        <v>70347.748149999999</v>
      </c>
      <c r="C37" s="28">
        <f>IF(OR(85746.76765="",70347.74815=""),"-",70347.74815/85746.76765*100)</f>
        <v>82.041282812134085</v>
      </c>
      <c r="D37" s="28">
        <f>IF(85746.76765="","-",85746.76765/902994.52425*100)</f>
        <v>9.4958236564301064</v>
      </c>
      <c r="E37" s="28">
        <f>IF(70347.74815="","-",70347.74815/1459101.16692*100)</f>
        <v>4.8213070995273251</v>
      </c>
      <c r="F37" s="28">
        <f>IF(OR(824887.0263="",78161.21121="",85746.76765=""),"-",(85746.76765-78161.21121)/824887.0263*100)</f>
        <v>0.9195873129469293</v>
      </c>
      <c r="G37" s="28">
        <f>IF(OR(902994.52425="",70347.74815="",85746.76765=""),"-",(70347.74815-85746.76765)/902994.52425*100)</f>
        <v>-1.7053281151167505</v>
      </c>
    </row>
    <row r="38" spans="1:7" s="11" customFormat="1" ht="14.25" customHeight="1" x14ac:dyDescent="0.2">
      <c r="A38" s="27" t="s">
        <v>9</v>
      </c>
      <c r="B38" s="17">
        <v>21458.435460000001</v>
      </c>
      <c r="C38" s="28">
        <f>IF(OR(22684.58189="",21458.43546=""),"-",21458.43546/22684.58189*100)</f>
        <v>94.594802602288567</v>
      </c>
      <c r="D38" s="28">
        <f>IF(22684.58189="","-",22684.58189/902994.52425*100)</f>
        <v>2.5121505480712778</v>
      </c>
      <c r="E38" s="28">
        <f>IF(21458.43546="","-",21458.43546/1459101.16692*100)</f>
        <v>1.4706612499869607</v>
      </c>
      <c r="F38" s="28">
        <f>IF(OR(824887.0263="",24385.36998="",22684.58189=""),"-",(22684.58189-24385.36998)/824887.0263*100)</f>
        <v>-0.20618436655851163</v>
      </c>
      <c r="G38" s="28">
        <f>IF(OR(902994.52425="",21458.43546="",22684.58189=""),"-",(21458.43546-22684.58189)/902994.52425*100)</f>
        <v>-0.13578669605094237</v>
      </c>
    </row>
    <row r="39" spans="1:7" s="9" customFormat="1" ht="14.25" customHeight="1" x14ac:dyDescent="0.2">
      <c r="A39" s="27" t="s">
        <v>11</v>
      </c>
      <c r="B39" s="17">
        <v>3285.2618600000001</v>
      </c>
      <c r="C39" s="28">
        <f>IF(OR(3784.59091="",3285.26186=""),"-",3285.26186/3784.59091*100)</f>
        <v>86.806260917643016</v>
      </c>
      <c r="D39" s="28">
        <f>IF(3784.59091="","-",3784.59091/902994.52425*100)</f>
        <v>0.41911559908332413</v>
      </c>
      <c r="E39" s="28">
        <f>IF(3285.26186="","-",3285.26186/1459101.16692*100)</f>
        <v>0.22515655079180164</v>
      </c>
      <c r="F39" s="28">
        <f>IF(OR(824887.0263="",3581.82872="",3784.59091=""),"-",(3784.59091-3581.82872)/824887.0263*100)</f>
        <v>2.458060116540833E-2</v>
      </c>
      <c r="G39" s="28">
        <f>IF(OR(902994.52425="",3285.26186="",3784.59091=""),"-",(3285.26186-3784.59091)/902994.52425*100)</f>
        <v>-5.5297018596511142E-2</v>
      </c>
    </row>
    <row r="40" spans="1:7" s="11" customFormat="1" ht="14.25" customHeight="1" x14ac:dyDescent="0.2">
      <c r="A40" s="27" t="s">
        <v>13</v>
      </c>
      <c r="B40" s="17">
        <v>2537.2000400000002</v>
      </c>
      <c r="C40" s="28">
        <f>IF(OR(2352.41055="",2537.20004=""),"-",2537.20004/2352.41055*100)</f>
        <v>107.85532482839784</v>
      </c>
      <c r="D40" s="28">
        <f>IF(2352.41055="","-",2352.41055/902994.52425*100)</f>
        <v>0.26051216112897707</v>
      </c>
      <c r="E40" s="28">
        <f>IF(2537.20004="","-",2537.20004/1459101.16692*100)</f>
        <v>0.1738878768328139</v>
      </c>
      <c r="F40" s="28">
        <f>IF(OR(824887.0263="",1132.69734="",2352.41055=""),"-",(2352.41055-1132.69734)/824887.0263*100)</f>
        <v>0.14786427366556826</v>
      </c>
      <c r="G40" s="28">
        <f>IF(OR(902994.52425="",2537.20004="",2352.41055=""),"-",(2537.20004-2352.41055)/902994.52425*100)</f>
        <v>2.0464076474160316E-2</v>
      </c>
    </row>
    <row r="41" spans="1:7" s="9" customFormat="1" ht="14.25" customHeight="1" x14ac:dyDescent="0.2">
      <c r="A41" s="27" t="s">
        <v>12</v>
      </c>
      <c r="B41" s="17">
        <v>1107.67103</v>
      </c>
      <c r="C41" s="28">
        <f>IF(OR(1072.3301="",1107.67103=""),"-",1107.67103/1072.3301*100)</f>
        <v>103.29571369860831</v>
      </c>
      <c r="D41" s="28">
        <f>IF(1072.3301="","-",1072.3301/902994.52425*100)</f>
        <v>0.1187526691693557</v>
      </c>
      <c r="E41" s="28">
        <f>IF(1107.67103="","-",1107.67103/1459101.16692*100)</f>
        <v>7.5914614771926334E-2</v>
      </c>
      <c r="F41" s="28">
        <f>IF(OR(824887.0263="",912.94479="",1072.3301=""),"-",(1072.3301-912.94479)/824887.0263*100)</f>
        <v>1.9322077438278639E-2</v>
      </c>
      <c r="G41" s="28">
        <f>IF(OR(902994.52425="",1107.67103="",1072.3301=""),"-",(1107.67103-1072.3301)/902994.52425*100)</f>
        <v>3.9137479852774503E-3</v>
      </c>
    </row>
    <row r="42" spans="1:7" s="9" customFormat="1" ht="14.25" customHeight="1" x14ac:dyDescent="0.2">
      <c r="A42" s="27" t="s">
        <v>14</v>
      </c>
      <c r="B42" s="33">
        <v>653.82758000000001</v>
      </c>
      <c r="C42" s="28" t="s">
        <v>99</v>
      </c>
      <c r="D42" s="28">
        <f>IF(390.37457="","-",390.37457/902994.52425*100)</f>
        <v>4.3231111542368805E-2</v>
      </c>
      <c r="E42" s="28">
        <f>IF(653.82758="","-",653.82758/1459101.16692*100)</f>
        <v>4.4810297930208444E-2</v>
      </c>
      <c r="F42" s="28" t="str">
        <f>IF(OR(824887.0263="",""="",390.37457=""),"-",(390.37457-"")/824887.0263*100)</f>
        <v>-</v>
      </c>
      <c r="G42" s="28">
        <f>IF(OR(902994.52425="",653.82758="",390.37457=""),"-",(653.82758-390.37457)/902994.52425*100)</f>
        <v>2.9175482566609817E-2</v>
      </c>
    </row>
    <row r="43" spans="1:7" s="9" customFormat="1" ht="14.25" customHeight="1" x14ac:dyDescent="0.2">
      <c r="A43" s="27" t="s">
        <v>326</v>
      </c>
      <c r="B43" s="17">
        <v>359.70116999999999</v>
      </c>
      <c r="C43" s="28">
        <f>IF(OR(412.00028="",359.70117=""),"-",359.70117/412.00028*100)</f>
        <v>87.306049889092307</v>
      </c>
      <c r="D43" s="28">
        <f>IF(412.00028="","-",412.00028/902994.52425*100)</f>
        <v>4.5625999819012747E-2</v>
      </c>
      <c r="E43" s="28">
        <f>IF(359.70117="","-",359.70117/1459101.16692*100)</f>
        <v>2.4652243323147298E-2</v>
      </c>
      <c r="F43" s="28">
        <f>IF(OR(824887.0263="",253.48503="",412.00028=""),"-",(412.00028-253.48503)/824887.0263*100)</f>
        <v>1.9216601176407663E-2</v>
      </c>
      <c r="G43" s="28">
        <f>IF(OR(902994.52425="",359.70117="",412.00028=""),"-",(359.70117-412.00028)/902994.52425*100)</f>
        <v>-5.7917416546283094E-3</v>
      </c>
    </row>
    <row r="44" spans="1:7" s="9" customFormat="1" ht="12.75" x14ac:dyDescent="0.2">
      <c r="A44" s="27" t="s">
        <v>15</v>
      </c>
      <c r="B44" s="17">
        <v>260.08935000000002</v>
      </c>
      <c r="C44" s="28">
        <f>IF(OR(314.44387="",260.08935=""),"-",260.08935/314.44387*100)</f>
        <v>82.714078668475878</v>
      </c>
      <c r="D44" s="28">
        <f>IF(314.44387="","-",314.44387/902994.52425*100)</f>
        <v>3.4822345158866556E-2</v>
      </c>
      <c r="E44" s="28">
        <f>IF(260.08935="","-",260.08935/1459101.16692*100)</f>
        <v>1.782531300067559E-2</v>
      </c>
      <c r="F44" s="28">
        <f>IF(OR(824887.0263="",268.04648="",314.44387=""),"-",(314.44387-268.04648)/824887.0263*100)</f>
        <v>5.6246962942445335E-3</v>
      </c>
      <c r="G44" s="28">
        <f>IF(OR(902994.52425="",260.08935="",314.44387=""),"-",(260.08935-314.44387)/902994.52425*100)</f>
        <v>-6.019363189953472E-3</v>
      </c>
    </row>
    <row r="45" spans="1:7" s="7" customFormat="1" x14ac:dyDescent="0.25">
      <c r="A45" s="27" t="s">
        <v>16</v>
      </c>
      <c r="B45" s="17">
        <v>19.932179999999999</v>
      </c>
      <c r="C45" s="28">
        <f>IF(OR(136.34574="",19.93218=""),"-",19.93218/136.34574*100)</f>
        <v>14.61885057794985</v>
      </c>
      <c r="D45" s="28">
        <f>IF(136.34574="","-",136.34574/902994.52425*100)</f>
        <v>1.5099287574666597E-2</v>
      </c>
      <c r="E45" s="28">
        <f>IF(19.93218="","-",19.93218/1459101.16692*100)</f>
        <v>1.3660588074283163E-3</v>
      </c>
      <c r="F45" s="28">
        <f>IF(OR(824887.0263="",111.02349="",136.34574=""),"-",(136.34574-111.02349)/824887.0263*100)</f>
        <v>3.0697840058876934E-3</v>
      </c>
      <c r="G45" s="28">
        <f>IF(OR(902994.52425="",19.93218="",136.34574=""),"-",(19.93218-136.34574)/902994.52425*100)</f>
        <v>-1.2891945285791139E-2</v>
      </c>
    </row>
    <row r="46" spans="1:7" s="7" customFormat="1" x14ac:dyDescent="0.25">
      <c r="A46" s="25" t="s">
        <v>135</v>
      </c>
      <c r="B46" s="16">
        <v>309730.37920000002</v>
      </c>
      <c r="C46" s="26" t="s">
        <v>198</v>
      </c>
      <c r="D46" s="26">
        <f>IF(176783.8901="","-",176783.8901/902994.52425*100)</f>
        <v>19.577515184472613</v>
      </c>
      <c r="E46" s="26">
        <f>IF(309730.3792="","-",309730.3792/1459101.16692*100)</f>
        <v>21.227477999610294</v>
      </c>
      <c r="F46" s="26">
        <f>IF(824887.0263="","-",(176783.8901-166351.26498)/824887.0263*100)</f>
        <v>1.2647338104946484</v>
      </c>
      <c r="G46" s="26">
        <f>IF(902994.52425="","-",(309730.3792-176783.8901)/902994.52425*100)</f>
        <v>14.722845546646186</v>
      </c>
    </row>
    <row r="47" spans="1:7" s="10" customFormat="1" x14ac:dyDescent="0.25">
      <c r="A47" s="27" t="s">
        <v>54</v>
      </c>
      <c r="B47" s="78">
        <v>147485.96703999999</v>
      </c>
      <c r="C47" s="28" t="s">
        <v>99</v>
      </c>
      <c r="D47" s="28">
        <f>IF(88013.51097="","-",88013.51097/902994.52425*100)</f>
        <v>9.7468488021122131</v>
      </c>
      <c r="E47" s="28">
        <f>IF(147485.96704="","-",147485.96704/1459101.16692*100)</f>
        <v>10.108001445254576</v>
      </c>
      <c r="F47" s="28">
        <f>IF(OR(824887.0263="",52061.00263="",88013.51097=""),"-",(88013.51097-52061.00263)/824887.0263*100)</f>
        <v>4.3584766390694289</v>
      </c>
      <c r="G47" s="28">
        <f>IF(OR(902994.52425="",147485.96704="",88013.51097=""),"-",(147485.96704-88013.51097)/902994.52425*100)</f>
        <v>6.5861369557468814</v>
      </c>
    </row>
    <row r="48" spans="1:7" s="7" customFormat="1" x14ac:dyDescent="0.25">
      <c r="A48" s="27" t="s">
        <v>311</v>
      </c>
      <c r="B48" s="17">
        <v>41485.9018</v>
      </c>
      <c r="C48" s="28" t="s">
        <v>358</v>
      </c>
      <c r="D48" s="28">
        <f>IF(12362.38882="","-",12362.38882/902994.52425*100)</f>
        <v>1.3690436085720261</v>
      </c>
      <c r="E48" s="28">
        <f>IF(41485.9018="","-",41485.9018/1459101.16692*100)</f>
        <v>2.843250539479186</v>
      </c>
      <c r="F48" s="28">
        <f>IF(OR(824887.0263="",31804.15603="",12362.38882=""),"-",(12362.38882-31804.15603)/824887.0263*100)</f>
        <v>-2.3569005924611663</v>
      </c>
      <c r="G48" s="28">
        <f>IF(OR(902994.52425="",41485.9018="",12362.38882=""),"-",(41485.9018-12362.38882)/902994.52425*100)</f>
        <v>3.2252147934328956</v>
      </c>
    </row>
    <row r="49" spans="1:7" s="12" customFormat="1" ht="25.5" x14ac:dyDescent="0.25">
      <c r="A49" s="27" t="s">
        <v>312</v>
      </c>
      <c r="B49" s="78">
        <v>28066.913359999999</v>
      </c>
      <c r="C49" s="28" t="s">
        <v>101</v>
      </c>
      <c r="D49" s="28">
        <f>IF(14462.75552="","-",14462.75552/902994.52425*100)</f>
        <v>1.6016437676642976</v>
      </c>
      <c r="E49" s="28">
        <f>IF(28066.91336="","-",28066.91336/1459101.16692*100)</f>
        <v>1.9235755543425497</v>
      </c>
      <c r="F49" s="28">
        <f>IF(OR(824887.0263="",12561.24668="",14462.75552=""),"-",(14462.75552-12561.24668)/824887.0263*100)</f>
        <v>0.23051748656166254</v>
      </c>
      <c r="G49" s="28">
        <f>IF(OR(902994.52425="",28066.91336="",14462.75552=""),"-",(28066.91336-14462.75552)/902994.52425*100)</f>
        <v>1.506560391526095</v>
      </c>
    </row>
    <row r="50" spans="1:7" s="10" customFormat="1" x14ac:dyDescent="0.25">
      <c r="A50" s="27" t="s">
        <v>17</v>
      </c>
      <c r="B50" s="78">
        <v>13829.20966</v>
      </c>
      <c r="C50" s="28" t="s">
        <v>101</v>
      </c>
      <c r="D50" s="28">
        <f>IF(7408.27793="","-",7408.27793/902994.52425*100)</f>
        <v>0.82041227616004553</v>
      </c>
      <c r="E50" s="28">
        <f>IF(13829.20966="","-",13829.20966/1459101.16692*100)</f>
        <v>0.94778963745138534</v>
      </c>
      <c r="F50" s="28">
        <f>IF(OR(824887.0263="",7777.63209="",7408.27793=""),"-",(7408.27793-7777.63209)/824887.0263*100)</f>
        <v>-4.4776332785439014E-2</v>
      </c>
      <c r="G50" s="28">
        <f>IF(OR(902994.52425="",13829.20966="",7408.27793=""),"-",(13829.20966-7408.27793)/902994.52425*100)</f>
        <v>0.7110709486674941</v>
      </c>
    </row>
    <row r="51" spans="1:7" s="7" customFormat="1" x14ac:dyDescent="0.25">
      <c r="A51" s="27" t="s">
        <v>58</v>
      </c>
      <c r="B51" s="78">
        <v>12994.017390000001</v>
      </c>
      <c r="C51" s="28">
        <f>IF(OR(9230.94662="",12994.01739=""),"-",12994.01739/9230.94662*100)</f>
        <v>140.76581660484132</v>
      </c>
      <c r="D51" s="28">
        <f>IF(9230.94662="","-",9230.94662/902994.52425*100)</f>
        <v>1.0222594237398002</v>
      </c>
      <c r="E51" s="28">
        <f>IF(12994.01739="","-",12994.01739/1459101.16692*100)</f>
        <v>0.89054944815299708</v>
      </c>
      <c r="F51" s="28">
        <f>IF(OR(824887.0263="",6499.03867="",9230.94662=""),"-",(9230.94662-6499.03867)/824887.0263*100)</f>
        <v>0.33118570942421921</v>
      </c>
      <c r="G51" s="28">
        <f>IF(OR(902994.52425="",12994.01739="",9230.94662=""),"-",(12994.01739-9230.94662)/902994.52425*100)</f>
        <v>0.41673240190747479</v>
      </c>
    </row>
    <row r="52" spans="1:7" s="7" customFormat="1" x14ac:dyDescent="0.25">
      <c r="A52" s="27" t="s">
        <v>64</v>
      </c>
      <c r="B52" s="78">
        <v>5690.1144100000001</v>
      </c>
      <c r="C52" s="28" t="s">
        <v>198</v>
      </c>
      <c r="D52" s="28">
        <f>IF(3080.99824="","-",3080.99824/902994.52425*100)</f>
        <v>0.3411978873912867</v>
      </c>
      <c r="E52" s="28">
        <f>IF(5690.11441="","-",5690.11441/1459101.16692*100)</f>
        <v>0.3899739469067246</v>
      </c>
      <c r="F52" s="28">
        <f>IF(OR(824887.0263="",3124.26661="",3080.99824=""),"-",(3080.99824-3124.26661)/824887.0263*100)</f>
        <v>-5.2453691985045381E-3</v>
      </c>
      <c r="G52" s="28">
        <f>IF(OR(902994.52425="",5690.11441="",3080.99824=""),"-",(5690.11441-3080.99824)/902994.52425*100)</f>
        <v>0.28894041989535352</v>
      </c>
    </row>
    <row r="53" spans="1:7" s="12" customFormat="1" x14ac:dyDescent="0.25">
      <c r="A53" s="27" t="s">
        <v>66</v>
      </c>
      <c r="B53" s="17">
        <v>5261.6253399999996</v>
      </c>
      <c r="C53" s="28">
        <f>IF(OR(3610.89071="",5261.62534=""),"-",5261.62534/3610.89071*100)</f>
        <v>145.71544149559705</v>
      </c>
      <c r="D53" s="28">
        <f>IF(3610.89071="","-",3610.89071/902994.52425*100)</f>
        <v>0.39987957988993306</v>
      </c>
      <c r="E53" s="28">
        <f>IF(5261.62534="","-",5261.62534/1459101.16692*100)</f>
        <v>0.36060730121316431</v>
      </c>
      <c r="F53" s="28">
        <f>IF(OR(824887.0263="",2051.45781="",3610.89071=""),"-",(3610.89071-2051.45781)/824887.0263*100)</f>
        <v>0.18904805752549877</v>
      </c>
      <c r="G53" s="28">
        <f>IF(OR(902994.52425="",5261.62534="",3610.89071=""),"-",(5261.62534-3610.89071)/902994.52425*100)</f>
        <v>0.18280671539742169</v>
      </c>
    </row>
    <row r="54" spans="1:7" s="7" customFormat="1" x14ac:dyDescent="0.25">
      <c r="A54" s="27" t="s">
        <v>61</v>
      </c>
      <c r="B54" s="17">
        <v>4470.6858300000004</v>
      </c>
      <c r="C54" s="28" t="s">
        <v>296</v>
      </c>
      <c r="D54" s="28">
        <f>IF(1485.71277="","-",1485.71277/902994.52425*100)</f>
        <v>0.16453175851027318</v>
      </c>
      <c r="E54" s="28">
        <f>IF(4470.68583="","-",4470.68583/1459101.16692*100)</f>
        <v>0.30639999003202223</v>
      </c>
      <c r="F54" s="28">
        <f>IF(OR(824887.0263="",85.11492="",1485.71277=""),"-",(1485.71277-85.11492)/824887.0263*100)</f>
        <v>0.16979268740379266</v>
      </c>
      <c r="G54" s="28">
        <f>IF(OR(902994.52425="",4470.68583="",1485.71277=""),"-",(4470.68583-1485.71277)/902994.52425*100)</f>
        <v>0.33056380518799144</v>
      </c>
    </row>
    <row r="55" spans="1:7" s="10" customFormat="1" x14ac:dyDescent="0.25">
      <c r="A55" s="27" t="s">
        <v>56</v>
      </c>
      <c r="B55" s="17">
        <v>4120.1250099999997</v>
      </c>
      <c r="C55" s="28">
        <f>IF(OR(6960.69431="",4120.12501=""),"-",4120.12501/6960.69431*100)</f>
        <v>59.191293662772559</v>
      </c>
      <c r="D55" s="28">
        <f>IF(6960.69431="","-",6960.69431/902994.52425*100)</f>
        <v>0.77084568323172753</v>
      </c>
      <c r="E55" s="28">
        <f>IF(4120.12501="","-",4120.12501/1459101.16692*100)</f>
        <v>0.2823741837378641</v>
      </c>
      <c r="F55" s="28">
        <f>IF(OR(824887.0263="",6368.53897="",6960.69431=""),"-",(6960.69431-6368.53897)/824887.0263*100)</f>
        <v>7.1786235098894813E-2</v>
      </c>
      <c r="G55" s="28">
        <f>IF(OR(902994.52425="",4120.12501="",6960.69431=""),"-",(4120.12501-6960.69431)/902994.52425*100)</f>
        <v>-0.31457215118323018</v>
      </c>
    </row>
    <row r="56" spans="1:7" s="7" customFormat="1" x14ac:dyDescent="0.25">
      <c r="A56" s="27" t="s">
        <v>55</v>
      </c>
      <c r="B56" s="17">
        <v>3623.9843599999999</v>
      </c>
      <c r="C56" s="28">
        <f>IF(OR(2362.09707="",3623.98436=""),"-",3623.98436/2362.09707*100)</f>
        <v>153.42232992990421</v>
      </c>
      <c r="D56" s="28">
        <f>IF(2362.09707="","-",2362.09707/902994.52425*100)</f>
        <v>0.26158487195278246</v>
      </c>
      <c r="E56" s="28">
        <f>IF(3623.98436="","-",3623.98436/1459101.16692*100)</f>
        <v>0.248371013755669</v>
      </c>
      <c r="F56" s="28">
        <f>IF(OR(824887.0263="",2806.63124="",2362.09707=""),"-",(2362.09707-2806.63124)/824887.0263*100)</f>
        <v>-5.3890309318348935E-2</v>
      </c>
      <c r="G56" s="28">
        <f>IF(OR(902994.52425="",3623.98436="",2362.09707=""),"-",(3623.98436-2362.09707)/902994.52425*100)</f>
        <v>0.13974473334133289</v>
      </c>
    </row>
    <row r="57" spans="1:7" s="10" customFormat="1" x14ac:dyDescent="0.25">
      <c r="A57" s="27" t="s">
        <v>355</v>
      </c>
      <c r="B57" s="17">
        <v>3271.9084600000001</v>
      </c>
      <c r="C57" s="28" t="s">
        <v>330</v>
      </c>
      <c r="D57" s="28">
        <f>IF(1133.14176="","-",1133.14176/902994.52425*100)</f>
        <v>0.1254871131074857</v>
      </c>
      <c r="E57" s="28">
        <f>IF(3271.90846="","-",3271.90846/1459101.16692*100)</f>
        <v>0.22424137093294458</v>
      </c>
      <c r="F57" s="28">
        <f>IF(OR(824887.0263="",1841.55709="",1133.14176=""),"-",(1133.14176-1841.55709)/824887.0263*100)</f>
        <v>-8.588028510735228E-2</v>
      </c>
      <c r="G57" s="28">
        <f>IF(OR(902994.52425="",3271.90846="",1133.14176=""),"-",(3271.90846-1133.14176)/902994.52425*100)</f>
        <v>0.23685267657369188</v>
      </c>
    </row>
    <row r="58" spans="1:7" s="7" customFormat="1" x14ac:dyDescent="0.25">
      <c r="A58" s="27" t="s">
        <v>60</v>
      </c>
      <c r="B58" s="78">
        <v>2459.6213200000002</v>
      </c>
      <c r="C58" s="28">
        <f>IF(OR(1705.23534="",2459.62132=""),"-",2459.62132/1705.23534*100)</f>
        <v>144.23940568813219</v>
      </c>
      <c r="D58" s="28">
        <f>IF(1705.23534="","-",1705.23534/902994.52425*100)</f>
        <v>0.18884226805431814</v>
      </c>
      <c r="E58" s="28">
        <f>IF(2459.62132="","-",2459.62132/1459101.16692*100)</f>
        <v>0.1685709925921029</v>
      </c>
      <c r="F58" s="28">
        <f>IF(OR(824887.0263="",1960.43088="",1705.23534=""),"-",(1705.23534-1960.43088)/824887.0263*100)</f>
        <v>-3.0937029176549183E-2</v>
      </c>
      <c r="G58" s="28">
        <f>IF(OR(902994.52425="",2459.62132="",1705.23534=""),"-",(2459.62132-1705.23534)/902994.52425*100)</f>
        <v>8.3542697075219857E-2</v>
      </c>
    </row>
    <row r="59" spans="1:7" s="10" customFormat="1" x14ac:dyDescent="0.25">
      <c r="A59" s="27" t="s">
        <v>57</v>
      </c>
      <c r="B59" s="17">
        <v>2390.2117199999998</v>
      </c>
      <c r="C59" s="28">
        <f>IF(OR(4614.45044="",2390.21172=""),"-",2390.21172/4614.45044*100)</f>
        <v>51.798404838865274</v>
      </c>
      <c r="D59" s="28">
        <f>IF(4614.45044="","-",4614.45044/902994.52425*100)</f>
        <v>0.51101643654291506</v>
      </c>
      <c r="E59" s="28">
        <f>IF(2390.21172="","-",2390.21172/1459101.16692*100)</f>
        <v>0.16381398179849793</v>
      </c>
      <c r="F59" s="28">
        <f>IF(OR(824887.0263="",3650.57085="",4614.45044=""),"-",(4614.45044-3650.57085)/824887.0263*100)</f>
        <v>0.11684989086607961</v>
      </c>
      <c r="G59" s="28">
        <f>IF(OR(902994.52425="",2390.21172="",4614.45044=""),"-",(2390.21172-4614.45044)/902994.52425*100)</f>
        <v>-0.24631807394927288</v>
      </c>
    </row>
    <row r="60" spans="1:7" s="7" customFormat="1" x14ac:dyDescent="0.25">
      <c r="A60" s="27" t="s">
        <v>116</v>
      </c>
      <c r="B60" s="78">
        <v>2259.4865599999998</v>
      </c>
      <c r="C60" s="28" t="str">
        <f>IF(OR(""="",2259.48656=""),"-",2259.48656/""*100)</f>
        <v>-</v>
      </c>
      <c r="D60" s="28" t="str">
        <f>IF(""="","-",""/902994.52425*100)</f>
        <v>-</v>
      </c>
      <c r="E60" s="28">
        <f>IF(2259.48656="","-",2259.48656/1459101.16692*100)</f>
        <v>0.1548546880247875</v>
      </c>
      <c r="F60" s="28" t="str">
        <f>IF(OR(824887.0263="",2918.2464="",""=""),"-",(""-2918.2464)/824887.0263*100)</f>
        <v>-</v>
      </c>
      <c r="G60" s="28" t="str">
        <f>IF(OR(902994.52425="",2259.48656="",""=""),"-",(2259.48656-"")/902994.52425*100)</f>
        <v>-</v>
      </c>
    </row>
    <row r="61" spans="1:7" s="7" customFormat="1" x14ac:dyDescent="0.25">
      <c r="A61" s="27" t="s">
        <v>65</v>
      </c>
      <c r="B61" s="17">
        <v>1953.3092999999999</v>
      </c>
      <c r="C61" s="28" t="s">
        <v>359</v>
      </c>
      <c r="D61" s="28">
        <f>IF(133.19958="","-",133.19958/902994.52425*100)</f>
        <v>1.4750873501766971E-2</v>
      </c>
      <c r="E61" s="28">
        <f>IF(1953.3093="","-",1953.3093/1459101.16692*100)</f>
        <v>0.13387072427083435</v>
      </c>
      <c r="F61" s="28">
        <f>IF(OR(824887.0263="",1515.65933="",133.19958=""),"-",(133.19958-1515.65933)/824887.0263*100)</f>
        <v>-0.1675938287211246</v>
      </c>
      <c r="G61" s="28">
        <f>IF(OR(902994.52425="",1953.3093="",133.19958=""),"-",(1953.3093-133.19958)/902994.52425*100)</f>
        <v>0.20156376047924854</v>
      </c>
    </row>
    <row r="62" spans="1:7" s="10" customFormat="1" x14ac:dyDescent="0.25">
      <c r="A62" s="27" t="s">
        <v>81</v>
      </c>
      <c r="B62" s="78">
        <v>1755.42677</v>
      </c>
      <c r="C62" s="28" t="s">
        <v>360</v>
      </c>
      <c r="D62" s="28">
        <f>IF(26.13794="","-",26.13794/902994.52425*100)</f>
        <v>2.8945845515186688E-3</v>
      </c>
      <c r="E62" s="28">
        <f>IF(1755.42677="","-",1755.42677/1459101.16692*100)</f>
        <v>0.12030877706070994</v>
      </c>
      <c r="F62" s="28">
        <f>IF(OR(824887.0263="",19.39621="",26.13794=""),"-",(26.13794-19.39621)/824887.0263*100)</f>
        <v>8.1729131202848209E-4</v>
      </c>
      <c r="G62" s="28">
        <f>IF(OR(902994.52425="",1755.42677="",26.13794=""),"-",(1755.42677-26.13794)/902994.52425*100)</f>
        <v>0.19150601510416634</v>
      </c>
    </row>
    <row r="63" spans="1:7" s="12" customFormat="1" x14ac:dyDescent="0.25">
      <c r="A63" s="27" t="s">
        <v>87</v>
      </c>
      <c r="B63" s="78">
        <v>1579.2288799999999</v>
      </c>
      <c r="C63" s="28" t="s">
        <v>361</v>
      </c>
      <c r="D63" s="28">
        <f>IF(196.21936="","-",196.21936/902994.52425*100)</f>
        <v>2.1729850484195779E-2</v>
      </c>
      <c r="E63" s="28">
        <f>IF(1579.22888="","-",1579.22888/1459101.16692*100)</f>
        <v>0.10823299410647283</v>
      </c>
      <c r="F63" s="28">
        <f>IF(OR(824887.0263="",32.50811="",196.21936=""),"-",(196.21936-32.50811)/824887.0263*100)</f>
        <v>1.9846505615965463E-2</v>
      </c>
      <c r="G63" s="28">
        <f>IF(OR(902994.52425="",1579.22888="",196.21936=""),"-",(1579.22888-196.21936)/902994.52425*100)</f>
        <v>0.1531581291867396</v>
      </c>
    </row>
    <row r="64" spans="1:7" s="7" customFormat="1" x14ac:dyDescent="0.25">
      <c r="A64" s="27" t="s">
        <v>34</v>
      </c>
      <c r="B64" s="17">
        <v>1413.9964399999999</v>
      </c>
      <c r="C64" s="28" t="s">
        <v>347</v>
      </c>
      <c r="D64" s="28">
        <f>IF(404.56601="","-",404.56601/902994.52425*100)</f>
        <v>4.4802709112330481E-2</v>
      </c>
      <c r="E64" s="28">
        <f>IF(1413.99644="","-",1413.99644/1459101.16692*100)</f>
        <v>9.6908732037051887E-2</v>
      </c>
      <c r="F64" s="28">
        <f>IF(OR(824887.0263="",198.17559="",404.56601=""),"-",(404.56601-198.17559)/824887.0263*100)</f>
        <v>2.5020446851462382E-2</v>
      </c>
      <c r="G64" s="28">
        <f>IF(OR(902994.52425="",1413.99644="",404.56601=""),"-",(1413.99644-404.56601)/902994.52425*100)</f>
        <v>0.11178699348574704</v>
      </c>
    </row>
    <row r="65" spans="1:7" s="7" customFormat="1" x14ac:dyDescent="0.25">
      <c r="A65" s="27" t="s">
        <v>122</v>
      </c>
      <c r="B65" s="78">
        <v>1318.5297</v>
      </c>
      <c r="C65" s="28" t="s">
        <v>99</v>
      </c>
      <c r="D65" s="28">
        <f>IF(763.86197="","-",763.86197/902994.52425*100)</f>
        <v>8.4592093250448086E-2</v>
      </c>
      <c r="E65" s="28">
        <f>IF(1318.5297="","-",1318.5297/1459101.16692*100)</f>
        <v>9.0365886197135287E-2</v>
      </c>
      <c r="F65" s="28">
        <f>IF(OR(824887.0263="",437.16982="",763.86197=""),"-",(763.86197-437.16982)/824887.0263*100)</f>
        <v>3.9604471834811791E-2</v>
      </c>
      <c r="G65" s="28">
        <f>IF(OR(902994.52425="",1318.5297="",763.86197=""),"-",(1318.5297-763.86197)/902994.52425*100)</f>
        <v>6.1425370265748874E-2</v>
      </c>
    </row>
    <row r="66" spans="1:7" s="7" customFormat="1" x14ac:dyDescent="0.25">
      <c r="A66" s="27" t="s">
        <v>72</v>
      </c>
      <c r="B66" s="17">
        <v>1223.34834</v>
      </c>
      <c r="C66" s="28" t="s">
        <v>341</v>
      </c>
      <c r="D66" s="28">
        <f>IF(286.26649="","-",286.26649/902994.52425*100)</f>
        <v>3.1701907632027369E-2</v>
      </c>
      <c r="E66" s="28">
        <f>IF(1223.34834="","-",1223.34834/1459101.16692*100)</f>
        <v>8.3842598973610044E-2</v>
      </c>
      <c r="F66" s="28">
        <f>IF(OR(824887.0263="",151.7808="",286.26649=""),"-",(286.26649-151.7808)/824887.0263*100)</f>
        <v>1.6303528327173543E-2</v>
      </c>
      <c r="G66" s="28">
        <f>IF(OR(902994.52425="",1223.34834="",286.26649=""),"-",(1223.34834-286.26649)/902994.52425*100)</f>
        <v>0.10377492053767567</v>
      </c>
    </row>
    <row r="67" spans="1:7" s="7" customFormat="1" x14ac:dyDescent="0.25">
      <c r="A67" s="27" t="s">
        <v>78</v>
      </c>
      <c r="B67" s="17">
        <v>1041.77268</v>
      </c>
      <c r="C67" s="28" t="s">
        <v>362</v>
      </c>
      <c r="D67" s="28">
        <f>IF(9.75744="","-",9.75744/902994.52425*100)</f>
        <v>1.0805646920289175E-3</v>
      </c>
      <c r="E67" s="28">
        <f>IF(1041.77268="","-",1041.77268/1459101.16692*100)</f>
        <v>7.1398248703965203E-2</v>
      </c>
      <c r="F67" s="28">
        <f>IF(OR(824887.0263="",4.91="",9.75744=""),"-",(9.75744-4.91)/824887.0263*100)</f>
        <v>5.8764895621440569E-4</v>
      </c>
      <c r="G67" s="28">
        <f>IF(OR(902994.52425="",1041.77268="",9.75744=""),"-",(1041.77268-9.75744)/902994.52425*100)</f>
        <v>0.11428809503104803</v>
      </c>
    </row>
    <row r="68" spans="1:7" s="7" customFormat="1" x14ac:dyDescent="0.25">
      <c r="A68" s="27" t="s">
        <v>37</v>
      </c>
      <c r="B68" s="17">
        <v>984.95836999999995</v>
      </c>
      <c r="C68" s="28" t="s">
        <v>91</v>
      </c>
      <c r="D68" s="28">
        <f>IF(465.29105="","-",465.29105/902994.52425*100)</f>
        <v>5.1527560522745881E-2</v>
      </c>
      <c r="E68" s="28">
        <f>IF(984.95837="","-",984.95837/1459101.16692*100)</f>
        <v>6.7504460439788236E-2</v>
      </c>
      <c r="F68" s="28">
        <f>IF(OR(824887.0263="",1309.92535="",465.29105=""),"-",(465.29105-1309.92535)/824887.0263*100)</f>
        <v>-0.10239393675380926</v>
      </c>
      <c r="G68" s="28">
        <f>IF(OR(902994.52425="",984.95837="",465.29105=""),"-",(984.95837-465.29105)/902994.52425*100)</f>
        <v>5.7549332365179062E-2</v>
      </c>
    </row>
    <row r="69" spans="1:7" s="7" customFormat="1" x14ac:dyDescent="0.25">
      <c r="A69" s="27" t="s">
        <v>73</v>
      </c>
      <c r="B69" s="78">
        <v>980.96627000000001</v>
      </c>
      <c r="C69" s="28">
        <f>IF(OR(753.06864="",980.96627=""),"-",980.96627/753.06864*100)</f>
        <v>130.26253091617255</v>
      </c>
      <c r="D69" s="28">
        <f>IF(753.06864="","-",753.06864/902994.52425*100)</f>
        <v>8.3396811362225709E-2</v>
      </c>
      <c r="E69" s="28">
        <f>IF(980.96627="","-",980.96627/1459101.16692*100)</f>
        <v>6.7230860494115738E-2</v>
      </c>
      <c r="F69" s="28">
        <f>IF(OR(824887.0263="",613.88166="",753.06864=""),"-",(753.06864-613.88166)/824887.0263*100)</f>
        <v>1.6873459705666359E-2</v>
      </c>
      <c r="G69" s="28">
        <f>IF(OR(902994.52425="",980.96627="",753.06864=""),"-",(980.96627-753.06864)/902994.52425*100)</f>
        <v>2.5237985821595643E-2</v>
      </c>
    </row>
    <row r="70" spans="1:7" s="7" customFormat="1" x14ac:dyDescent="0.25">
      <c r="A70" s="27" t="s">
        <v>75</v>
      </c>
      <c r="B70" s="78">
        <v>795.28867000000002</v>
      </c>
      <c r="C70" s="28" t="s">
        <v>363</v>
      </c>
      <c r="D70" s="28">
        <f>IF(46.90293="","-",46.90293/902994.52425*100)</f>
        <v>5.194154420698858E-3</v>
      </c>
      <c r="E70" s="28">
        <f>IF(795.28867="","-",795.28867/1459101.16692*100)</f>
        <v>5.4505382356643976E-2</v>
      </c>
      <c r="F70" s="28">
        <f>IF(OR(824887.0263="",67.26986="",46.90293=""),"-",(46.90293-67.26986)/824887.0263*100)</f>
        <v>-2.4690568951429752E-3</v>
      </c>
      <c r="G70" s="28">
        <f>IF(OR(902994.52425="",795.28867="",46.90293=""),"-",(795.28867-46.90293)/902994.52425*100)</f>
        <v>8.2878214640513648E-2</v>
      </c>
    </row>
    <row r="71" spans="1:7" s="7" customFormat="1" x14ac:dyDescent="0.25">
      <c r="A71" s="27" t="s">
        <v>313</v>
      </c>
      <c r="B71" s="17">
        <v>774.24105999999995</v>
      </c>
      <c r="C71" s="28">
        <f>IF(OR(638.31669="",774.24106=""),"-",774.24106/638.31669*100)</f>
        <v>121.2941901926456</v>
      </c>
      <c r="D71" s="28">
        <f>IF(638.31669="","-",638.31669/902994.52425*100)</f>
        <v>7.068887715904662E-2</v>
      </c>
      <c r="E71" s="28">
        <f>IF(774.24106="","-",774.24106/1459101.16692*100)</f>
        <v>5.3062877170767846E-2</v>
      </c>
      <c r="F71" s="28">
        <f>IF(OR(824887.0263="",642.60593="",638.31669=""),"-",(638.31669-642.60593)/824887.0263*100)</f>
        <v>-5.1997908358907951E-4</v>
      </c>
      <c r="G71" s="28">
        <f>IF(OR(902994.52425="",774.24106="",638.31669=""),"-",(774.24106-638.31669)/902994.52425*100)</f>
        <v>1.5052623947292995E-2</v>
      </c>
    </row>
    <row r="72" spans="1:7" s="7" customFormat="1" x14ac:dyDescent="0.25">
      <c r="A72" s="27" t="s">
        <v>74</v>
      </c>
      <c r="B72" s="78">
        <v>732.48387000000002</v>
      </c>
      <c r="C72" s="28">
        <f>IF(OR(857.53751="",732.48387=""),"-",732.48387/857.53751*100)</f>
        <v>85.417123036402216</v>
      </c>
      <c r="D72" s="28">
        <f>IF(857.53751="","-",857.53751/902994.52425*100)</f>
        <v>9.4965970110643227E-2</v>
      </c>
      <c r="E72" s="28">
        <f>IF(732.48387="","-",732.48387/1459101.16692*100)</f>
        <v>5.0201033801253951E-2</v>
      </c>
      <c r="F72" s="28">
        <f>IF(OR(824887.0263="",427.57781="",857.53751=""),"-",(857.53751-427.57781)/824887.0263*100)</f>
        <v>5.2123464946293087E-2</v>
      </c>
      <c r="G72" s="28">
        <f>IF(OR(902994.52425="",732.48387="",857.53751=""),"-",(732.48387-857.53751)/902994.52425*100)</f>
        <v>-1.3848770578522141E-2</v>
      </c>
    </row>
    <row r="73" spans="1:7" x14ac:dyDescent="0.25">
      <c r="A73" s="27" t="s">
        <v>98</v>
      </c>
      <c r="B73" s="17">
        <v>647.79191000000003</v>
      </c>
      <c r="C73" s="28" t="s">
        <v>364</v>
      </c>
      <c r="D73" s="28">
        <f>IF(169.69425="","-",169.69425/902994.52425*100)</f>
        <v>1.8792389703685405E-2</v>
      </c>
      <c r="E73" s="28">
        <f>IF(647.79191="","-",647.79191/1459101.16692*100)</f>
        <v>4.4396641212166021E-2</v>
      </c>
      <c r="F73" s="28">
        <f>IF(OR(824887.0263="",146.13724="",169.69425=""),"-",(169.69425-146.13724)/824887.0263*100)</f>
        <v>2.8557862166488555E-3</v>
      </c>
      <c r="G73" s="28">
        <f>IF(OR(902994.52425="",647.79191="",169.69425=""),"-",(647.79191-169.69425)/902994.52425*100)</f>
        <v>5.2945798358754563E-2</v>
      </c>
    </row>
    <row r="74" spans="1:7" x14ac:dyDescent="0.25">
      <c r="A74" s="27" t="s">
        <v>92</v>
      </c>
      <c r="B74" s="78">
        <v>621.85628999999994</v>
      </c>
      <c r="C74" s="28" t="s">
        <v>302</v>
      </c>
      <c r="D74" s="28">
        <f>IF(168.99048="","-",168.99048/902994.52425*100)</f>
        <v>1.8714452354000526E-2</v>
      </c>
      <c r="E74" s="28">
        <f>IF(621.85629="","-",621.85629/1459101.16692*100)</f>
        <v>4.2619134580823434E-2</v>
      </c>
      <c r="F74" s="28">
        <f>IF(OR(824887.0263="",159.60595="",168.99048=""),"-",(168.99048-159.60595)/824887.0263*100)</f>
        <v>1.137674578553374E-3</v>
      </c>
      <c r="G74" s="28">
        <f>IF(OR(902994.52425="",621.85629="",168.99048=""),"-",(621.85629-168.99048)/902994.52425*100)</f>
        <v>5.0151556608400989E-2</v>
      </c>
    </row>
    <row r="75" spans="1:7" x14ac:dyDescent="0.25">
      <c r="A75" s="27" t="s">
        <v>69</v>
      </c>
      <c r="B75" s="78">
        <v>453.97800000000001</v>
      </c>
      <c r="C75" s="28" t="s">
        <v>91</v>
      </c>
      <c r="D75" s="28">
        <f>IF(217.04541="","-",217.04541/902994.52425*100)</f>
        <v>2.4036182299141999E-2</v>
      </c>
      <c r="E75" s="28">
        <f>IF(453.978="","-",453.978/1459101.16692*100)</f>
        <v>3.1113538272215694E-2</v>
      </c>
      <c r="F75" s="28">
        <f>IF(OR(824887.0263="",309.28081="",217.04541=""),"-",(217.04541-309.28081)/824887.0263*100)</f>
        <v>-1.1181579665971766E-2</v>
      </c>
      <c r="G75" s="28">
        <f>IF(OR(902994.52425="",453.978="",217.04541=""),"-",(453.978-217.04541)/902994.52425*100)</f>
        <v>2.6238541169093917E-2</v>
      </c>
    </row>
    <row r="76" spans="1:7" x14ac:dyDescent="0.25">
      <c r="A76" s="27" t="s">
        <v>103</v>
      </c>
      <c r="B76" s="78">
        <v>355.74702000000002</v>
      </c>
      <c r="C76" s="28" t="s">
        <v>365</v>
      </c>
      <c r="D76" s="28">
        <f>IF(60.3741="","-",60.3741/902994.52425*100)</f>
        <v>6.6859873873703615E-3</v>
      </c>
      <c r="E76" s="28">
        <f>IF(355.74702="","-",355.74702/1459101.16692*100)</f>
        <v>2.4381244293769044E-2</v>
      </c>
      <c r="F76" s="28">
        <f>IF(OR(824887.0263="",85.0699="",60.3741=""),"-",(60.3741-85.0699)/824887.0263*100)</f>
        <v>-2.9938402729852713E-3</v>
      </c>
      <c r="G76" s="28">
        <f>IF(OR(902994.52425="",355.74702="",60.3741=""),"-",(355.74702-60.3741)/902994.52425*100)</f>
        <v>3.2710377756202655E-2</v>
      </c>
    </row>
    <row r="77" spans="1:7" x14ac:dyDescent="0.25">
      <c r="A77" s="27" t="s">
        <v>36</v>
      </c>
      <c r="B77" s="17">
        <v>318.81605000000002</v>
      </c>
      <c r="C77" s="28">
        <f>IF(OR(211.57198="",318.81605=""),"-",318.81605/211.57198*100)</f>
        <v>150.68916498300013</v>
      </c>
      <c r="D77" s="28">
        <f>IF(211.57198="","-",211.57198/902994.52425*100)</f>
        <v>2.3430040196060466E-2</v>
      </c>
      <c r="E77" s="28">
        <f>IF(318.81605="","-",318.81605/1459101.16692*100)</f>
        <v>2.185016757083302E-2</v>
      </c>
      <c r="F77" s="28">
        <f>IF(OR(824887.0263="",191.17765="",211.57198=""),"-",(211.57198-191.17765)/824887.0263*100)</f>
        <v>2.4723785621260166E-3</v>
      </c>
      <c r="G77" s="28">
        <f>IF(OR(902994.52425="",318.81605="",211.57198=""),"-",(318.81605-211.57198)/902994.52425*100)</f>
        <v>1.1876491730564336E-2</v>
      </c>
    </row>
    <row r="78" spans="1:7" x14ac:dyDescent="0.25">
      <c r="A78" s="27" t="s">
        <v>207</v>
      </c>
      <c r="B78" s="17">
        <v>280.82664999999997</v>
      </c>
      <c r="C78" s="28" t="s">
        <v>295</v>
      </c>
      <c r="D78" s="28">
        <f>IF(66.36672="","-",66.36672/902994.52425*100)</f>
        <v>7.3496259631388346E-3</v>
      </c>
      <c r="E78" s="28">
        <f>IF(280.82665="","-",280.82665/1459101.16692*100)</f>
        <v>1.9246550984041343E-2</v>
      </c>
      <c r="F78" s="28">
        <f>IF(OR(824887.0263="",71.04353="",66.36672=""),"-",(66.36672-71.04353)/824887.0263*100)</f>
        <v>-5.6696369937804211E-4</v>
      </c>
      <c r="G78" s="28">
        <f>IF(OR(902994.52425="",280.82665="",66.36672=""),"-",(280.82665-66.36672)/902994.52425*100)</f>
        <v>2.374985941117682E-2</v>
      </c>
    </row>
    <row r="79" spans="1:7" x14ac:dyDescent="0.25">
      <c r="A79" s="27" t="s">
        <v>138</v>
      </c>
      <c r="B79" s="17">
        <v>271.03735</v>
      </c>
      <c r="C79" s="28">
        <f>IF(OR(314.57897="",271.03735=""),"-",271.03735/314.57897*100)</f>
        <v>86.158763251084451</v>
      </c>
      <c r="D79" s="28">
        <f>IF(314.57897="","-",314.57897/902994.52425*100)</f>
        <v>3.4837306489901458E-2</v>
      </c>
      <c r="E79" s="28">
        <f>IF(271.03735="","-",271.03735/1459101.16692*100)</f>
        <v>1.8575637943743797E-2</v>
      </c>
      <c r="F79" s="28">
        <f>IF(OR(824887.0263="",42.13654="",314.57897=""),"-",(314.57897-42.13654)/824887.0263*100)</f>
        <v>3.3027847609875795E-2</v>
      </c>
      <c r="G79" s="28">
        <f>IF(OR(902994.52425="",271.03735="",314.57897=""),"-",(271.03735-314.57897)/902994.52425*100)</f>
        <v>-4.8219140682125815E-3</v>
      </c>
    </row>
    <row r="80" spans="1:7" x14ac:dyDescent="0.25">
      <c r="A80" s="27" t="s">
        <v>84</v>
      </c>
      <c r="B80" s="17">
        <v>258.23885999999999</v>
      </c>
      <c r="C80" s="28" t="s">
        <v>366</v>
      </c>
      <c r="D80" s="28">
        <f>IF(25.80287="","-",25.80287/902994.52425*100)</f>
        <v>2.8574780142139938E-3</v>
      </c>
      <c r="E80" s="28">
        <f>IF(258.23886="","-",258.23886/1459101.16692*100)</f>
        <v>1.7698489032471509E-2</v>
      </c>
      <c r="F80" s="28">
        <f>IF(OR(824887.0263="",730.03851="",25.80287=""),"-",(25.80287-730.03851)/824887.0263*100)</f>
        <v>-8.5373586630259263E-2</v>
      </c>
      <c r="G80" s="28">
        <f>IF(OR(902994.52425="",258.23886="",25.80287=""),"-",(258.23886-25.80287)/902994.52425*100)</f>
        <v>2.5740575801725302E-2</v>
      </c>
    </row>
    <row r="81" spans="1:7" x14ac:dyDescent="0.25">
      <c r="A81" s="27" t="s">
        <v>136</v>
      </c>
      <c r="B81" s="78">
        <v>228.09440000000001</v>
      </c>
      <c r="C81" s="28">
        <f>IF(OR(299.4="",228.0944=""),"-",228.0944/299.4*100)</f>
        <v>76.183834335337352</v>
      </c>
      <c r="D81" s="28">
        <f>IF(299.4="","-",299.4/902994.52425*100)</f>
        <v>3.3156347237949482E-2</v>
      </c>
      <c r="E81" s="28">
        <f>IF(228.0944="","-",228.0944/1459101.16692*100)</f>
        <v>1.5632528105058122E-2</v>
      </c>
      <c r="F81" s="28">
        <f>IF(OR(824887.0263="",66.8448="",299.4=""),"-",(299.4-66.8448)/824887.0263*100)</f>
        <v>2.819236969250415E-2</v>
      </c>
      <c r="G81" s="28">
        <f>IF(OR(902994.52425="",228.0944="",299.4=""),"-",(228.0944-299.4)/902994.52425*100)</f>
        <v>-7.8965705865408475E-3</v>
      </c>
    </row>
    <row r="82" spans="1:7" x14ac:dyDescent="0.25">
      <c r="A82" s="27" t="s">
        <v>63</v>
      </c>
      <c r="B82" s="17">
        <v>195.34264999999999</v>
      </c>
      <c r="C82" s="28">
        <f>IF(OR(320.46371="",195.34265=""),"-",195.34265/320.46371*100)</f>
        <v>60.956246808726014</v>
      </c>
      <c r="D82" s="28">
        <f>IF(320.46371="","-",320.46371/902994.52425*100)</f>
        <v>3.5488998149370558E-2</v>
      </c>
      <c r="E82" s="28">
        <f>IF(195.34265="","-",195.34265/1459101.16692*100)</f>
        <v>1.3387875661311858E-2</v>
      </c>
      <c r="F82" s="28">
        <f>IF(OR(824887.0263="",4398.10823="",320.46371=""),"-",(320.46371-4398.10823)/824887.0263*100)</f>
        <v>-0.494327633965844</v>
      </c>
      <c r="G82" s="28">
        <f>IF(OR(902994.52425="",195.34265="",320.46371=""),"-",(195.34265-320.46371)/902994.52425*100)</f>
        <v>-1.3856236847496033E-2</v>
      </c>
    </row>
    <row r="83" spans="1:7" x14ac:dyDescent="0.25">
      <c r="A83" s="27" t="s">
        <v>303</v>
      </c>
      <c r="B83" s="78">
        <v>176.90536</v>
      </c>
      <c r="C83" s="28">
        <f>IF(OR(182.6786="",176.90536=""),"-",176.90536/182.6786*100)</f>
        <v>96.839673612563274</v>
      </c>
      <c r="D83" s="28">
        <f>IF(182.6786="","-",182.6786/902994.52425*100)</f>
        <v>2.0230310937015626E-2</v>
      </c>
      <c r="E83" s="28">
        <f>IF(176.90536="","-",176.90536/1459101.16692*100)</f>
        <v>1.2124269653860089E-2</v>
      </c>
      <c r="F83" s="28">
        <f>IF(OR(824887.0263="",50.18097="",182.6786=""),"-",(182.6786-50.18097)/824887.0263*100)</f>
        <v>1.6062518354096701E-2</v>
      </c>
      <c r="G83" s="28">
        <f>IF(OR(902994.52425="",176.90536="",182.6786=""),"-",(176.90536-182.6786)/902994.52425*100)</f>
        <v>-6.3934385480300291E-4</v>
      </c>
    </row>
    <row r="84" spans="1:7" x14ac:dyDescent="0.25">
      <c r="A84" s="27" t="s">
        <v>80</v>
      </c>
      <c r="B84" s="17">
        <v>168.3329</v>
      </c>
      <c r="C84" s="28">
        <f>IF(OR(303.34928="",168.3329=""),"-",168.3329/303.34928*100)</f>
        <v>55.491445372805892</v>
      </c>
      <c r="D84" s="28">
        <f>IF(303.34928="","-",303.34928/902994.52425*100)</f>
        <v>3.3593700942090736E-2</v>
      </c>
      <c r="E84" s="28">
        <f>IF(168.3329="","-",168.3329/1459101.16692*100)</f>
        <v>1.1536753161217189E-2</v>
      </c>
      <c r="F84" s="28">
        <f>IF(OR(824887.0263="",130.95927="",303.34928=""),"-",(303.34928-130.95927)/824887.0263*100)</f>
        <v>2.0898620599386679E-2</v>
      </c>
      <c r="G84" s="28">
        <f>IF(OR(902994.52425="",168.3329="",303.34928=""),"-",(168.3329-303.34928)/902994.52425*100)</f>
        <v>-1.4952070735106678E-2</v>
      </c>
    </row>
    <row r="85" spans="1:7" x14ac:dyDescent="0.25">
      <c r="A85" s="27" t="s">
        <v>328</v>
      </c>
      <c r="B85" s="78">
        <v>157.26472000000001</v>
      </c>
      <c r="C85" s="28">
        <f>IF(OR(121.87053="",157.26472=""),"-",157.26472/121.87053*100)</f>
        <v>129.04245185443929</v>
      </c>
      <c r="D85" s="28">
        <f>IF(121.87053="","-",121.87053/902994.52425*100)</f>
        <v>1.3496264564973081E-2</v>
      </c>
      <c r="E85" s="28">
        <f>IF(157.26472="","-",157.26472/1459101.16692*100)</f>
        <v>1.0778191640540478E-2</v>
      </c>
      <c r="F85" s="28">
        <f>IF(OR(824887.0263="",653.94852="",121.87053=""),"-",(121.87053-653.94852)/824887.0263*100)</f>
        <v>-6.4503134736718551E-2</v>
      </c>
      <c r="G85" s="28">
        <f>IF(OR(902994.52425="",157.26472="",121.87053=""),"-",(157.26472-121.87053)/902994.52425*100)</f>
        <v>3.9196461384300597E-3</v>
      </c>
    </row>
    <row r="86" spans="1:7" x14ac:dyDescent="0.25">
      <c r="A86" s="27" t="s">
        <v>79</v>
      </c>
      <c r="B86" s="78">
        <v>152.07948999999999</v>
      </c>
      <c r="C86" s="28" t="s">
        <v>367</v>
      </c>
      <c r="D86" s="28">
        <f>IF(0.85315="","-",0.85315/902994.52425*100)</f>
        <v>9.4480085658171694E-5</v>
      </c>
      <c r="E86" s="28">
        <f>IF(152.07949="","-",152.07949/1459101.16692*100)</f>
        <v>1.0422820120212969E-2</v>
      </c>
      <c r="F86" s="28">
        <f>IF(OR(824887.0263="",302.39389="",0.85315=""),"-",(0.85315-302.39389)/824887.0263*100)</f>
        <v>-3.6555398543792077E-2</v>
      </c>
      <c r="G86" s="28">
        <f>IF(OR(902994.52425="",152.07949="",0.85315=""),"-",(152.07949-0.85315)/902994.52425*100)</f>
        <v>1.6747204544302636E-2</v>
      </c>
    </row>
    <row r="87" spans="1:7" x14ac:dyDescent="0.25">
      <c r="A87" s="27" t="s">
        <v>119</v>
      </c>
      <c r="B87" s="17">
        <v>147.06371999999999</v>
      </c>
      <c r="C87" s="28">
        <f>IF(OR(140.52191="",147.06372=""),"-",147.06372/140.52191*100)</f>
        <v>104.65536655458212</v>
      </c>
      <c r="D87" s="28">
        <f>IF(140.52191="","-",140.52191/902994.52425*100)</f>
        <v>1.5561767677020329E-2</v>
      </c>
      <c r="E87" s="28">
        <f>IF(147.06372="","-",147.06372/1459101.16692*100)</f>
        <v>1.0079062599232589E-2</v>
      </c>
      <c r="F87" s="28">
        <f>IF(OR(824887.0263="",219.08243="",140.52191=""),"-",(140.52191-219.08243)/824887.0263*100)</f>
        <v>-9.5237914399478769E-3</v>
      </c>
      <c r="G87" s="28">
        <f>IF(OR(902994.52425="",147.06372="",140.52191=""),"-",(147.06372-140.52191)/902994.52425*100)</f>
        <v>7.2445732773777644E-4</v>
      </c>
    </row>
    <row r="88" spans="1:7" x14ac:dyDescent="0.25">
      <c r="A88" s="27" t="s">
        <v>337</v>
      </c>
      <c r="B88" s="78">
        <v>140.07344000000001</v>
      </c>
      <c r="C88" s="28" t="s">
        <v>368</v>
      </c>
      <c r="D88" s="28">
        <f>IF(2.79808="","-",2.79808/902994.52425*100)</f>
        <v>3.0986677381283136E-4</v>
      </c>
      <c r="E88" s="28">
        <f>IF(140.07344="","-",140.07344/1459101.16692*100)</f>
        <v>9.5999813567197289E-3</v>
      </c>
      <c r="F88" s="28">
        <f>IF(OR(824887.0263="",0.73745="",2.79808=""),"-",(2.79808-0.73745)/824887.0263*100)</f>
        <v>2.4980754143302255E-4</v>
      </c>
      <c r="G88" s="28">
        <f>IF(OR(902994.52425="",140.07344="",2.79808=""),"-",(140.07344-2.79808)/902994.52425*100)</f>
        <v>1.5202236150215504E-2</v>
      </c>
    </row>
    <row r="89" spans="1:7" x14ac:dyDescent="0.25">
      <c r="A89" s="27" t="s">
        <v>338</v>
      </c>
      <c r="B89" s="17">
        <v>135.57302999999999</v>
      </c>
      <c r="C89" s="28">
        <f>IF(OR(164.81958="",135.57303=""),"-",135.57303/164.81958*100)</f>
        <v>82.255415285004361</v>
      </c>
      <c r="D89" s="28">
        <f>IF(164.81958="","-",164.81958/902994.52425*100)</f>
        <v>1.8252555865374064E-2</v>
      </c>
      <c r="E89" s="28">
        <f>IF(135.57303="","-",135.57303/1459101.16692*100)</f>
        <v>9.2915442104799049E-3</v>
      </c>
      <c r="F89" s="28">
        <f>IF(OR(824887.0263="",245.97432="",164.81958=""),"-",(164.81958-245.97432)/824887.0263*100)</f>
        <v>-9.8382854151575841E-3</v>
      </c>
      <c r="G89" s="28">
        <f>IF(OR(902994.52425="",135.57303="",164.81958=""),"-",(135.57303-164.81958)/902994.52425*100)</f>
        <v>-3.2388402381832064E-3</v>
      </c>
    </row>
    <row r="90" spans="1:7" x14ac:dyDescent="0.25">
      <c r="A90" s="27" t="s">
        <v>89</v>
      </c>
      <c r="B90" s="17">
        <v>121.96775</v>
      </c>
      <c r="C90" s="28">
        <f>IF(OR(125.90409="",121.96775=""),"-",121.96775/125.90409*100)</f>
        <v>96.873540803956402</v>
      </c>
      <c r="D90" s="28">
        <f>IF(125.90409="","-",125.90409/902994.52425*100)</f>
        <v>1.3942951659044902E-2</v>
      </c>
      <c r="E90" s="28">
        <f>IF(121.96775="","-",121.96775/1459101.16692*100)</f>
        <v>8.3591016692461662E-3</v>
      </c>
      <c r="F90" s="28">
        <f>IF(OR(824887.0263="",359.55392="",125.90409=""),"-",(125.90409-359.55392)/824887.0263*100)</f>
        <v>-2.8325070288476663E-2</v>
      </c>
      <c r="G90" s="28">
        <f>IF(OR(902994.52425="",121.96775="",125.90409=""),"-",(121.96775-125.90409)/902994.52425*100)</f>
        <v>-4.3592069434412203E-4</v>
      </c>
    </row>
    <row r="91" spans="1:7" x14ac:dyDescent="0.25">
      <c r="A91" s="27" t="s">
        <v>131</v>
      </c>
      <c r="B91" s="78">
        <v>118.00157</v>
      </c>
      <c r="C91" s="28">
        <f>IF(OR(168.98978="",118.00157=""),"-",118.00157/168.98978*100)</f>
        <v>69.827636913900946</v>
      </c>
      <c r="D91" s="28">
        <f>IF(168.98978="","-",168.98978/902994.52425*100)</f>
        <v>1.8714374834150605E-2</v>
      </c>
      <c r="E91" s="28">
        <f>IF(118.00157="","-",118.00157/1459101.16692*100)</f>
        <v>8.0872781596829351E-3</v>
      </c>
      <c r="F91" s="28">
        <f>IF(OR(824887.0263="",86.20905="",168.98978=""),"-",(168.98978-86.20905)/824887.0263*100)</f>
        <v>1.0035402104856693E-2</v>
      </c>
      <c r="G91" s="28">
        <f>IF(OR(902994.52425="",118.00157="",168.98978=""),"-",(118.00157-168.98978)/902994.52425*100)</f>
        <v>-5.6465691242534675E-3</v>
      </c>
    </row>
    <row r="92" spans="1:7" x14ac:dyDescent="0.25">
      <c r="A92" s="27" t="s">
        <v>336</v>
      </c>
      <c r="B92" s="78">
        <v>117.96092</v>
      </c>
      <c r="C92" s="28" t="s">
        <v>369</v>
      </c>
      <c r="D92" s="28">
        <f>IF(1.47513="","-",1.47513/902994.52425*100)</f>
        <v>1.6335979459290725E-4</v>
      </c>
      <c r="E92" s="28">
        <f>IF(117.96092="","-",117.96092/1459101.16692*100)</f>
        <v>8.0844921979606361E-3</v>
      </c>
      <c r="F92" s="28">
        <f>IF(OR(824887.0263="",28.8301="",1.47513=""),"-",(1.47513-28.8301)/824887.0263*100)</f>
        <v>-3.3162080536894489E-3</v>
      </c>
      <c r="G92" s="28">
        <f>IF(OR(902994.52425="",117.96092="",1.47513=""),"-",(117.96092-1.47513)/902994.52425*100)</f>
        <v>1.2899944226876634E-2</v>
      </c>
    </row>
    <row r="93" spans="1:7" x14ac:dyDescent="0.25">
      <c r="A93" s="27" t="s">
        <v>126</v>
      </c>
      <c r="B93" s="17">
        <v>115.52522</v>
      </c>
      <c r="C93" s="28" t="s">
        <v>301</v>
      </c>
      <c r="D93" s="28">
        <f>IF(35.30102="","-",35.30102/902994.52425*100)</f>
        <v>3.909328246405476E-3</v>
      </c>
      <c r="E93" s="28">
        <f>IF(115.52522="","-",115.52522/1459101.16692*100)</f>
        <v>7.9175606612570167E-3</v>
      </c>
      <c r="F93" s="28">
        <f>IF(OR(824887.0263="",0.39509="",35.30102=""),"-",(35.30102-0.39509)/824887.0263*100)</f>
        <v>4.2316012844291232E-3</v>
      </c>
      <c r="G93" s="28">
        <f>IF(OR(902994.52425="",115.52522="",35.30102=""),"-",(115.52522-35.30102)/902994.52425*100)</f>
        <v>8.8842399201292839E-3</v>
      </c>
    </row>
    <row r="94" spans="1:7" x14ac:dyDescent="0.25">
      <c r="A94" s="27" t="s">
        <v>82</v>
      </c>
      <c r="B94" s="78">
        <v>112.59045999999999</v>
      </c>
      <c r="C94" s="28">
        <f>IF(OR(85.81609="",112.59046=""),"-",112.59046/85.81609*100)</f>
        <v>131.19970858611711</v>
      </c>
      <c r="D94" s="28">
        <f>IF(85.81609="","-",85.81609/902994.52425*100)</f>
        <v>9.5035005966704229E-3</v>
      </c>
      <c r="E94" s="28">
        <f>IF(112.59046="","-",112.59046/1459101.16692*100)</f>
        <v>7.7164258759155075E-3</v>
      </c>
      <c r="F94" s="28">
        <f>IF(OR(824887.0263="",509.38636="",85.81609=""),"-",(85.81609-509.38636)/824887.0263*100)</f>
        <v>-5.134888251302832E-2</v>
      </c>
      <c r="G94" s="28">
        <f>IF(OR(902994.52425="",112.59046="",85.81609=""),"-",(112.59046-85.81609)/902994.52425*100)</f>
        <v>2.9650644916410732E-3</v>
      </c>
    </row>
    <row r="95" spans="1:7" x14ac:dyDescent="0.25">
      <c r="A95" s="27" t="s">
        <v>59</v>
      </c>
      <c r="B95" s="78">
        <v>112.21331000000001</v>
      </c>
      <c r="C95" s="28" t="s">
        <v>302</v>
      </c>
      <c r="D95" s="28">
        <f>IF(30.23613="","-",30.23613/902994.52425*100)</f>
        <v>3.3484289425911211E-3</v>
      </c>
      <c r="E95" s="28">
        <f>IF(112.21331="","-",112.21331/1459101.16692*100)</f>
        <v>7.6905777710307649E-3</v>
      </c>
      <c r="F95" s="28">
        <f>IF(OR(824887.0263="",2341.79174="",30.23613=""),"-",(30.23613-2341.79174)/824887.0263*100)</f>
        <v>-0.28022693245260466</v>
      </c>
      <c r="G95" s="28">
        <f>IF(OR(902994.52425="",112.21331="",30.23613=""),"-",(112.21331-30.23613)/902994.52425*100)</f>
        <v>9.0783695580089786E-3</v>
      </c>
    </row>
    <row r="96" spans="1:7" x14ac:dyDescent="0.25">
      <c r="A96" s="27" t="s">
        <v>327</v>
      </c>
      <c r="B96" s="78">
        <v>104.93431</v>
      </c>
      <c r="C96" s="28" t="s">
        <v>341</v>
      </c>
      <c r="D96" s="28">
        <f>IF(24.63456="","-",24.63456/902994.52425*100)</f>
        <v>2.7280962772682064E-3</v>
      </c>
      <c r="E96" s="28">
        <f>IF(104.93431="","-",104.93431/1459101.16692*100)</f>
        <v>7.191709004078492E-3</v>
      </c>
      <c r="F96" s="28" t="str">
        <f>IF(OR(824887.0263="",""="",24.63456=""),"-",(24.63456-"")/824887.0263*100)</f>
        <v>-</v>
      </c>
      <c r="G96" s="28">
        <f>IF(OR(902994.52425="",104.93431="",24.63456=""),"-",(104.93431-24.63456)/902994.52425*100)</f>
        <v>8.8926065267886899E-3</v>
      </c>
    </row>
    <row r="97" spans="1:7" x14ac:dyDescent="0.25">
      <c r="A97" s="27" t="s">
        <v>123</v>
      </c>
      <c r="B97" s="17">
        <v>91.793400000000005</v>
      </c>
      <c r="C97" s="28">
        <f>IF(OR(305.84127="",91.7934=""),"-",91.7934/305.84127*100)</f>
        <v>30.01341185903394</v>
      </c>
      <c r="D97" s="28">
        <f>IF(305.84127="","-",305.84127/902994.52425*100)</f>
        <v>3.3869670500385647E-2</v>
      </c>
      <c r="E97" s="28">
        <f>IF(91.7934="","-",91.7934/1459101.16692*100)</f>
        <v>6.291092220408928E-3</v>
      </c>
      <c r="F97" s="28">
        <f>IF(OR(824887.0263="",25.28671="",305.84127=""),"-",(305.84127-25.28671)/824887.0263*100)</f>
        <v>3.4011270762545148E-2</v>
      </c>
      <c r="G97" s="28">
        <f>IF(OR(902994.52425="",91.7934="",305.84127=""),"-",(91.7934-305.84127)/902994.52425*100)</f>
        <v>-2.3704226797807183E-2</v>
      </c>
    </row>
    <row r="98" spans="1:7" x14ac:dyDescent="0.25">
      <c r="A98" s="27" t="s">
        <v>83</v>
      </c>
      <c r="B98" s="78">
        <v>91.078659999999999</v>
      </c>
      <c r="C98" s="28" t="s">
        <v>100</v>
      </c>
      <c r="D98" s="28">
        <f>IF(56.95306="","-",56.95306/902994.52425*100)</f>
        <v>6.3071323768329034E-3</v>
      </c>
      <c r="E98" s="28">
        <f>IF(91.07866="","-",91.07866/1459101.16692*100)</f>
        <v>6.2421072688370813E-3</v>
      </c>
      <c r="F98" s="28">
        <f>IF(OR(824887.0263="",244.79303="",56.95306=""),"-",(56.95306-244.79303)/824887.0263*100)</f>
        <v>-2.2771599505273972E-2</v>
      </c>
      <c r="G98" s="28">
        <f>IF(OR(902994.52425="",91.07866="",56.95306=""),"-",(91.07866-56.95306)/902994.52425*100)</f>
        <v>3.7791591292697696E-3</v>
      </c>
    </row>
    <row r="99" spans="1:7" x14ac:dyDescent="0.25">
      <c r="A99" s="27" t="s">
        <v>94</v>
      </c>
      <c r="B99" s="78">
        <v>87.534090000000006</v>
      </c>
      <c r="C99" s="28" t="s">
        <v>296</v>
      </c>
      <c r="D99" s="28">
        <f>IF(29.25017="","-",29.25017/902994.52425*100)</f>
        <v>3.2392411265499432E-3</v>
      </c>
      <c r="E99" s="28">
        <f>IF(87.53409="","-",87.53409/1459101.16692*100)</f>
        <v>5.999178945540474E-3</v>
      </c>
      <c r="F99" s="28">
        <f>IF(OR(824887.0263="",30.13168="",29.25017=""),"-",(29.25017-30.13168)/824887.0263*100)</f>
        <v>-1.0686433073798953E-4</v>
      </c>
      <c r="G99" s="28">
        <f>IF(OR(902994.52425="",87.53409="",29.25017=""),"-",(87.53409-29.25017)/902994.52425*100)</f>
        <v>6.454515330356945E-3</v>
      </c>
    </row>
    <row r="100" spans="1:7" x14ac:dyDescent="0.25">
      <c r="A100" s="27" t="s">
        <v>85</v>
      </c>
      <c r="B100" s="17">
        <v>84.840729999999994</v>
      </c>
      <c r="C100" s="28">
        <f>IF(OR(296.44179="",84.84073=""),"-",84.84073/296.44179*100)</f>
        <v>28.619692925211382</v>
      </c>
      <c r="D100" s="28">
        <f>IF(296.44179="","-",296.44179/902994.52425*100)</f>
        <v>3.2828747244753854E-2</v>
      </c>
      <c r="E100" s="28">
        <f>IF(84.84073="","-",84.84073/1459101.16692*100)</f>
        <v>5.814588592173449E-3</v>
      </c>
      <c r="F100" s="28">
        <f>IF(OR(824887.0263="",10.25096="",296.44179=""),"-",(296.44179-10.25096)/824887.0263*100)</f>
        <v>3.4694548571541764E-2</v>
      </c>
      <c r="G100" s="28">
        <f>IF(OR(902994.52425="",84.84073="",296.44179=""),"-",(84.84073-296.44179)/902994.52425*100)</f>
        <v>-2.3433260592111507E-2</v>
      </c>
    </row>
    <row r="101" spans="1:7" x14ac:dyDescent="0.25">
      <c r="A101" s="27" t="s">
        <v>356</v>
      </c>
      <c r="B101" s="17">
        <v>72.69</v>
      </c>
      <c r="C101" s="28" t="s">
        <v>198</v>
      </c>
      <c r="D101" s="28">
        <f>IF(39.46925="","-",39.46925/902994.52425*100)</f>
        <v>4.3709290521758114E-3</v>
      </c>
      <c r="E101" s="28">
        <f>IF(72.69="","-",72.69/1459101.16692*100)</f>
        <v>4.9818341351505107E-3</v>
      </c>
      <c r="F101" s="28" t="str">
        <f>IF(OR(824887.0263="",""="",39.46925=""),"-",(39.46925-"")/824887.0263*100)</f>
        <v>-</v>
      </c>
      <c r="G101" s="28">
        <f>IF(OR(902994.52425="",72.69="",39.46925=""),"-",(72.69-39.46925)/902994.52425*100)</f>
        <v>3.6789536489816644E-3</v>
      </c>
    </row>
    <row r="102" spans="1:7" x14ac:dyDescent="0.25">
      <c r="A102" s="27" t="s">
        <v>71</v>
      </c>
      <c r="B102" s="78">
        <v>55.929729999999999</v>
      </c>
      <c r="C102" s="28">
        <f>IF(OR(45.75="",55.92973=""),"-",55.92973/45.75*100)</f>
        <v>122.25077595628416</v>
      </c>
      <c r="D102" s="28">
        <f>IF(45.75="","-",45.75/902994.52425*100)</f>
        <v>5.0664759055984937E-3</v>
      </c>
      <c r="E102" s="28">
        <f>IF(55.92973="","-",55.92973/1459101.16692*100)</f>
        <v>3.8331632698273711E-3</v>
      </c>
      <c r="F102" s="28">
        <f>IF(OR(824887.0263="",42.02936="",45.75=""),"-",(45.75-42.02936)/824887.0263*100)</f>
        <v>4.5104843225487437E-4</v>
      </c>
      <c r="G102" s="28">
        <f>IF(OR(902994.52425="",55.92973="",45.75=""),"-",(55.92973-45.75)/902994.52425*100)</f>
        <v>1.1273302026338394E-3</v>
      </c>
    </row>
    <row r="103" spans="1:7" x14ac:dyDescent="0.25">
      <c r="A103" s="80" t="s">
        <v>205</v>
      </c>
      <c r="B103" s="89">
        <v>48.742350000000002</v>
      </c>
      <c r="C103" s="34">
        <f>IF(OR(2085.50385="",48.74235=""),"-",48.74235/2085.50385*100)</f>
        <v>2.3371977951515173</v>
      </c>
      <c r="D103" s="34">
        <f>IF(2085.50385="","-",2085.50385/902994.52425*100)</f>
        <v>0.23095420780454415</v>
      </c>
      <c r="E103" s="34">
        <f>IF(48.74235="","-",48.74235/1459101.16692*100)</f>
        <v>3.3405737110669084E-3</v>
      </c>
      <c r="F103" s="34" t="str">
        <f>IF(OR(824887.0263="",""="",2085.50385=""),"-",(2085.50385-"")/824887.0263*100)</f>
        <v>-</v>
      </c>
      <c r="G103" s="34">
        <f>IF(OR(902994.52425="",48.74235="",2085.50385=""),"-",(48.74235-2085.50385)/902994.52425*100)</f>
        <v>-0.22555635115192671</v>
      </c>
    </row>
    <row r="104" spans="1:7" x14ac:dyDescent="0.25">
      <c r="A104" s="82" t="s">
        <v>357</v>
      </c>
      <c r="B104" s="81">
        <v>44.763089999999998</v>
      </c>
      <c r="C104" s="29">
        <f>IF(OR(59.07156="",44.76309=""),"-",44.76309/59.07156*100)</f>
        <v>75.777734666225172</v>
      </c>
      <c r="D104" s="29">
        <f>IF(59.07156="","-",59.07156/902994.52425*100)</f>
        <v>6.5417406654888688E-3</v>
      </c>
      <c r="E104" s="29">
        <f>IF(44.76309="","-",44.76309/1459101.16692*100)</f>
        <v>3.0678537592077931E-3</v>
      </c>
      <c r="F104" s="29">
        <f>IF(OR(824887.0263="",11.98348="",59.07156=""),"-",(59.07156-11.98348)/824887.0263*100)</f>
        <v>5.7084277602487974E-3</v>
      </c>
      <c r="G104" s="29">
        <f>IF(OR(902994.52425="",44.76309="",59.07156=""),"-",(44.76309-59.07156)/902994.52425*100)</f>
        <v>-1.5845577814421613E-3</v>
      </c>
    </row>
    <row r="105" spans="1:7" x14ac:dyDescent="0.25">
      <c r="A105" s="48" t="s">
        <v>285</v>
      </c>
      <c r="B105" s="77"/>
      <c r="C105" s="77"/>
      <c r="D105" s="77"/>
      <c r="E105" s="77"/>
    </row>
    <row r="106" spans="1:7" x14ac:dyDescent="0.25">
      <c r="A106" s="114" t="s">
        <v>306</v>
      </c>
      <c r="B106" s="114"/>
      <c r="C106" s="114"/>
      <c r="D106" s="114"/>
      <c r="E106" s="114"/>
    </row>
  </sheetData>
  <mergeCells count="10">
    <mergeCell ref="A106:E106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14"/>
  <sheetViews>
    <sheetView zoomScaleNormal="100" workbookViewId="0">
      <selection sqref="A1:G1"/>
    </sheetView>
  </sheetViews>
  <sheetFormatPr defaultRowHeight="15.75" x14ac:dyDescent="0.25"/>
  <cols>
    <col min="1" max="1" width="29.625" customWidth="1"/>
    <col min="2" max="2" width="12.625" customWidth="1"/>
    <col min="3" max="3" width="10.25" customWidth="1"/>
    <col min="4" max="5" width="8.875" customWidth="1"/>
    <col min="6" max="6" width="9.625" customWidth="1"/>
    <col min="7" max="7" width="10.125" customWidth="1"/>
  </cols>
  <sheetData>
    <row r="1" spans="1:7" x14ac:dyDescent="0.25">
      <c r="A1" s="128" t="s">
        <v>305</v>
      </c>
      <c r="B1" s="128"/>
      <c r="C1" s="128"/>
      <c r="D1" s="128"/>
      <c r="E1" s="128"/>
      <c r="F1" s="128"/>
      <c r="G1" s="128"/>
    </row>
    <row r="2" spans="1:7" x14ac:dyDescent="0.25">
      <c r="A2" s="2"/>
    </row>
    <row r="3" spans="1:7" ht="55.5" customHeight="1" x14ac:dyDescent="0.25">
      <c r="A3" s="116"/>
      <c r="B3" s="119" t="s">
        <v>349</v>
      </c>
      <c r="C3" s="120"/>
      <c r="D3" s="119" t="s">
        <v>104</v>
      </c>
      <c r="E3" s="120"/>
      <c r="F3" s="121" t="s">
        <v>114</v>
      </c>
      <c r="G3" s="122"/>
    </row>
    <row r="4" spans="1:7" ht="21" customHeight="1" x14ac:dyDescent="0.25">
      <c r="A4" s="117"/>
      <c r="B4" s="123" t="s">
        <v>95</v>
      </c>
      <c r="C4" s="125" t="s">
        <v>350</v>
      </c>
      <c r="D4" s="127" t="s">
        <v>351</v>
      </c>
      <c r="E4" s="127"/>
      <c r="F4" s="127" t="s">
        <v>399</v>
      </c>
      <c r="G4" s="119"/>
    </row>
    <row r="5" spans="1:7" ht="30" customHeight="1" x14ac:dyDescent="0.25">
      <c r="A5" s="118"/>
      <c r="B5" s="124"/>
      <c r="C5" s="126"/>
      <c r="D5" s="63" t="s">
        <v>323</v>
      </c>
      <c r="E5" s="63" t="s">
        <v>324</v>
      </c>
      <c r="F5" s="63" t="s">
        <v>323</v>
      </c>
      <c r="G5" s="64" t="s">
        <v>324</v>
      </c>
    </row>
    <row r="6" spans="1:7" s="3" customFormat="1" ht="15" x14ac:dyDescent="0.25">
      <c r="A6" s="30" t="s">
        <v>117</v>
      </c>
      <c r="B6" s="23">
        <v>2808409.1288700001</v>
      </c>
      <c r="C6" s="24">
        <f>IF(2113068.17363="","-",2808409.12887/2113068.17363*100)</f>
        <v>132.90669765971094</v>
      </c>
      <c r="D6" s="24">
        <v>100</v>
      </c>
      <c r="E6" s="24">
        <v>100</v>
      </c>
      <c r="F6" s="24">
        <f>IF(1650717.59844="","-",(2113068.17363-1650717.59844)/1650717.59844*100)</f>
        <v>28.00906561043157</v>
      </c>
      <c r="G6" s="24">
        <f>IF(2113068.17363="","-",(2808409.12887-2113068.17363)/2113068.17363*100)</f>
        <v>32.906697659710943</v>
      </c>
    </row>
    <row r="7" spans="1:7" s="3" customFormat="1" ht="15" x14ac:dyDescent="0.25">
      <c r="A7" s="31" t="s">
        <v>120</v>
      </c>
      <c r="B7" s="46"/>
      <c r="C7" s="46"/>
      <c r="D7" s="46"/>
      <c r="E7" s="46"/>
      <c r="F7" s="46"/>
      <c r="G7" s="46"/>
    </row>
    <row r="8" spans="1:7" ht="16.5" customHeight="1" x14ac:dyDescent="0.25">
      <c r="A8" s="25" t="s">
        <v>132</v>
      </c>
      <c r="B8" s="16">
        <v>1241806.3680400001</v>
      </c>
      <c r="C8" s="26">
        <f>IF(1004872.86717="","-",1241806.36804/1004872.86717*100)</f>
        <v>123.5784554057341</v>
      </c>
      <c r="D8" s="26">
        <f>IF(1004872.86717="","-",1004872.86717/2113068.17363*100)</f>
        <v>47.555156038517573</v>
      </c>
      <c r="E8" s="26">
        <f>IF(1241806.36804="","-",1241806.36804/2808409.12887*100)</f>
        <v>44.217430974512503</v>
      </c>
      <c r="F8" s="26">
        <f>IF(1650717.59844="","-",(1004872.86717-777506.77513)/1650717.59844*100)</f>
        <v>13.773772827942881</v>
      </c>
      <c r="G8" s="26">
        <f>IF(2113068.17363="","-",(1241806.36804-1004872.86717)/2113068.17363*100)</f>
        <v>11.212771259669132</v>
      </c>
    </row>
    <row r="9" spans="1:7" x14ac:dyDescent="0.25">
      <c r="A9" s="27" t="s">
        <v>2</v>
      </c>
      <c r="B9" s="17">
        <v>385606.33046999999</v>
      </c>
      <c r="C9" s="28">
        <f>IF(OR(260010.27646="",385606.33047=""),"-",385606.33047/260010.27646*100)</f>
        <v>148.30426540057223</v>
      </c>
      <c r="D9" s="28">
        <f>IF(260010.27646="","-",260010.27646/2113068.17363*100)</f>
        <v>12.304869275151367</v>
      </c>
      <c r="E9" s="28">
        <f>IF(385606.33047="","-",385606.33047/2808409.12887*100)</f>
        <v>13.730418638296968</v>
      </c>
      <c r="F9" s="28">
        <f>IF(OR(1650717.59844="",205243.41173="",260010.27646=""),"-",(260010.27646-205243.41173)/1650717.59844*100)</f>
        <v>3.3177610017459722</v>
      </c>
      <c r="G9" s="28">
        <f>IF(OR(2113068.17363="",385606.33047="",260010.27646=""),"-",(385606.33047-260010.27646)/2113068.17363*100)</f>
        <v>5.9437767118625846</v>
      </c>
    </row>
    <row r="10" spans="1:7" s="7" customFormat="1" x14ac:dyDescent="0.25">
      <c r="A10" s="27" t="s">
        <v>4</v>
      </c>
      <c r="B10" s="78">
        <v>190039.92167000001</v>
      </c>
      <c r="C10" s="28">
        <f>IF(OR(180282.13377="",190039.92167=""),"-",190039.92167/180282.13377*100)</f>
        <v>105.41250965691853</v>
      </c>
      <c r="D10" s="28">
        <f>IF(180282.13377="","-",180282.13377/2113068.17363*100)</f>
        <v>8.5317708164756798</v>
      </c>
      <c r="E10" s="28">
        <f>IF(190039.92167="","-",190039.92167/2808409.12887*100)</f>
        <v>6.7668175450798742</v>
      </c>
      <c r="F10" s="28">
        <f>IF(OR(1650717.59844="",139334.43134="",180282.13377=""),"-",(180282.13377-139334.43134)/1650717.59844*100)</f>
        <v>2.4806001019615551</v>
      </c>
      <c r="G10" s="28">
        <f>IF(OR(2113068.17363="",190039.92167="",180282.13377=""),"-",(190039.92167-180282.13377)/2113068.17363*100)</f>
        <v>0.46178291934790272</v>
      </c>
    </row>
    <row r="11" spans="1:7" s="7" customFormat="1" x14ac:dyDescent="0.25">
      <c r="A11" s="27" t="s">
        <v>3</v>
      </c>
      <c r="B11" s="17">
        <v>149873.16497000001</v>
      </c>
      <c r="C11" s="28">
        <f>IF(OR(139536.73614="",149873.16497=""),"-",149873.16497/139536.73614*100)</f>
        <v>107.40767565297591</v>
      </c>
      <c r="D11" s="28">
        <f>IF(139536.73614="","-",139536.73614/2113068.17363*100)</f>
        <v>6.6035132174790405</v>
      </c>
      <c r="E11" s="28">
        <f>IF(149873.16497="","-",149873.16497/2808409.12887*100)</f>
        <v>5.3365858780805002</v>
      </c>
      <c r="F11" s="28">
        <f>IF(OR(1650717.59844="",99670.36366="",139536.73614=""),"-",(139536.73614-99670.36366)/1650717.59844*100)</f>
        <v>2.415093442856334</v>
      </c>
      <c r="G11" s="28">
        <f>IF(OR(2113068.17363="",149873.16497="",139536.73614=""),"-",(149873.16497-139536.73614)/2113068.17363*100)</f>
        <v>0.48916684085224105</v>
      </c>
    </row>
    <row r="12" spans="1:7" s="7" customFormat="1" x14ac:dyDescent="0.25">
      <c r="A12" s="27" t="s">
        <v>5</v>
      </c>
      <c r="B12" s="17">
        <v>93680.108210000006</v>
      </c>
      <c r="C12" s="28">
        <f>IF(OR(83196.92285="",93680.10821=""),"-",93680.10821/83196.92285*100)</f>
        <v>112.60044843112848</v>
      </c>
      <c r="D12" s="28">
        <f>IF(83196.92285="","-",83196.92285/2113068.17363*100)</f>
        <v>3.9372569180802897</v>
      </c>
      <c r="E12" s="28">
        <f>IF(93680.10821="","-",93680.10821/2808409.12887*100)</f>
        <v>3.3357001744148804</v>
      </c>
      <c r="F12" s="28">
        <f>IF(OR(1650717.59844="",63984.43875="",83196.92285=""),"-",(83196.92285-63984.43875)/1650717.59844*100)</f>
        <v>1.1638867919113864</v>
      </c>
      <c r="G12" s="28">
        <f>IF(OR(2113068.17363="",93680.10821="",83196.92285=""),"-",(93680.10821-83196.92285)/2113068.17363*100)</f>
        <v>0.49611202756374567</v>
      </c>
    </row>
    <row r="13" spans="1:7" s="7" customFormat="1" x14ac:dyDescent="0.25">
      <c r="A13" s="27" t="s">
        <v>308</v>
      </c>
      <c r="B13" s="17">
        <v>76666.396429999993</v>
      </c>
      <c r="C13" s="28">
        <f>IF(OR(63848.9899="",76666.39643=""),"-",76666.39643/63848.9899*100)</f>
        <v>120.07456429627869</v>
      </c>
      <c r="D13" s="28">
        <f>IF(63848.9899="","-",63848.9899/2113068.17363*100)</f>
        <v>3.0216247017868345</v>
      </c>
      <c r="E13" s="28">
        <f>IF(76666.39643="","-",76666.39643/2808409.12887*100)</f>
        <v>2.7298870254295076</v>
      </c>
      <c r="F13" s="28">
        <f>IF(OR(1650717.59844="",52235.77398="",63848.9899=""),"-",(63848.9899-52235.77398)/1650717.59844*100)</f>
        <v>0.70352529899572136</v>
      </c>
      <c r="G13" s="28">
        <f>IF(OR(2113068.17363="",76666.39643="",63848.9899=""),"-",(76666.39643-63848.9899)/2113068.17363*100)</f>
        <v>0.60657799355243758</v>
      </c>
    </row>
    <row r="14" spans="1:7" s="7" customFormat="1" x14ac:dyDescent="0.25">
      <c r="A14" s="93" t="s">
        <v>40</v>
      </c>
      <c r="B14" s="78">
        <v>65081.788630000003</v>
      </c>
      <c r="C14" s="28">
        <f>IF(OR(43963.97088="",65081.78863=""),"-",65081.78863/43963.97088*100)</f>
        <v>148.03437298155174</v>
      </c>
      <c r="D14" s="28">
        <f>IF(43963.97088="","-",43963.97088/2113068.17363*100)</f>
        <v>2.0805751290302728</v>
      </c>
      <c r="E14" s="28">
        <f>IF(65081.78863="","-",65081.78863/2808409.12887*100)</f>
        <v>2.3173898689108201</v>
      </c>
      <c r="F14" s="28">
        <f>IF(OR(1650717.59844="",38048.09156="",43963.97088=""),"-",(43963.97088-38048.09156)/1650717.59844*100)</f>
        <v>0.35838227723450478</v>
      </c>
      <c r="G14" s="28">
        <f>IF(OR(2113068.17363="",65081.78863="",43963.97088=""),"-",(65081.78863-43963.97088)/2113068.17363*100)</f>
        <v>0.99939121763980288</v>
      </c>
    </row>
    <row r="15" spans="1:7" s="7" customFormat="1" x14ac:dyDescent="0.25">
      <c r="A15" s="27" t="s">
        <v>325</v>
      </c>
      <c r="B15" s="17">
        <v>40409.619480000001</v>
      </c>
      <c r="C15" s="28">
        <f>IF(OR(36111.57025="",40409.61948=""),"-",40409.61948/36111.57025*100)</f>
        <v>111.90213884426696</v>
      </c>
      <c r="D15" s="28">
        <f>IF(36111.57025="","-",36111.57025/2113068.17363*100)</f>
        <v>1.7089638044173752</v>
      </c>
      <c r="E15" s="28">
        <f>IF(40409.61948="","-",40409.61948/2808409.12887*100)</f>
        <v>1.4388793664212072</v>
      </c>
      <c r="F15" s="28">
        <f>IF(OR(1650717.59844="",26097.18162="",36111.57025=""),"-",(36111.57025-26097.18162)/1650717.59844*100)</f>
        <v>0.60666879904012838</v>
      </c>
      <c r="G15" s="28">
        <f>IF(OR(2113068.17363="",40409.61948="",36111.57025=""),"-",(40409.61948-36111.57025)/2113068.17363*100)</f>
        <v>0.203403244800023</v>
      </c>
    </row>
    <row r="16" spans="1:7" s="7" customFormat="1" x14ac:dyDescent="0.25">
      <c r="A16" s="27" t="s">
        <v>38</v>
      </c>
      <c r="B16" s="78">
        <v>39160.435680000002</v>
      </c>
      <c r="C16" s="28">
        <f>IF(OR(31193.72052="",39160.43568=""),"-",39160.43568/31193.72052*100)</f>
        <v>125.53948367554331</v>
      </c>
      <c r="D16" s="28">
        <f>IF(31193.72052="","-",31193.72052/2113068.17363*100)</f>
        <v>1.47622877999307</v>
      </c>
      <c r="E16" s="28">
        <f>IF(39160.43568="","-",39160.43568/2808409.12887*100)</f>
        <v>1.3943992446626432</v>
      </c>
      <c r="F16" s="28">
        <f>IF(OR(1650717.59844="",26933.85261="",31193.72052=""),"-",(31193.72052-26933.85261)/1650717.59844*100)</f>
        <v>0.25806157964425641</v>
      </c>
      <c r="G16" s="28">
        <f>IF(OR(2113068.17363="",39160.43568="",31193.72052=""),"-",(39160.43568-31193.72052)/2113068.17363*100)</f>
        <v>0.3770212082800023</v>
      </c>
    </row>
    <row r="17" spans="1:7" s="7" customFormat="1" x14ac:dyDescent="0.25">
      <c r="A17" s="27" t="s">
        <v>6</v>
      </c>
      <c r="B17" s="17">
        <v>36074.707139999999</v>
      </c>
      <c r="C17" s="28">
        <f>IF(OR(23917.00583="",36074.70714=""),"-",36074.70714/23917.00583*100)</f>
        <v>150.83287346424501</v>
      </c>
      <c r="D17" s="28">
        <f>IF(23917.00583="","-",23917.00583/2113068.17363*100)</f>
        <v>1.131861533313117</v>
      </c>
      <c r="E17" s="28">
        <f>IF(36074.70714="","-",36074.70714/2808409.12887*100)</f>
        <v>1.28452463599971</v>
      </c>
      <c r="F17" s="28">
        <f>IF(OR(1650717.59844="",17894.21449="",23917.00583=""),"-",(23917.00583-17894.21449)/1650717.59844*100)</f>
        <v>0.36485897682873192</v>
      </c>
      <c r="G17" s="28">
        <f>IF(OR(2113068.17363="",36074.70714="",23917.00583=""),"-",(36074.70714-23917.00583)/2113068.17363*100)</f>
        <v>0.5753577410195202</v>
      </c>
    </row>
    <row r="18" spans="1:7" s="7" customFormat="1" x14ac:dyDescent="0.25">
      <c r="A18" s="27" t="s">
        <v>414</v>
      </c>
      <c r="B18" s="17">
        <v>28794.593099999998</v>
      </c>
      <c r="C18" s="28">
        <f>IF(OR(22351.23001="",28794.5931=""),"-",28794.5931/22351.23001*100)</f>
        <v>128.82777854783484</v>
      </c>
      <c r="D18" s="28">
        <f>IF(22351.23001="","-",22351.23001/2113068.17363*100)</f>
        <v>1.0577618975540786</v>
      </c>
      <c r="E18" s="28">
        <f>IF(28794.5931="","-",28794.5931/2808409.12887*100)</f>
        <v>1.0252990849515533</v>
      </c>
      <c r="F18" s="28">
        <f>IF(OR(1650717.59844="",17622.66859="",22351.23001=""),"-",(22351.23001-17622.66859)/1650717.59844*100)</f>
        <v>0.28645489843136673</v>
      </c>
      <c r="G18" s="28">
        <f>IF(OR(2113068.17363="",28794.5931="",22351.23001=""),"-",(28794.5931-22351.23001)/2113068.17363*100)</f>
        <v>0.30492925739026516</v>
      </c>
    </row>
    <row r="19" spans="1:7" s="7" customFormat="1" x14ac:dyDescent="0.25">
      <c r="A19" s="27" t="s">
        <v>7</v>
      </c>
      <c r="B19" s="78">
        <v>28058.987639999999</v>
      </c>
      <c r="C19" s="28">
        <f>IF(OR(30767.36633="",28058.98764=""),"-",28058.98764/30767.36633*100)</f>
        <v>91.197235860388957</v>
      </c>
      <c r="D19" s="28">
        <f>IF(30767.36633="","-",30767.36633/2113068.17363*100)</f>
        <v>1.4560517598987504</v>
      </c>
      <c r="E19" s="28">
        <f>IF(28058.98764="","-",28058.98764/2808409.12887*100)</f>
        <v>0.99910612565519952</v>
      </c>
      <c r="F19" s="28">
        <f>IF(OR(1650717.59844="",19853.67228="",30767.36633=""),"-",(30767.36633-19853.67228)/1650717.59844*100)</f>
        <v>0.66114846417787743</v>
      </c>
      <c r="G19" s="28">
        <f>IF(OR(2113068.17363="",28058.98764="",30767.36633=""),"-",(28058.98764-30767.36633)/2113068.17363*100)</f>
        <v>-0.12817280217454263</v>
      </c>
    </row>
    <row r="20" spans="1:7" s="7" customFormat="1" ht="15.75" customHeight="1" x14ac:dyDescent="0.25">
      <c r="A20" s="27" t="s">
        <v>39</v>
      </c>
      <c r="B20" s="17">
        <v>16620.446510000002</v>
      </c>
      <c r="C20" s="28">
        <f>IF(OR(15683.19635="",16620.44651=""),"-",16620.44651/15683.19635*100)</f>
        <v>105.97614248450063</v>
      </c>
      <c r="D20" s="28">
        <f>IF(15683.19635="","-",15683.19635/2113068.17363*100)</f>
        <v>0.74220020658671571</v>
      </c>
      <c r="E20" s="28">
        <f>IF(16620.44651="","-",16620.44651/2808409.12887*100)</f>
        <v>0.59181001582513204</v>
      </c>
      <c r="F20" s="28">
        <f>IF(OR(1650717.59844="",12088.19169="",15683.19635=""),"-",(15683.19635-12088.19169)/1650717.59844*100)</f>
        <v>0.21778435411347383</v>
      </c>
      <c r="G20" s="28">
        <f>IF(OR(2113068.17363="",16620.44651="",15683.19635=""),"-",(16620.44651-15683.19635)/2113068.17363*100)</f>
        <v>4.4354941865880126E-2</v>
      </c>
    </row>
    <row r="21" spans="1:7" s="7" customFormat="1" x14ac:dyDescent="0.25">
      <c r="A21" s="27" t="s">
        <v>42</v>
      </c>
      <c r="B21" s="17">
        <v>16095.803</v>
      </c>
      <c r="C21" s="28">
        <f>IF(OR(10668.03364="",16095.803=""),"-",16095.803/10668.03364*100)</f>
        <v>150.87881743874968</v>
      </c>
      <c r="D21" s="28">
        <f>IF(10668.03364="","-",10668.03364/2113068.17363*100)</f>
        <v>0.50485988919484726</v>
      </c>
      <c r="E21" s="28">
        <f>IF(16095.803="","-",16095.803/2808409.12887*100)</f>
        <v>0.57312885200869412</v>
      </c>
      <c r="F21" s="28">
        <f>IF(OR(1650717.59844="",7650.21244="",10668.03364=""),"-",(10668.03364-7650.21244)/1650717.59844*100)</f>
        <v>0.18281874518403218</v>
      </c>
      <c r="G21" s="28">
        <f>IF(OR(2113068.17363="",16095.803="",10668.03364=""),"-",(16095.803-10668.03364)/2113068.17363*100)</f>
        <v>0.2568667413449201</v>
      </c>
    </row>
    <row r="22" spans="1:7" s="7" customFormat="1" x14ac:dyDescent="0.25">
      <c r="A22" s="27" t="s">
        <v>8</v>
      </c>
      <c r="B22" s="78">
        <v>12209.827139999999</v>
      </c>
      <c r="C22" s="28">
        <f>IF(OR(9235.95195="",12209.82714=""),"-",12209.82714/9235.95195*100)</f>
        <v>132.19890278879157</v>
      </c>
      <c r="D22" s="28">
        <f>IF(9235.95195="","-",9235.95195/2113068.17363*100)</f>
        <v>0.4370872679480915</v>
      </c>
      <c r="E22" s="28">
        <f>IF(12209.82714="","-",12209.82714/2808409.12887*100)</f>
        <v>0.43475955887213563</v>
      </c>
      <c r="F22" s="28">
        <f>IF(OR(1650717.59844="",7742.47682="",9235.95195=""),"-",(9235.95195-7742.47682)/1650717.59844*100)</f>
        <v>9.0474296234037827E-2</v>
      </c>
      <c r="G22" s="28">
        <f>IF(OR(2113068.17363="",12209.82714="",9235.95195=""),"-",(12209.82714-9235.95195)/2113068.17363*100)</f>
        <v>0.14073730450879085</v>
      </c>
    </row>
    <row r="23" spans="1:7" s="7" customFormat="1" x14ac:dyDescent="0.25">
      <c r="A23" s="27" t="s">
        <v>48</v>
      </c>
      <c r="B23" s="17">
        <v>11447.883879999999</v>
      </c>
      <c r="C23" s="28">
        <f>IF(OR(8670.37783="",11447.88388=""),"-",11447.88388/8670.37783*100)</f>
        <v>132.03442923086547</v>
      </c>
      <c r="D23" s="28">
        <f>IF(8670.37783="","-",8670.37783/2113068.17363*100)</f>
        <v>0.41032172734423988</v>
      </c>
      <c r="E23" s="28">
        <f>IF(11447.88388="","-",11447.88388/2808409.12887*100)</f>
        <v>0.40762878037667549</v>
      </c>
      <c r="F23" s="28">
        <f>IF(OR(1650717.59844="",6217.33323="",8670.37783=""),"-",(8670.37783-6217.33323)/1650717.59844*100)</f>
        <v>0.14860474028496656</v>
      </c>
      <c r="G23" s="28">
        <f>IF(OR(2113068.17363="",11447.88388="",8670.37783=""),"-",(11447.88388-8670.37783)/2113068.17363*100)</f>
        <v>0.13144422336495537</v>
      </c>
    </row>
    <row r="24" spans="1:7" s="7" customFormat="1" x14ac:dyDescent="0.25">
      <c r="A24" s="27" t="s">
        <v>50</v>
      </c>
      <c r="B24" s="17">
        <v>9999.4516899999999</v>
      </c>
      <c r="C24" s="28">
        <f>IF(OR(10152.10968="",9999.45169=""),"-",9999.45169/10152.10968*100)</f>
        <v>98.496292939971468</v>
      </c>
      <c r="D24" s="28">
        <f>IF(10152.10968="","-",10152.10968/2113068.17363*100)</f>
        <v>0.48044402006017062</v>
      </c>
      <c r="E24" s="28">
        <f>IF(9999.45169="","-",9999.45169/2808409.12887*100)</f>
        <v>0.3560539519405212</v>
      </c>
      <c r="F24" s="28">
        <f>IF(OR(1650717.59844="",8635.3229="",10152.10968=""),"-",(10152.10968-8635.3229)/1650717.59844*100)</f>
        <v>9.1886509323789223E-2</v>
      </c>
      <c r="G24" s="28">
        <f>IF(OR(2113068.17363="",9999.45169="",10152.10968=""),"-",(9999.45169-10152.10968)/2113068.17363*100)</f>
        <v>-7.2244706491296678E-3</v>
      </c>
    </row>
    <row r="25" spans="1:7" s="7" customFormat="1" x14ac:dyDescent="0.25">
      <c r="A25" s="27" t="s">
        <v>49</v>
      </c>
      <c r="B25" s="17">
        <v>8815.3043300000008</v>
      </c>
      <c r="C25" s="28">
        <f>IF(OR(9451.69292="",8815.30433=""),"-",8815.30433/9451.69292*100)</f>
        <v>93.26693540102869</v>
      </c>
      <c r="D25" s="28">
        <f>IF(9451.69292="","-",9451.69292/2113068.17363*100)</f>
        <v>0.44729711222535301</v>
      </c>
      <c r="E25" s="28">
        <f>IF(8815.30433="","-",8815.30433/2808409.12887*100)</f>
        <v>0.31388960530643739</v>
      </c>
      <c r="F25" s="28">
        <f>IF(OR(1650717.59844="",5852.8659="",9451.69292=""),"-",(9451.69292-5852.8659)/1650717.59844*100)</f>
        <v>0.21801591158905967</v>
      </c>
      <c r="G25" s="28">
        <f>IF(OR(2113068.17363="",8815.30433="",9451.69292=""),"-",(8815.30433-9451.69292)/2113068.17363*100)</f>
        <v>-3.0116803515466264E-2</v>
      </c>
    </row>
    <row r="26" spans="1:7" s="7" customFormat="1" x14ac:dyDescent="0.25">
      <c r="A26" s="27" t="s">
        <v>46</v>
      </c>
      <c r="B26" s="17">
        <v>7186.3355899999997</v>
      </c>
      <c r="C26" s="28">
        <f>IF(OR(5055.14348="",7186.33559=""),"-",7186.33559/5055.14348*100)</f>
        <v>142.15888467719614</v>
      </c>
      <c r="D26" s="28">
        <f>IF(5055.14348="","-",5055.14348/2113068.17363*100)</f>
        <v>0.23923238933251564</v>
      </c>
      <c r="E26" s="28">
        <f>IF(7186.33559="","-",7186.33559/2808409.12887*100)</f>
        <v>0.25588634918344377</v>
      </c>
      <c r="F26" s="28">
        <f>IF(OR(1650717.59844="",4131.41061="",5055.14348=""),"-",(5055.14348-4131.41061)/1650717.59844*100)</f>
        <v>5.5959473072375775E-2</v>
      </c>
      <c r="G26" s="28">
        <f>IF(OR(2113068.17363="",7186.33559="",5055.14348=""),"-",(7186.33559-5055.14348)/2113068.17363*100)</f>
        <v>0.10085770712919617</v>
      </c>
    </row>
    <row r="27" spans="1:7" s="7" customFormat="1" x14ac:dyDescent="0.25">
      <c r="A27" s="27" t="s">
        <v>41</v>
      </c>
      <c r="B27" s="17">
        <v>6148.4479899999997</v>
      </c>
      <c r="C27" s="28" t="s">
        <v>101</v>
      </c>
      <c r="D27" s="28">
        <f>IF(3237.79739="","-",3237.79739/2113068.17363*100)</f>
        <v>0.15322730380429936</v>
      </c>
      <c r="E27" s="28">
        <f>IF(6148.44799="","-",6148.44799/2808409.12887*100)</f>
        <v>0.21892992466072447</v>
      </c>
      <c r="F27" s="28">
        <f>IF(OR(1650717.59844="",5192.84832="",3237.79739=""),"-",(3237.79739-5192.84832)/1650717.59844*100)</f>
        <v>-0.11843642618504872</v>
      </c>
      <c r="G27" s="28">
        <f>IF(OR(2113068.17363="",6148.44799="",3237.79739=""),"-",(6148.44799-3237.79739)/2113068.17363*100)</f>
        <v>0.13774522925116267</v>
      </c>
    </row>
    <row r="28" spans="1:7" s="7" customFormat="1" x14ac:dyDescent="0.25">
      <c r="A28" s="27" t="s">
        <v>43</v>
      </c>
      <c r="B28" s="17">
        <v>6040.2747799999997</v>
      </c>
      <c r="C28" s="28">
        <f>IF(OR(4923.5368="",6040.27478=""),"-",6040.27478/4923.5368*100)</f>
        <v>122.68162147178427</v>
      </c>
      <c r="D28" s="28">
        <f>IF(4923.5368="","-",4923.5368/2113068.17363*100)</f>
        <v>0.23300416245169925</v>
      </c>
      <c r="E28" s="28">
        <f>IF(6040.27478="","-",6040.27478/2808409.12887*100)</f>
        <v>0.2150781635733531</v>
      </c>
      <c r="F28" s="28">
        <f>IF(OR(1650717.59844="",3615.1501="",4923.5368=""),"-",(4923.5368-3615.1501)/1650717.59844*100)</f>
        <v>7.9261692080855164E-2</v>
      </c>
      <c r="G28" s="28">
        <f>IF(OR(2113068.17363="",6040.27478="",4923.5368=""),"-",(6040.27478-4923.5368)/2113068.17363*100)</f>
        <v>5.2849122140795707E-2</v>
      </c>
    </row>
    <row r="29" spans="1:7" s="7" customFormat="1" x14ac:dyDescent="0.25">
      <c r="A29" s="27" t="s">
        <v>47</v>
      </c>
      <c r="B29" s="17">
        <v>5754.6708900000003</v>
      </c>
      <c r="C29" s="28">
        <f>IF(OR(4361.3441="",5754.67089=""),"-",5754.67089/4361.3441*100)</f>
        <v>131.94718779469844</v>
      </c>
      <c r="D29" s="28">
        <f>IF(4361.3441="","-",4361.3441/2113068.17363*100)</f>
        <v>0.20639864602701052</v>
      </c>
      <c r="E29" s="28">
        <f>IF(5754.67089="","-",5754.67089/2808409.12887*100)</f>
        <v>0.20490856659177242</v>
      </c>
      <c r="F29" s="28">
        <f>IF(OR(1650717.59844="",3503.02966="",4361.3441=""),"-",(4361.3441-3503.02966)/1650717.59844*100)</f>
        <v>5.199644329297419E-2</v>
      </c>
      <c r="G29" s="28">
        <f>IF(OR(2113068.17363="",5754.67089="",4361.3441=""),"-",(5754.67089-4361.3441)/2113068.17363*100)</f>
        <v>6.5938563051963911E-2</v>
      </c>
    </row>
    <row r="30" spans="1:7" s="7" customFormat="1" x14ac:dyDescent="0.25">
      <c r="A30" s="27" t="s">
        <v>51</v>
      </c>
      <c r="B30" s="17">
        <v>3480.2538199999999</v>
      </c>
      <c r="C30" s="28">
        <f>IF(OR(2419.35696="",3480.25382=""),"-",3480.25382/2419.35696*100)</f>
        <v>143.85036509866654</v>
      </c>
      <c r="D30" s="28">
        <f>IF(2419.35696="","-",2419.35696/2113068.17363*100)</f>
        <v>0.11449497892175586</v>
      </c>
      <c r="E30" s="28">
        <f>IF(3480.25382="","-",3480.25382/2808409.12887*100)</f>
        <v>0.12392260743719792</v>
      </c>
      <c r="F30" s="28">
        <f>IF(OR(1650717.59844="",2825.69397="",2419.35696=""),"-",(2419.35696-2825.69397)/1650717.59844*100)</f>
        <v>-2.4615779851381355E-2</v>
      </c>
      <c r="G30" s="28">
        <f>IF(OR(2113068.17363="",3480.25382="",2419.35696=""),"-",(3480.25382-2419.35696)/2113068.17363*100)</f>
        <v>5.0206466276831244E-2</v>
      </c>
    </row>
    <row r="31" spans="1:7" s="7" customFormat="1" x14ac:dyDescent="0.25">
      <c r="A31" s="27" t="s">
        <v>309</v>
      </c>
      <c r="B31" s="17">
        <v>2193.7367899999999</v>
      </c>
      <c r="C31" s="28">
        <f>IF(OR(2568.87607="",2193.73679=""),"-",2193.73679/2568.87607*100)</f>
        <v>85.396754464686964</v>
      </c>
      <c r="D31" s="28">
        <f>IF(2568.87607="","-",2568.87607/2113068.17363*100)</f>
        <v>0.12157090348802971</v>
      </c>
      <c r="E31" s="28">
        <f>IF(2193.73679="","-",2193.73679/2808409.12887*100)</f>
        <v>7.8113148381720232E-2</v>
      </c>
      <c r="F31" s="28">
        <f>IF(OR(1650717.59844="",1456.26146="",2568.87607=""),"-",(2568.87607-1456.26146)/1650717.59844*100)</f>
        <v>6.7401874860452751E-2</v>
      </c>
      <c r="G31" s="28">
        <f>IF(OR(2113068.17363="",2193.73679="",2568.87607=""),"-",(2193.73679-2568.87607)/2113068.17363*100)</f>
        <v>-1.7753297535855417E-2</v>
      </c>
    </row>
    <row r="32" spans="1:7" s="7" customFormat="1" x14ac:dyDescent="0.25">
      <c r="A32" s="27" t="s">
        <v>44</v>
      </c>
      <c r="B32" s="17">
        <v>1305.6901499999999</v>
      </c>
      <c r="C32" s="28">
        <f>IF(OR(1892.21069="",1305.69015=""),"-",1305.69015/1892.21069*100)</f>
        <v>69.003423186452878</v>
      </c>
      <c r="D32" s="28">
        <f>IF(1892.21069="","-",1892.21069/2113068.17363*100)</f>
        <v>8.9548019018686309E-2</v>
      </c>
      <c r="E32" s="28">
        <f>IF(1305.69015="","-",1305.69015/2808409.12887*100)</f>
        <v>4.6492163003520832E-2</v>
      </c>
      <c r="F32" s="28">
        <f>IF(OR(1650717.59844="",1140.389="",1892.21069=""),"-",(1892.21069-1140.389)/1650717.59844*100)</f>
        <v>4.5545142955433708E-2</v>
      </c>
      <c r="G32" s="28">
        <f>IF(OR(2113068.17363="",1305.69015="",1892.21069=""),"-",(1305.69015-1892.21069)/2113068.17363*100)</f>
        <v>-2.7756820500136899E-2</v>
      </c>
    </row>
    <row r="33" spans="1:7" s="7" customFormat="1" x14ac:dyDescent="0.25">
      <c r="A33" s="27" t="s">
        <v>52</v>
      </c>
      <c r="B33" s="17">
        <v>802.90205000000003</v>
      </c>
      <c r="C33" s="28">
        <f>IF(OR(1110.44934="",802.90205=""),"-",802.90205/1110.44934*100)</f>
        <v>72.304248476567167</v>
      </c>
      <c r="D33" s="28">
        <f>IF(1110.44934="","-",1110.44934/2113068.17363*100)</f>
        <v>5.2551515083982356E-2</v>
      </c>
      <c r="E33" s="28">
        <f>IF(802.90205="","-",802.90205/2808409.12887*100)</f>
        <v>2.8589212367467916E-2</v>
      </c>
      <c r="F33" s="28">
        <f>IF(OR(1650717.59844="",330.61987="",1110.44934=""),"-",(1110.44934-330.61987)/1650717.59844*100)</f>
        <v>4.7241846257468426E-2</v>
      </c>
      <c r="G33" s="28">
        <f>IF(OR(2113068.17363="",802.90205="",1110.44934=""),"-",(802.90205-1110.44934)/2113068.17363*100)</f>
        <v>-1.4554537039459079E-2</v>
      </c>
    </row>
    <row r="34" spans="1:7" s="7" customFormat="1" x14ac:dyDescent="0.25">
      <c r="A34" s="27" t="s">
        <v>45</v>
      </c>
      <c r="B34" s="17">
        <v>194.60488000000001</v>
      </c>
      <c r="C34" s="28">
        <f>IF(OR(212.19468="",194.60488=""),"-",194.60488/212.19468*100)</f>
        <v>91.710536758037478</v>
      </c>
      <c r="D34" s="28">
        <f>IF(212.19468="","-",212.19468/2113068.17363*100)</f>
        <v>1.0042017699574489E-2</v>
      </c>
      <c r="E34" s="28">
        <f>IF(194.60488="","-",194.60488/2808409.12887*100)</f>
        <v>6.9293636030268073E-3</v>
      </c>
      <c r="F34" s="28">
        <f>IF(OR(1650717.59844="",187.96817="",212.19468=""),"-",(212.19468-187.96817)/1650717.59844*100)</f>
        <v>1.4676350468968843E-3</v>
      </c>
      <c r="G34" s="28">
        <f>IF(OR(2113068.17363="",194.60488="",212.19468=""),"-",(194.60488-212.19468)/2113068.17363*100)</f>
        <v>-8.3242936595759754E-4</v>
      </c>
    </row>
    <row r="35" spans="1:7" s="7" customFormat="1" ht="25.5" x14ac:dyDescent="0.25">
      <c r="A35" s="27" t="s">
        <v>370</v>
      </c>
      <c r="B35" s="17">
        <v>42.912309999999998</v>
      </c>
      <c r="C35" s="28" t="s">
        <v>204</v>
      </c>
      <c r="D35" s="28">
        <f>IF(16.82952="","-",16.82952/2113068.17363*100)</f>
        <v>7.9644945724060027E-4</v>
      </c>
      <c r="E35" s="28">
        <f>IF(42.91231="","-",42.91231/2808409.12887*100)</f>
        <v>1.5279935376533377E-3</v>
      </c>
      <c r="F35" s="28" t="str">
        <f>IF(OR(1650717.59844="",""="",16.82952=""),"-",(16.82952-"")/1650717.59844*100)</f>
        <v>-</v>
      </c>
      <c r="G35" s="28">
        <f>IF(OR(2113068.17363="",42.91231="",16.82952=""),"-",(42.91231-16.82952)/2113068.17363*100)</f>
        <v>1.2343562941082428E-3</v>
      </c>
    </row>
    <row r="36" spans="1:7" s="7" customFormat="1" x14ac:dyDescent="0.25">
      <c r="A36" s="27" t="s">
        <v>53</v>
      </c>
      <c r="B36" s="17">
        <v>21.768820000000002</v>
      </c>
      <c r="C36" s="28">
        <f>IF(OR(33.84283="",21.76882=""),"-",21.76882/33.84283*100)</f>
        <v>64.323285020785789</v>
      </c>
      <c r="D36" s="28">
        <f>IF(33.84283="","-",33.84283/2113068.17363*100)</f>
        <v>1.6015966934877469E-3</v>
      </c>
      <c r="E36" s="28">
        <f>IF(21.76882="","-",21.76882/2808409.12887*100)</f>
        <v>7.7512994015793452E-4</v>
      </c>
      <c r="F36" s="28">
        <f>IF(OR(1650717.59844="",18.90038="",33.84283=""),"-",(33.84283-18.90038)/1650717.59844*100)</f>
        <v>9.0520934738451116E-4</v>
      </c>
      <c r="G36" s="28">
        <f>IF(OR(2113068.17363="",21.76882="",33.84283=""),"-",(21.76882-33.84283)/2113068.17363*100)</f>
        <v>-5.7139708745214228E-4</v>
      </c>
    </row>
    <row r="37" spans="1:7" s="7" customFormat="1" x14ac:dyDescent="0.25">
      <c r="A37" s="25" t="s">
        <v>199</v>
      </c>
      <c r="B37" s="16">
        <v>835705.49745999998</v>
      </c>
      <c r="C37" s="90">
        <f>IF(490527.20939="","-",835705.49746/490527.20939*100)</f>
        <v>170.36883611395379</v>
      </c>
      <c r="D37" s="90">
        <f>IF(490527.20939="","-",490527.20939/2113068.17363*100)</f>
        <v>23.213979345840627</v>
      </c>
      <c r="E37" s="90">
        <f>IF(835705.49746="","-",835705.49746/2808409.12887*100)</f>
        <v>29.757256123015701</v>
      </c>
      <c r="F37" s="90">
        <f>IF(1650717.59844="","-",(490527.20939-411933.80685)/1650717.59844*100)</f>
        <v>4.7611658477667023</v>
      </c>
      <c r="G37" s="90">
        <f>IF(2113068.17363="","-",(835705.49746-490527.20939)/2113068.17363*100)</f>
        <v>16.335407081401669</v>
      </c>
    </row>
    <row r="38" spans="1:7" s="7" customFormat="1" x14ac:dyDescent="0.25">
      <c r="A38" s="27" t="s">
        <v>310</v>
      </c>
      <c r="B38" s="17">
        <v>541446.66743999999</v>
      </c>
      <c r="C38" s="28" t="s">
        <v>91</v>
      </c>
      <c r="D38" s="28">
        <f>IF(257697.75121="","-",257697.75121/2113068.17363*100)</f>
        <v>12.195430058809029</v>
      </c>
      <c r="E38" s="28">
        <f>IF(541446.66744="","-",541446.66744/2808409.12887*100)</f>
        <v>19.279479683854255</v>
      </c>
      <c r="F38" s="28">
        <f>IF(OR(1650717.59844="",220849.55435="",257697.75121=""),"-",(257697.75121-220849.55435)/1650717.59844*100)</f>
        <v>2.2322532270100681</v>
      </c>
      <c r="G38" s="28">
        <f>IF(OR(2113068.17363="",541446.66744="",257697.75121=""),"-",(541446.66744-257697.75121)/2113068.17363*100)</f>
        <v>13.428289714976543</v>
      </c>
    </row>
    <row r="39" spans="1:7" s="7" customFormat="1" x14ac:dyDescent="0.25">
      <c r="A39" s="27" t="s">
        <v>10</v>
      </c>
      <c r="B39" s="17">
        <v>229087.66036000001</v>
      </c>
      <c r="C39" s="28">
        <f>IF(OR(184343.40735="",229087.66036=""),"-",229087.66036/184343.40735*100)</f>
        <v>124.2722284746789</v>
      </c>
      <c r="D39" s="28">
        <f>IF(184343.40735="","-",184343.40735/2113068.17363*100)</f>
        <v>8.7239687602373905</v>
      </c>
      <c r="E39" s="28">
        <f>IF(229087.66036="","-",229087.66036/2808409.12887*100)</f>
        <v>8.1572039488483075</v>
      </c>
      <c r="F39" s="28">
        <f>IF(OR(1650717.59844="",148843.56904="",184343.40735=""),"-",(184343.40735-148843.56904)/1650717.59844*100)</f>
        <v>2.1505700516883617</v>
      </c>
      <c r="G39" s="28">
        <f>IF(OR(2113068.17363="",229087.66036="",184343.40735=""),"-",(229087.66036-184343.40735)/2113068.17363*100)</f>
        <v>2.1175016295444316</v>
      </c>
    </row>
    <row r="40" spans="1:7" s="7" customFormat="1" x14ac:dyDescent="0.25">
      <c r="A40" s="27" t="s">
        <v>9</v>
      </c>
      <c r="B40" s="17">
        <v>37965.043230000003</v>
      </c>
      <c r="C40" s="28">
        <f>IF(OR(38965.31052="",37965.04323=""),"-",37965.04323/38965.31052*100)</f>
        <v>97.432928734170915</v>
      </c>
      <c r="D40" s="28">
        <f>IF(38965.31052="","-",38965.31052/2113068.17363*100)</f>
        <v>1.8440157779226887</v>
      </c>
      <c r="E40" s="28">
        <f>IF(37965.04323="","-",37965.04323/2808409.12887*100)</f>
        <v>1.3518344902003552</v>
      </c>
      <c r="F40" s="28">
        <f>IF(OR(1650717.59844="",31036.23113="",38965.31052=""),"-",(38965.31052-31036.23113)/1650717.59844*100)</f>
        <v>0.48034136168980834</v>
      </c>
      <c r="G40" s="28">
        <f>IF(OR(2113068.17363="",37965.04323="",38965.31052=""),"-",(37965.04323-38965.31052)/2113068.17363*100)</f>
        <v>-4.7337199172407946E-2</v>
      </c>
    </row>
    <row r="41" spans="1:7" s="7" customFormat="1" x14ac:dyDescent="0.25">
      <c r="A41" s="27" t="s">
        <v>12</v>
      </c>
      <c r="B41" s="17">
        <v>7085.3657300000004</v>
      </c>
      <c r="C41" s="28" t="s">
        <v>342</v>
      </c>
      <c r="D41" s="28">
        <f>IF(439.33126="","-",439.33126/2113068.17363*100)</f>
        <v>2.0791154089708382E-2</v>
      </c>
      <c r="E41" s="28">
        <f>IF(7085.36573="","-",7085.36573/2808409.12887*100)</f>
        <v>0.25229108028326658</v>
      </c>
      <c r="F41" s="28">
        <f>IF(OR(1650717.59844="",3404.77827="",439.33126=""),"-",(439.33126-3404.77827)/1650717.59844*100)</f>
        <v>-0.17964593173311269</v>
      </c>
      <c r="G41" s="28">
        <f>IF(OR(2113068.17363="",7085.36573="",439.33126=""),"-",(7085.36573-439.33126)/2113068.17363*100)</f>
        <v>0.31452058920479137</v>
      </c>
    </row>
    <row r="42" spans="1:7" s="7" customFormat="1" x14ac:dyDescent="0.25">
      <c r="A42" s="27" t="s">
        <v>13</v>
      </c>
      <c r="B42" s="17">
        <v>6634.9243299999998</v>
      </c>
      <c r="C42" s="28" t="s">
        <v>100</v>
      </c>
      <c r="D42" s="28">
        <f>IF(4076.94868="","-",4076.94868/2113068.17363*100)</f>
        <v>0.19293976081217892</v>
      </c>
      <c r="E42" s="28">
        <f>IF(6634.92433="","-",6634.92433/2808409.12887*100)</f>
        <v>0.23625205678880723</v>
      </c>
      <c r="F42" s="28">
        <f>IF(OR(1650717.59844="",2353.38831="",4076.94868=""),"-",(4076.94868-2353.38831)/1650717.59844*100)</f>
        <v>0.10441279426770754</v>
      </c>
      <c r="G42" s="28">
        <f>IF(OR(2113068.17363="",6634.92433="",4076.94868=""),"-",(6634.92433-4076.94868)/2113068.17363*100)</f>
        <v>0.12105504601896973</v>
      </c>
    </row>
    <row r="43" spans="1:7" s="7" customFormat="1" x14ac:dyDescent="0.25">
      <c r="A43" s="27" t="s">
        <v>11</v>
      </c>
      <c r="B43" s="17">
        <v>5950.5449200000003</v>
      </c>
      <c r="C43" s="28">
        <f>IF(OR(4374.84031="",5950.54492=""),"-",5950.54492/4374.84031*100)</f>
        <v>136.01742002784098</v>
      </c>
      <c r="D43" s="28">
        <f>IF(4374.84031="","-",4374.84031/2113068.17363*100)</f>
        <v>0.20703734808917895</v>
      </c>
      <c r="E43" s="28">
        <f>IF(5950.54492="","-",5950.54492/2808409.12887*100)</f>
        <v>0.2118831212599811</v>
      </c>
      <c r="F43" s="28">
        <f>IF(OR(1650717.59844="",3716.24789="",4374.84031=""),"-",(4374.84031-3716.24789)/1650717.59844*100)</f>
        <v>3.9897340442871514E-2</v>
      </c>
      <c r="G43" s="28">
        <f>IF(OR(2113068.17363="",5950.54492="",4374.84031=""),"-",(5950.54492-4374.84031)/2113068.17363*100)</f>
        <v>7.4569511275782804E-2</v>
      </c>
    </row>
    <row r="44" spans="1:7" s="7" customFormat="1" x14ac:dyDescent="0.25">
      <c r="A44" s="27" t="s">
        <v>14</v>
      </c>
      <c r="B44" s="17">
        <v>4519.1385499999997</v>
      </c>
      <c r="C44" s="28" t="s">
        <v>373</v>
      </c>
      <c r="D44" s="28">
        <f>IF(243.74477="","-",243.74477/2113068.17363*100)</f>
        <v>1.15351115047687E-2</v>
      </c>
      <c r="E44" s="28">
        <f>IF(4519.13855="","-",4519.13855/2808409.12887*100)</f>
        <v>0.16091453711441017</v>
      </c>
      <c r="F44" s="28">
        <f>IF(OR(1650717.59844="",1294.13212="",243.74477=""),"-",(243.74477-1294.13212)/1650717.59844*100)</f>
        <v>-6.3632165246960568E-2</v>
      </c>
      <c r="G44" s="28">
        <f>IF(OR(2113068.17363="",4519.13855="",243.74477=""),"-",(4519.13855-243.74477)/2113068.17363*100)</f>
        <v>0.20233108582840376</v>
      </c>
    </row>
    <row r="45" spans="1:7" s="7" customFormat="1" x14ac:dyDescent="0.25">
      <c r="A45" s="27" t="s">
        <v>326</v>
      </c>
      <c r="B45" s="17">
        <v>2594.5806200000002</v>
      </c>
      <c r="C45" s="28" t="s">
        <v>374</v>
      </c>
      <c r="D45" s="28">
        <f>IF(43.9081="","-",43.9081/2113068.17363*100)</f>
        <v>2.0779310647877063E-3</v>
      </c>
      <c r="E45" s="28">
        <f>IF(2594.58062="","-",2594.58062/2808409.12887*100)</f>
        <v>9.2386133962040054E-2</v>
      </c>
      <c r="F45" s="28">
        <f>IF(OR(1650717.59844="",56.69462="",43.9081=""),"-",(43.9081-56.69462)/1650717.59844*100)</f>
        <v>-7.7460372459128206E-4</v>
      </c>
      <c r="G45" s="28">
        <f>IF(OR(2113068.17363="",2594.58062="",43.9081=""),"-",(2594.58062-43.9081)/2113068.17363*100)</f>
        <v>0.1207094286796364</v>
      </c>
    </row>
    <row r="46" spans="1:7" s="7" customFormat="1" x14ac:dyDescent="0.25">
      <c r="A46" s="27" t="s">
        <v>15</v>
      </c>
      <c r="B46" s="17">
        <v>419.95952999999997</v>
      </c>
      <c r="C46" s="28">
        <f>IF(OR(327.96246="",419.95953=""),"-",419.95953/327.96246*100)</f>
        <v>128.05109767745978</v>
      </c>
      <c r="D46" s="28">
        <f>IF(327.96246="","-",327.96246/2113068.17363*100)</f>
        <v>1.5520675768666729E-2</v>
      </c>
      <c r="E46" s="28">
        <f>IF(419.95953="","-",419.95953/2808409.12887*100)</f>
        <v>1.4953644954464884E-2</v>
      </c>
      <c r="F46" s="28">
        <f>IF(OR(1650717.59844="",379.02561="",327.96246=""),"-",(327.96246-379.02561)/1650717.59844*100)</f>
        <v>-3.0933910226835191E-3</v>
      </c>
      <c r="G46" s="28">
        <f>IF(OR(2113068.17363="",419.95953="",327.96246=""),"-",(419.95953-327.96246)/2113068.17363*100)</f>
        <v>4.3537199200705352E-3</v>
      </c>
    </row>
    <row r="47" spans="1:7" s="7" customFormat="1" x14ac:dyDescent="0.25">
      <c r="A47" s="27" t="s">
        <v>16</v>
      </c>
      <c r="B47" s="17">
        <v>1.6127499999999999</v>
      </c>
      <c r="C47" s="28">
        <f>IF(OR(14.00473="",1.61275=""),"-",1.61275/14.00473*100)</f>
        <v>11.515752178014141</v>
      </c>
      <c r="D47" s="28">
        <f>IF(14.00473="","-",14.00473/2113068.17363*100)</f>
        <v>6.6276754222943689E-4</v>
      </c>
      <c r="E47" s="28">
        <f>IF(1.61275="","-",1.61275/2808409.12887*100)</f>
        <v>5.7425749810495411E-5</v>
      </c>
      <c r="F47" s="28">
        <f>IF(OR(1650717.59844="",0.18551="",14.00473=""),"-",(14.00473-0.18551)/1650717.59844*100)</f>
        <v>8.3716439523391292E-4</v>
      </c>
      <c r="G47" s="28">
        <f>IF(OR(2113068.17363="",1.61275="",14.00473=""),"-",(1.61275-14.00473)/2113068.17363*100)</f>
        <v>-5.8644487454997962E-4</v>
      </c>
    </row>
    <row r="48" spans="1:7" s="7" customFormat="1" x14ac:dyDescent="0.25">
      <c r="A48" s="25" t="s">
        <v>133</v>
      </c>
      <c r="B48" s="16">
        <v>730897.26336999994</v>
      </c>
      <c r="C48" s="26">
        <f>IF(617668.09707="","-",730897.26337/617668.09707*100)</f>
        <v>118.3317167969528</v>
      </c>
      <c r="D48" s="26">
        <f>IF(617668.09707="","-",617668.09707/2113068.17363*100)</f>
        <v>29.230864615641792</v>
      </c>
      <c r="E48" s="26">
        <f>IF(730897.26337="","-",730897.26337/2808409.12887*100)</f>
        <v>26.025312902471796</v>
      </c>
      <c r="F48" s="26">
        <f>IF(1650717.59844="","-",(617668.09707-461277.01646)/1650717.59844*100)</f>
        <v>9.4741269347219887</v>
      </c>
      <c r="G48" s="26">
        <f>IF(2113068.17363="","-",(730897.26337-617668.09707)/2113068.17363*100)</f>
        <v>5.3585193186401394</v>
      </c>
    </row>
    <row r="49" spans="1:7" s="7" customFormat="1" x14ac:dyDescent="0.25">
      <c r="A49" s="69" t="s">
        <v>57</v>
      </c>
      <c r="B49" s="17">
        <v>250668.76415999999</v>
      </c>
      <c r="C49" s="28">
        <f>IF(OR(237248.97067="",250668.76416=""),"-",250668.76416/237248.97067*100)</f>
        <v>105.65641800345939</v>
      </c>
      <c r="D49" s="28">
        <f>IF(237248.97067="","-",237248.97067/2113068.17363*100)</f>
        <v>11.227700725927573</v>
      </c>
      <c r="E49" s="28">
        <f>IF(250668.76416="","-",250668.76416/2808409.12887*100)</f>
        <v>8.9256498130263449</v>
      </c>
      <c r="F49" s="28">
        <f>IF(OR(1650717.59844="",168421.35423="",237248.97067=""),"-",(237248.97067-168421.35423)/1650717.59844*100)</f>
        <v>4.1695573188924078</v>
      </c>
      <c r="G49" s="28">
        <f>IF(OR(2113068.17363="",250668.76416="",237248.97067=""),"-",(250668.76416-237248.97067)/2113068.17363*100)</f>
        <v>0.63508568523590847</v>
      </c>
    </row>
    <row r="50" spans="1:7" s="7" customFormat="1" x14ac:dyDescent="0.25">
      <c r="A50" s="79" t="s">
        <v>54</v>
      </c>
      <c r="B50" s="78">
        <v>191095.47133999999</v>
      </c>
      <c r="C50" s="28">
        <f>IF(OR(156492.55804="",191095.47134=""),"-",191095.47134/156492.55804*100)</f>
        <v>122.11153918971365</v>
      </c>
      <c r="D50" s="28">
        <f>IF(156492.55804="","-",156492.55804/2113068.17363*100)</f>
        <v>7.4059398552752027</v>
      </c>
      <c r="E50" s="28">
        <f>IF(191095.47134="","-",191095.47134/2808409.12887*100)</f>
        <v>6.804402869068074</v>
      </c>
      <c r="F50" s="28">
        <f>IF(OR(1650717.59844="",112021.7743="",156492.55804=""),"-",(156492.55804-112021.7743)/1650717.59844*100)</f>
        <v>2.694027360102468</v>
      </c>
      <c r="G50" s="28">
        <f>IF(OR(2113068.17363="",191095.47134="",156492.55804=""),"-",(191095.47134-156492.55804)/2113068.17363*100)</f>
        <v>1.637567293465799</v>
      </c>
    </row>
    <row r="51" spans="1:7" s="7" customFormat="1" x14ac:dyDescent="0.25">
      <c r="A51" s="79" t="s">
        <v>17</v>
      </c>
      <c r="B51" s="78">
        <v>52028.39688</v>
      </c>
      <c r="C51" s="28" t="s">
        <v>100</v>
      </c>
      <c r="D51" s="28">
        <f>IF(31870.06749="","-",31870.06749/2113068.17363*100)</f>
        <v>1.5082365958525139</v>
      </c>
      <c r="E51" s="28">
        <f>IF(52028.39688="","-",52028.39688/2808409.12887*100)</f>
        <v>1.8525932117637824</v>
      </c>
      <c r="F51" s="28">
        <f>IF(OR(1650717.59844="",22450.03475="",31870.06749=""),"-",(31870.06749-22450.03475)/1650717.59844*100)</f>
        <v>0.57066288921268804</v>
      </c>
      <c r="G51" s="28">
        <f>IF(OR(2113068.17363="",52028.39688="",31870.06749=""),"-",(52028.39688-31870.06749)/2113068.17363*100)</f>
        <v>0.95398386297070503</v>
      </c>
    </row>
    <row r="52" spans="1:7" s="7" customFormat="1" x14ac:dyDescent="0.25">
      <c r="A52" s="69" t="s">
        <v>67</v>
      </c>
      <c r="B52" s="17">
        <v>49180.506600000001</v>
      </c>
      <c r="C52" s="28" t="s">
        <v>314</v>
      </c>
      <c r="D52" s="28">
        <f>IF(15478.38678="","-",15478.38678/2113068.17363*100)</f>
        <v>0.73250768589306658</v>
      </c>
      <c r="E52" s="28">
        <f>IF(49180.5066="","-",49180.5066/2808409.12887*100)</f>
        <v>1.7511873926926171</v>
      </c>
      <c r="F52" s="28">
        <f>IF(OR(1650717.59844="",11933.0918="",15478.38678=""),"-",(15478.38678-11933.0918)/1650717.59844*100)</f>
        <v>0.21477295591629109</v>
      </c>
      <c r="G52" s="28">
        <f>IF(OR(2113068.17363="",49180.5066="",15478.38678=""),"-",(49180.5066-15478.38678)/2113068.17363*100)</f>
        <v>1.5949376475678851</v>
      </c>
    </row>
    <row r="53" spans="1:7" s="7" customFormat="1" ht="25.5" x14ac:dyDescent="0.25">
      <c r="A53" s="79" t="s">
        <v>312</v>
      </c>
      <c r="B53" s="78">
        <v>23042.42657</v>
      </c>
      <c r="C53" s="28">
        <f>IF(OR(20566.54832="",23042.42657=""),"-",23042.42657/20566.54832*100)</f>
        <v>112.03837518808308</v>
      </c>
      <c r="D53" s="28">
        <f>IF(20566.54832="","-",20566.54832/2113068.17363*100)</f>
        <v>0.97330264005013689</v>
      </c>
      <c r="E53" s="28">
        <f>IF(23042.42657="","-",23042.42657/2808409.12887*100)</f>
        <v>0.82047969197676751</v>
      </c>
      <c r="F53" s="28">
        <f>IF(OR(1650717.59844="",18633.42412="",20566.54832=""),"-",(20566.54832-18633.42412)/1650717.59844*100)</f>
        <v>0.11710811115280338</v>
      </c>
      <c r="G53" s="28">
        <f>IF(OR(2113068.17363="",23042.42657="",20566.54832=""),"-",(23042.42657-20566.54832)/2113068.17363*100)</f>
        <v>0.11716982352475327</v>
      </c>
    </row>
    <row r="54" spans="1:7" s="7" customFormat="1" x14ac:dyDescent="0.25">
      <c r="A54" s="69" t="s">
        <v>34</v>
      </c>
      <c r="B54" s="17">
        <v>19907.266060000002</v>
      </c>
      <c r="C54" s="28">
        <f>IF(OR(13055.0557="",19907.26606=""),"-",19907.26606/13055.0557*100)</f>
        <v>152.48702508408294</v>
      </c>
      <c r="D54" s="28">
        <f>IF(13055.0557="","-",13055.0557/2113068.17363*100)</f>
        <v>0.61782463353148553</v>
      </c>
      <c r="E54" s="28">
        <f>IF(19907.26606="","-",19907.26606/2808409.12887*100)</f>
        <v>0.70884494197645442</v>
      </c>
      <c r="F54" s="28">
        <f>IF(OR(1650717.59844="",11740.00177="",13055.0557=""),"-",(13055.0557-11740.00177)/1650717.59844*100)</f>
        <v>7.9665590967394007E-2</v>
      </c>
      <c r="G54" s="28">
        <f>IF(OR(2113068.17363="",19907.26606="",13055.0557=""),"-",(19907.26606-13055.0557)/2113068.17363*100)</f>
        <v>0.32427777037731431</v>
      </c>
    </row>
    <row r="55" spans="1:7" s="7" customFormat="1" x14ac:dyDescent="0.25">
      <c r="A55" s="79" t="s">
        <v>73</v>
      </c>
      <c r="B55" s="78">
        <v>15724.52043</v>
      </c>
      <c r="C55" s="28">
        <f>IF(OR(20674.55767="",15724.52043=""),"-",15724.52043/20674.55767*100)</f>
        <v>76.057348751974544</v>
      </c>
      <c r="D55" s="28">
        <f>IF(20674.55767="","-",20674.55767/2113068.17363*100)</f>
        <v>0.97841413391237464</v>
      </c>
      <c r="E55" s="28">
        <f>IF(15724.52043="","-",15724.52043/2808409.12887*100)</f>
        <v>0.55990846448811271</v>
      </c>
      <c r="F55" s="28">
        <f>IF(OR(1650717.59844="",16257.53407="",20674.55767=""),"-",(20674.55767-16257.53407)/1650717.59844*100)</f>
        <v>0.26758202639714257</v>
      </c>
      <c r="G55" s="28">
        <f>IF(OR(2113068.17363="",15724.52043="",20674.55767=""),"-",(15724.52043-20674.55767)/2113068.17363*100)</f>
        <v>-0.23425828384402866</v>
      </c>
    </row>
    <row r="56" spans="1:7" s="7" customFormat="1" x14ac:dyDescent="0.25">
      <c r="A56" s="79" t="s">
        <v>64</v>
      </c>
      <c r="B56" s="78">
        <v>14198.837450000001</v>
      </c>
      <c r="C56" s="28">
        <f>IF(OR(9433.9903="",14198.83745=""),"-",14198.83745/9433.9903*100)</f>
        <v>150.5072296926148</v>
      </c>
      <c r="D56" s="28">
        <f>IF(9433.9903="","-",9433.9903/2113068.17363*100)</f>
        <v>0.44645934370368773</v>
      </c>
      <c r="E56" s="28">
        <f>IF(14198.83745="","-",14198.83745/2808409.12887*100)</f>
        <v>0.50558294032155804</v>
      </c>
      <c r="F56" s="28">
        <f>IF(OR(1650717.59844="",9747.36785="",9433.9903=""),"-",(9433.9903-9747.36785)/1650717.59844*100)</f>
        <v>-1.8984322351452271E-2</v>
      </c>
      <c r="G56" s="28">
        <f>IF(OR(2113068.17363="",14198.83745="",9433.9903=""),"-",(14198.83745-9433.9903)/2113068.17363*100)</f>
        <v>0.2254942462085622</v>
      </c>
    </row>
    <row r="57" spans="1:7" s="7" customFormat="1" x14ac:dyDescent="0.25">
      <c r="A57" s="93" t="s">
        <v>69</v>
      </c>
      <c r="B57" s="78">
        <v>12171.64716</v>
      </c>
      <c r="C57" s="28">
        <f>IF(OR(15867.88694="",12171.64716=""),"-",12171.64716/15867.88694*100)</f>
        <v>76.706162616507783</v>
      </c>
      <c r="D57" s="28">
        <f>IF(15867.88694="","-",15867.88694/2113068.17363*100)</f>
        <v>0.75094060560956044</v>
      </c>
      <c r="E57" s="28">
        <f>IF(12171.64716="","-",12171.64716/2808409.12887*100)</f>
        <v>0.43340007105365813</v>
      </c>
      <c r="F57" s="28">
        <f>IF(OR(1650717.59844="",7789.85202="",15867.88694=""),"-",(15867.88694-7789.85202)/1650717.59844*100)</f>
        <v>0.48936504509518125</v>
      </c>
      <c r="G57" s="28">
        <f>IF(OR(2113068.17363="",12171.64716="",15867.88694=""),"-",(12171.64716-15867.88694)/2113068.17363*100)</f>
        <v>-0.17492288351730267</v>
      </c>
    </row>
    <row r="58" spans="1:7" s="7" customFormat="1" x14ac:dyDescent="0.25">
      <c r="A58" s="69" t="s">
        <v>311</v>
      </c>
      <c r="B58" s="17">
        <v>11163.716619999999</v>
      </c>
      <c r="C58" s="28">
        <f>IF(OR(11347.75867="",11163.71662=""),"-",11163.71662/11347.75867*100)</f>
        <v>98.378163870487029</v>
      </c>
      <c r="D58" s="28">
        <f>IF(11347.75867="","-",11347.75867/2113068.17363*100)</f>
        <v>0.53702757022296621</v>
      </c>
      <c r="E58" s="28">
        <f>IF(11163.71662="","-",11163.71662/2808409.12887*100)</f>
        <v>0.39751033797884949</v>
      </c>
      <c r="F58" s="28">
        <f>IF(OR(1650717.59844="",8254.26628="",11347.75867=""),"-",(11347.75867-8254.26628)/1650717.59844*100)</f>
        <v>0.18740288423189311</v>
      </c>
      <c r="G58" s="28">
        <f>IF(OR(2113068.17363="",11163.71662="",11347.75867=""),"-",(11163.71662-11347.75867)/2113068.17363*100)</f>
        <v>-8.7097071593216814E-3</v>
      </c>
    </row>
    <row r="59" spans="1:7" s="7" customFormat="1" x14ac:dyDescent="0.25">
      <c r="A59" s="69" t="s">
        <v>76</v>
      </c>
      <c r="B59" s="17">
        <v>8223.2356199999995</v>
      </c>
      <c r="C59" s="28">
        <f>IF(OR(8562.93716="",8223.23562=""),"-",8223.23562/8562.93716*100)</f>
        <v>96.032885286291176</v>
      </c>
      <c r="D59" s="28">
        <f>IF(8562.93716="","-",8562.93716/2113068.17363*100)</f>
        <v>0.40523714600697858</v>
      </c>
      <c r="E59" s="28">
        <f>IF(8223.23562="","-",8223.23562/2808409.12887*100)</f>
        <v>0.29280760895791297</v>
      </c>
      <c r="F59" s="28">
        <f>IF(OR(1650717.59844="",7472.3006="",8562.93716=""),"-",(8562.93716-7472.3006)/1650717.59844*100)</f>
        <v>6.6070450877285053E-2</v>
      </c>
      <c r="G59" s="28">
        <f>IF(OR(2113068.17363="",8223.23562="",8562.93716=""),"-",(8223.23562-8562.93716)/2113068.17363*100)</f>
        <v>-1.6076222444656538E-2</v>
      </c>
    </row>
    <row r="60" spans="1:7" s="7" customFormat="1" x14ac:dyDescent="0.25">
      <c r="A60" s="79" t="s">
        <v>60</v>
      </c>
      <c r="B60" s="78">
        <v>7491.4068699999998</v>
      </c>
      <c r="C60" s="28" t="s">
        <v>198</v>
      </c>
      <c r="D60" s="28">
        <f>IF(4224.62328="","-",4224.62328/2113068.17363*100)</f>
        <v>0.19992839477311319</v>
      </c>
      <c r="E60" s="28">
        <f>IF(7491.40687="","-",7491.40687/2808409.12887*100)</f>
        <v>0.26674912828724012</v>
      </c>
      <c r="F60" s="28">
        <f>IF(OR(1650717.59844="",4205.7248="",4224.62328=""),"-",(4224.62328-4205.7248)/1650717.59844*100)</f>
        <v>1.1448645133401208E-3</v>
      </c>
      <c r="G60" s="28">
        <f>IF(OR(2113068.17363="",7491.40687="",4224.62328=""),"-",(7491.40687-4224.62328)/2113068.17363*100)</f>
        <v>0.15459906266952353</v>
      </c>
    </row>
    <row r="61" spans="1:7" s="7" customFormat="1" x14ac:dyDescent="0.25">
      <c r="A61" s="79" t="s">
        <v>71</v>
      </c>
      <c r="B61" s="78">
        <v>6843.6816099999996</v>
      </c>
      <c r="C61" s="28" t="s">
        <v>198</v>
      </c>
      <c r="D61" s="28">
        <f>IF(3854.95471="","-",3854.95471/2113068.17363*100)</f>
        <v>0.18243399612505856</v>
      </c>
      <c r="E61" s="28">
        <f>IF(6843.68161="","-",6843.68161/2808409.12887*100)</f>
        <v>0.24368534981773271</v>
      </c>
      <c r="F61" s="28">
        <f>IF(OR(1650717.59844="",3101.68261="",3854.95471=""),"-",(3854.95471-3101.68261)/1650717.59844*100)</f>
        <v>4.5633008378409189E-2</v>
      </c>
      <c r="G61" s="28">
        <f>IF(OR(2113068.17363="",6843.68161="",3854.95471=""),"-",(6843.68161-3854.95471)/2113068.17363*100)</f>
        <v>0.14144015499820442</v>
      </c>
    </row>
    <row r="62" spans="1:7" s="7" customFormat="1" x14ac:dyDescent="0.25">
      <c r="A62" s="79" t="s">
        <v>328</v>
      </c>
      <c r="B62" s="78">
        <v>6176.3590999999997</v>
      </c>
      <c r="C62" s="28">
        <f>IF(OR(6104.25488="",6176.3591=""),"-",6176.3591/6104.25488*100)</f>
        <v>101.18121247256961</v>
      </c>
      <c r="D62" s="28">
        <f>IF(6104.25488="","-",6104.25488/2113068.17363*100)</f>
        <v>0.28888111402073774</v>
      </c>
      <c r="E62" s="28">
        <f>IF(6176.3591="","-",6176.3591/2808409.12887*100)</f>
        <v>0.21992376525585283</v>
      </c>
      <c r="F62" s="28">
        <f>IF(OR(1650717.59844="",4935.57539="",6104.25488=""),"-",(6104.25488-4935.57539)/1650717.59844*100)</f>
        <v>7.0798269256016497E-2</v>
      </c>
      <c r="G62" s="28">
        <f>IF(OR(2113068.17363="",6176.3591="",6104.25488=""),"-",(6176.3591-6104.25488)/2113068.17363*100)</f>
        <v>3.4122997497109987E-3</v>
      </c>
    </row>
    <row r="63" spans="1:7" s="7" customFormat="1" x14ac:dyDescent="0.25">
      <c r="A63" s="79" t="s">
        <v>75</v>
      </c>
      <c r="B63" s="78">
        <v>5118.1325500000003</v>
      </c>
      <c r="C63" s="28">
        <f>IF(OR(4583.30454="",5118.13255=""),"-",5118.13255/4583.30454*100)</f>
        <v>111.66904807071801</v>
      </c>
      <c r="D63" s="28">
        <f>IF(4583.30454="","-",4583.30454/2113068.17363*100)</f>
        <v>0.21690282392197632</v>
      </c>
      <c r="E63" s="28">
        <f>IF(5118.13255="","-",5118.13255/2808409.12887*100)</f>
        <v>0.18224312467106057</v>
      </c>
      <c r="F63" s="28">
        <f>IF(OR(1650717.59844="",3049.81878="",4583.30454=""),"-",(4583.30454-3049.81878)/1650717.59844*100)</f>
        <v>9.2898128756197351E-2</v>
      </c>
      <c r="G63" s="28">
        <f>IF(OR(2113068.17363="",5118.13255="",4583.30454=""),"-",(5118.13255-4583.30454)/2113068.17363*100)</f>
        <v>2.5310494790200221E-2</v>
      </c>
    </row>
    <row r="64" spans="1:7" s="7" customFormat="1" x14ac:dyDescent="0.25">
      <c r="A64" s="79" t="s">
        <v>79</v>
      </c>
      <c r="B64" s="78">
        <v>4141.1411500000004</v>
      </c>
      <c r="C64" s="28">
        <f>IF(OR(3912.59012="",4141.14115=""),"-",4141.14115/3912.59012*100)</f>
        <v>105.84142532159746</v>
      </c>
      <c r="D64" s="28">
        <f>IF(3912.59012="","-",3912.59012/2113068.17363*100)</f>
        <v>0.18516156595547198</v>
      </c>
      <c r="E64" s="28">
        <f>IF(4141.14115="","-",4141.14115/2808409.12887*100)</f>
        <v>0.1474550523080746</v>
      </c>
      <c r="F64" s="28">
        <f>IF(OR(1650717.59844="",2494.82648="",3912.59012=""),"-",(3912.59012-2494.82648)/1650717.59844*100)</f>
        <v>8.5887715823702845E-2</v>
      </c>
      <c r="G64" s="28">
        <f>IF(OR(2113068.17363="",4141.14115="",3912.59012=""),"-",(4141.14115-3912.59012)/2113068.17363*100)</f>
        <v>1.0816074599589326E-2</v>
      </c>
    </row>
    <row r="65" spans="1:7" s="7" customFormat="1" x14ac:dyDescent="0.25">
      <c r="A65" s="79" t="s">
        <v>59</v>
      </c>
      <c r="B65" s="78">
        <v>3557.36006</v>
      </c>
      <c r="C65" s="28">
        <f>IF(OR(4746.84417="",3557.36006=""),"-",3557.36006/4746.84417*100)</f>
        <v>74.941580818735815</v>
      </c>
      <c r="D65" s="28">
        <f>IF(4746.84417="","-",4746.84417/2113068.17363*100)</f>
        <v>0.22464226328512091</v>
      </c>
      <c r="E65" s="28">
        <f>IF(3557.36006="","-",3557.36006/2808409.12887*100)</f>
        <v>0.12666815612550547</v>
      </c>
      <c r="F65" s="28">
        <f>IF(OR(1650717.59844="",3218.12282="",4746.84417=""),"-",(4746.84417-3218.12282)/1650717.59844*100)</f>
        <v>9.2609502161042481E-2</v>
      </c>
      <c r="G65" s="28">
        <f>IF(OR(2113068.17363="",3557.36006="",4746.84417=""),"-",(3557.36006-4746.84417)/2113068.17363*100)</f>
        <v>-5.6291799992264711E-2</v>
      </c>
    </row>
    <row r="66" spans="1:7" s="7" customFormat="1" x14ac:dyDescent="0.25">
      <c r="A66" s="69" t="s">
        <v>68</v>
      </c>
      <c r="B66" s="17">
        <v>3417.85275</v>
      </c>
      <c r="C66" s="28">
        <f>IF(OR(4092.14105="",3417.85275=""),"-",3417.85275/4092.14105*100)</f>
        <v>83.522359279380169</v>
      </c>
      <c r="D66" s="28">
        <f>IF(4092.14105="","-",4092.14105/2113068.17363*100)</f>
        <v>0.19365873288272512</v>
      </c>
      <c r="E66" s="28">
        <f>IF(3417.85275="","-",3417.85275/2808409.12887*100)</f>
        <v>0.1217006708483111</v>
      </c>
      <c r="F66" s="28">
        <f>IF(OR(1650717.59844="",3155.37788="",4092.14105=""),"-",(4092.14105-3155.37788)/1650717.59844*100)</f>
        <v>5.674884491964477E-2</v>
      </c>
      <c r="G66" s="28">
        <f>IF(OR(2113068.17363="",3417.85275="",4092.14105=""),"-",(3417.85275-4092.14105)/2113068.17363*100)</f>
        <v>-3.1910390228520311E-2</v>
      </c>
    </row>
    <row r="67" spans="1:7" s="7" customFormat="1" x14ac:dyDescent="0.25">
      <c r="A67" s="79" t="s">
        <v>81</v>
      </c>
      <c r="B67" s="78">
        <v>3101.68552</v>
      </c>
      <c r="C67" s="28">
        <f>IF(OR(2275.79068="",3101.68552=""),"-",3101.68552/2275.79068*100)</f>
        <v>136.29045708193161</v>
      </c>
      <c r="D67" s="28">
        <f>IF(2275.79068="","-",2275.79068/2113068.17363*100)</f>
        <v>0.10770076935522918</v>
      </c>
      <c r="E67" s="28">
        <f>IF(3101.68552="","-",3101.68552/2808409.12887*100)</f>
        <v>0.11044279439612857</v>
      </c>
      <c r="F67" s="28">
        <f>IF(OR(1650717.59844="",1818.80047="",2275.79068=""),"-",(2275.79068-1818.80047)/1650717.59844*100)</f>
        <v>2.7684336220312657E-2</v>
      </c>
      <c r="G67" s="28">
        <f>IF(OR(2113068.17363="",3101.68552="",2275.79068=""),"-",(3101.68552-2275.79068)/2113068.17363*100)</f>
        <v>3.9085101479769617E-2</v>
      </c>
    </row>
    <row r="68" spans="1:7" s="7" customFormat="1" x14ac:dyDescent="0.25">
      <c r="A68" s="69" t="s">
        <v>80</v>
      </c>
      <c r="B68" s="17">
        <v>3005.5895700000001</v>
      </c>
      <c r="C68" s="28">
        <f>IF(OR(2646.46924="",3005.58957=""),"-",3005.58957/2646.46924*100)</f>
        <v>113.5697904427561</v>
      </c>
      <c r="D68" s="28">
        <f>IF(2646.46924="","-",2646.46924/2113068.17363*100)</f>
        <v>0.12524296532532975</v>
      </c>
      <c r="E68" s="28">
        <f>IF(3005.58957="","-",3005.58957/2808409.12887*100)</f>
        <v>0.10702107250339761</v>
      </c>
      <c r="F68" s="28">
        <f>IF(OR(1650717.59844="",3542.6399="",2646.46924=""),"-",(2646.46924-3542.6399)/1650717.59844*100)</f>
        <v>-5.4289762273505807E-2</v>
      </c>
      <c r="G68" s="28">
        <f>IF(OR(2113068.17363="",3005.58957="",2646.46924=""),"-",(3005.58957-2646.46924)/2113068.17363*100)</f>
        <v>1.6995207938940944E-2</v>
      </c>
    </row>
    <row r="69" spans="1:7" s="7" customFormat="1" x14ac:dyDescent="0.25">
      <c r="A69" s="69" t="s">
        <v>63</v>
      </c>
      <c r="B69" s="17">
        <v>2858.3951400000001</v>
      </c>
      <c r="C69" s="28">
        <f>IF(OR(2677.80885="",2858.39514=""),"-",2858.39514/2677.80885*100)</f>
        <v>106.74380809518948</v>
      </c>
      <c r="D69" s="28">
        <f>IF(2677.80885="","-",2677.80885/2113068.17363*100)</f>
        <v>0.12672609825928344</v>
      </c>
      <c r="E69" s="28">
        <f>IF(2858.39514="","-",2858.39514/2808409.12887*100)</f>
        <v>0.10177986927247001</v>
      </c>
      <c r="F69" s="28">
        <f>IF(OR(1650717.59844="",1962.42609="",2677.80885=""),"-",(2677.80885-1962.42609)/1650717.59844*100)</f>
        <v>4.3337682997750052E-2</v>
      </c>
      <c r="G69" s="28">
        <f>IF(OR(2113068.17363="",2858.39514="",2677.80885=""),"-",(2858.39514-2677.80885)/2113068.17363*100)</f>
        <v>8.5461648731273258E-3</v>
      </c>
    </row>
    <row r="70" spans="1:7" s="7" customFormat="1" x14ac:dyDescent="0.25">
      <c r="A70" s="69" t="s">
        <v>72</v>
      </c>
      <c r="B70" s="17">
        <v>2560.1677599999998</v>
      </c>
      <c r="C70" s="28" t="s">
        <v>99</v>
      </c>
      <c r="D70" s="28">
        <f>IF(1524.35601="","-",1524.35601/2113068.17363*100)</f>
        <v>7.2139461898256568E-2</v>
      </c>
      <c r="E70" s="28">
        <f>IF(2560.16776="","-",2560.16776/2808409.12887*100)</f>
        <v>9.1160783294780001E-2</v>
      </c>
      <c r="F70" s="28">
        <f>IF(OR(1650717.59844="",1856.50361="",1524.35601=""),"-",(1524.35601-1856.50361)/1650717.59844*100)</f>
        <v>-2.0121406612123961E-2</v>
      </c>
      <c r="G70" s="28">
        <f>IF(OR(2113068.17363="",2560.16776="",1524.35601=""),"-",(2560.16776-1524.35601)/2113068.17363*100)</f>
        <v>4.9019324739560971E-2</v>
      </c>
    </row>
    <row r="71" spans="1:7" s="7" customFormat="1" x14ac:dyDescent="0.25">
      <c r="A71" s="79" t="s">
        <v>70</v>
      </c>
      <c r="B71" s="78">
        <v>2432.9535799999999</v>
      </c>
      <c r="C71" s="28" t="s">
        <v>99</v>
      </c>
      <c r="D71" s="28">
        <f>IF(1439.12869="","-",1439.12869/2113068.17363*100)</f>
        <v>6.8106117349150536E-2</v>
      </c>
      <c r="E71" s="28">
        <f>IF(2432.95358="","-",2432.95358/2808409.12887*100)</f>
        <v>8.6631023770348245E-2</v>
      </c>
      <c r="F71" s="28">
        <f>IF(OR(1650717.59844="",709.15626="",1439.12869=""),"-",(1439.12869-709.15626)/1650717.59844*100)</f>
        <v>4.4221521033631417E-2</v>
      </c>
      <c r="G71" s="28">
        <f>IF(OR(2113068.17363="",2432.95358="",1439.12869=""),"-",(2432.95358-1439.12869)/2113068.17363*100)</f>
        <v>4.703231549281852E-2</v>
      </c>
    </row>
    <row r="72" spans="1:7" s="7" customFormat="1" x14ac:dyDescent="0.25">
      <c r="A72" s="69" t="s">
        <v>66</v>
      </c>
      <c r="B72" s="17">
        <v>2303.77853</v>
      </c>
      <c r="C72" s="28">
        <f>IF(OR(2097.36752="",2303.77853=""),"-",2303.77853/2097.36752*100)</f>
        <v>109.84143255923027</v>
      </c>
      <c r="D72" s="28">
        <f>IF(2097.36752="","-",2097.36752/2113068.17363*100)</f>
        <v>9.9256973635496654E-2</v>
      </c>
      <c r="E72" s="28">
        <f>IF(2303.77853="","-",2303.77853/2808409.12887*100)</f>
        <v>8.2031442866266263E-2</v>
      </c>
      <c r="F72" s="28">
        <f>IF(OR(1650717.59844="",1702.42806="",2097.36752=""),"-",(2097.36752-1702.42806)/1650717.59844*100)</f>
        <v>2.3925319532137709E-2</v>
      </c>
      <c r="G72" s="28">
        <f>IF(OR(2113068.17363="",2303.77853="",2097.36752=""),"-",(2303.77853-2097.36752)/2113068.17363*100)</f>
        <v>9.7683081206703642E-3</v>
      </c>
    </row>
    <row r="73" spans="1:7" s="7" customFormat="1" x14ac:dyDescent="0.25">
      <c r="A73" s="69" t="s">
        <v>61</v>
      </c>
      <c r="B73" s="17">
        <v>2248.0465100000001</v>
      </c>
      <c r="C73" s="28">
        <f>IF(OR(2479.00043="",2248.04651=""),"-",2248.04651/2479.00043*100)</f>
        <v>90.683586932657363</v>
      </c>
      <c r="D73" s="28">
        <f>IF(2479.00043="","-",2479.00043/2113068.17363*100)</f>
        <v>0.11731757928762762</v>
      </c>
      <c r="E73" s="28">
        <f>IF(2248.04651="","-",2248.04651/2808409.12887*100)</f>
        <v>8.0046973458761356E-2</v>
      </c>
      <c r="F73" s="28">
        <f>IF(OR(1650717.59844="",4038.6658="",2479.00043=""),"-",(2479.00043-4038.6658)/1650717.59844*100)</f>
        <v>-9.4484082042497863E-2</v>
      </c>
      <c r="G73" s="28">
        <f>IF(OR(2113068.17363="",2248.04651="",2479.00043=""),"-",(2248.04651-2479.00043)/2113068.17363*100)</f>
        <v>-1.0929790287042586E-2</v>
      </c>
    </row>
    <row r="74" spans="1:7" s="7" customFormat="1" x14ac:dyDescent="0.25">
      <c r="A74" s="79" t="s">
        <v>122</v>
      </c>
      <c r="B74" s="78">
        <v>2217.6017999999999</v>
      </c>
      <c r="C74" s="28">
        <f>IF(OR(2274.42948="",2217.6018=""),"-",2217.6018/2274.42948*100)</f>
        <v>97.501453419430703</v>
      </c>
      <c r="D74" s="28">
        <f>IF(2274.42948="","-",2274.42948/2113068.17363*100)</f>
        <v>0.10763635117805026</v>
      </c>
      <c r="E74" s="28">
        <f>IF(2217.6018="","-",2217.6018/2808409.12887*100)</f>
        <v>7.8962918087802994E-2</v>
      </c>
      <c r="F74" s="28">
        <f>IF(OR(1650717.59844="",1220.79066="",2274.42948=""),"-",(2274.42948-1220.79066)/1650717.59844*100)</f>
        <v>6.3829138369623881E-2</v>
      </c>
      <c r="G74" s="28">
        <f>IF(OR(2113068.17363="",2217.6018="",2274.42948=""),"-",(2217.6018-2274.42948)/2113068.17363*100)</f>
        <v>-2.6893443718087272E-3</v>
      </c>
    </row>
    <row r="75" spans="1:7" s="7" customFormat="1" x14ac:dyDescent="0.25">
      <c r="A75" s="79" t="s">
        <v>77</v>
      </c>
      <c r="B75" s="78">
        <v>1683.3276499999999</v>
      </c>
      <c r="C75" s="28">
        <f>IF(OR(1450.47059="",1683.32765=""),"-",1683.32765/1450.47059*100)</f>
        <v>116.05389737685063</v>
      </c>
      <c r="D75" s="28">
        <f>IF(1450.47059="","-",1450.47059/2113068.17363*100)</f>
        <v>6.8642867660453369E-2</v>
      </c>
      <c r="E75" s="28">
        <f>IF(1683.32765="","-",1683.32765/2808409.12887*100)</f>
        <v>5.9938832725462216E-2</v>
      </c>
      <c r="F75" s="28">
        <f>IF(OR(1650717.59844="",2046.16877="",1450.47059=""),"-",(1450.47059-2046.16877)/1650717.59844*100)</f>
        <v>-3.608722537173898E-2</v>
      </c>
      <c r="G75" s="28">
        <f>IF(OR(2113068.17363="",1683.32765="",1450.47059=""),"-",(1683.32765-1450.47059)/2113068.17363*100)</f>
        <v>1.1019855530736582E-2</v>
      </c>
    </row>
    <row r="76" spans="1:7" s="7" customFormat="1" x14ac:dyDescent="0.25">
      <c r="A76" s="79" t="s">
        <v>82</v>
      </c>
      <c r="B76" s="78">
        <v>1471.22731</v>
      </c>
      <c r="C76" s="28">
        <f>IF(OR(2601.87899="",1471.22731=""),"-",1471.22731/2601.87899*100)</f>
        <v>56.544801493631333</v>
      </c>
      <c r="D76" s="28">
        <f>IF(2601.87899="","-",2601.87899/2113068.17363*100)</f>
        <v>0.12313275181890045</v>
      </c>
      <c r="E76" s="28">
        <f>IF(1471.22731="","-",1471.22731/2808409.12887*100)</f>
        <v>5.2386502197134192E-2</v>
      </c>
      <c r="F76" s="28">
        <f>IF(OR(1650717.59844="",1508.88017="",2601.87899=""),"-",(2601.87899-1508.88017)/1650717.59844*100)</f>
        <v>6.6213555912466901E-2</v>
      </c>
      <c r="G76" s="28">
        <f>IF(OR(2113068.17363="",1471.22731="",2601.87899=""),"-",(1471.22731-2601.87899)/2113068.17363*100)</f>
        <v>-5.3507581729257452E-2</v>
      </c>
    </row>
    <row r="77" spans="1:7" s="7" customFormat="1" x14ac:dyDescent="0.25">
      <c r="A77" s="69" t="s">
        <v>85</v>
      </c>
      <c r="B77" s="17">
        <v>1437.2553</v>
      </c>
      <c r="C77" s="28">
        <f>IF(OR(2438.92952="",1437.2553=""),"-",1437.2553/2438.92952*100)</f>
        <v>58.929759479068501</v>
      </c>
      <c r="D77" s="28">
        <f>IF(2438.92952="","-",2438.92952/2113068.17363*100)</f>
        <v>0.11542124151206201</v>
      </c>
      <c r="E77" s="28">
        <f>IF(1437.2553="","-",1437.2553/2808409.12887*100)</f>
        <v>5.1176849029055047E-2</v>
      </c>
      <c r="F77" s="28">
        <f>IF(OR(1650717.59844="",905.05496="",2438.92952=""),"-",(2438.92952-905.05496)/1650717.59844*100)</f>
        <v>9.2921682148998611E-2</v>
      </c>
      <c r="G77" s="28">
        <f>IF(OR(2113068.17363="",1437.2553="",2438.92952=""),"-",(1437.2553-2438.92952)/2113068.17363*100)</f>
        <v>-4.7403781501249097E-2</v>
      </c>
    </row>
    <row r="78" spans="1:7" s="7" customFormat="1" x14ac:dyDescent="0.25">
      <c r="A78" s="79" t="s">
        <v>87</v>
      </c>
      <c r="B78" s="78">
        <v>1371.7927099999999</v>
      </c>
      <c r="C78" s="28">
        <f>IF(OR(1260.18038="",1371.79271=""),"-",1371.79271/1260.18038*100)</f>
        <v>108.8568534926722</v>
      </c>
      <c r="D78" s="28">
        <f>IF(1260.18038="","-",1260.18038/2113068.17363*100)</f>
        <v>5.9637469142093967E-2</v>
      </c>
      <c r="E78" s="28">
        <f>IF(1371.79271="","-",1371.79271/2808409.12887*100)</f>
        <v>4.884589983340349E-2</v>
      </c>
      <c r="F78" s="28">
        <f>IF(OR(1650717.59844="",570.67829="",1260.18038=""),"-",(1260.18038-570.67829)/1650717.59844*100)</f>
        <v>4.176983941115122E-2</v>
      </c>
      <c r="G78" s="28">
        <f>IF(OR(2113068.17363="",1371.79271="",1260.18038=""),"-",(1371.79271-1260.18038)/2113068.17363*100)</f>
        <v>5.2820032686528616E-3</v>
      </c>
    </row>
    <row r="79" spans="1:7" s="7" customFormat="1" x14ac:dyDescent="0.25">
      <c r="A79" s="69" t="s">
        <v>37</v>
      </c>
      <c r="B79" s="17">
        <v>1124.8366799999999</v>
      </c>
      <c r="C79" s="28">
        <f>IF(OR(1139.86623="",1124.83668=""),"-",1124.83668/1139.86623*100)</f>
        <v>98.681463701227443</v>
      </c>
      <c r="D79" s="28">
        <f>IF(1139.86623="","-",1139.86623/2113068.17363*100)</f>
        <v>5.3943656159557096E-2</v>
      </c>
      <c r="E79" s="28">
        <f>IF(1124.83668="","-",1124.83668/2808409.12887*100)</f>
        <v>4.0052450636086367E-2</v>
      </c>
      <c r="F79" s="28">
        <f>IF(OR(1650717.59844="",1030.10053="",1139.86623=""),"-",(1139.86623-1030.10053)/1650717.59844*100)</f>
        <v>6.6495747124604172E-3</v>
      </c>
      <c r="G79" s="28">
        <f>IF(OR(2113068.17363="",1124.83668="",1139.86623=""),"-",(1124.83668-1139.86623)/2113068.17363*100)</f>
        <v>-7.1126668734881459E-4</v>
      </c>
    </row>
    <row r="80" spans="1:7" s="7" customFormat="1" x14ac:dyDescent="0.25">
      <c r="A80" s="69" t="s">
        <v>313</v>
      </c>
      <c r="B80" s="17">
        <v>1124.53269</v>
      </c>
      <c r="C80" s="28" t="s">
        <v>197</v>
      </c>
      <c r="D80" s="28">
        <f>IF(500.95161="","-",500.95161/2113068.17363*100)</f>
        <v>2.3707309411575901E-2</v>
      </c>
      <c r="E80" s="28">
        <f>IF(1124.53269="","-",1124.53269/2808409.12887*100)</f>
        <v>4.0041626358495362E-2</v>
      </c>
      <c r="F80" s="28">
        <f>IF(OR(1650717.59844="",619.79803="",500.95161=""),"-",(500.95161-619.79803)/1650717.59844*100)</f>
        <v>-7.1996821329290391E-3</v>
      </c>
      <c r="G80" s="28">
        <f>IF(OR(2113068.17363="",1124.53269="",500.95161=""),"-",(1124.53269-500.95161)/2113068.17363*100)</f>
        <v>2.9510693870740658E-2</v>
      </c>
    </row>
    <row r="81" spans="1:7" s="7" customFormat="1" x14ac:dyDescent="0.25">
      <c r="A81" s="69" t="s">
        <v>84</v>
      </c>
      <c r="B81" s="17">
        <v>1102.2838099999999</v>
      </c>
      <c r="C81" s="28">
        <f>IF(OR(1164.65285="",1102.28381=""),"-",1102.28381/1164.65285*100)</f>
        <v>94.644838588597452</v>
      </c>
      <c r="D81" s="28">
        <f>IF(1164.65285="","-",1164.65285/2113068.17363*100)</f>
        <v>5.511667179195949E-2</v>
      </c>
      <c r="E81" s="28">
        <f>IF(1102.28381="","-",1102.28381/2808409.12887*100)</f>
        <v>3.9249402755057922E-2</v>
      </c>
      <c r="F81" s="28">
        <f>IF(OR(1650717.59844="",593.51056="",1164.65285=""),"-",(1164.65285-593.51056)/1650717.59844*100)</f>
        <v>3.4599636578646419E-2</v>
      </c>
      <c r="G81" s="28">
        <f>IF(OR(2113068.17363="",1102.28381="",1164.65285=""),"-",(1102.28381-1164.65285)/2113068.17363*100)</f>
        <v>-2.9515867390524104E-3</v>
      </c>
    </row>
    <row r="82" spans="1:7" s="7" customFormat="1" x14ac:dyDescent="0.25">
      <c r="A82" s="69" t="s">
        <v>86</v>
      </c>
      <c r="B82" s="17">
        <v>1042.49298</v>
      </c>
      <c r="C82" s="28">
        <f>IF(OR(1384.67045="",1042.49298=""),"-",1042.49298/1384.67045*100)</f>
        <v>75.288165498151557</v>
      </c>
      <c r="D82" s="28">
        <f>IF(1384.67045="","-",1384.67045/2113068.17363*100)</f>
        <v>6.5528905658604503E-2</v>
      </c>
      <c r="E82" s="28">
        <f>IF(1042.49298="","-",1042.49298/2808409.12887*100)</f>
        <v>3.7120409889119702E-2</v>
      </c>
      <c r="F82" s="28">
        <f>IF(OR(1650717.59844="",435.82164="",1384.67045=""),"-",(1384.67045-435.82164)/1650717.59844*100)</f>
        <v>5.7480989534291232E-2</v>
      </c>
      <c r="G82" s="28">
        <f>IF(OR(2113068.17363="",1042.49298="",1384.67045=""),"-",(1042.49298-1384.67045)/2113068.17363*100)</f>
        <v>-1.6193394717226743E-2</v>
      </c>
    </row>
    <row r="83" spans="1:7" s="7" customFormat="1" x14ac:dyDescent="0.25">
      <c r="A83" s="69" t="s">
        <v>78</v>
      </c>
      <c r="B83" s="17">
        <v>958.17944</v>
      </c>
      <c r="C83" s="28" t="s">
        <v>204</v>
      </c>
      <c r="D83" s="28">
        <f>IF(384.26588="","-",384.26588/2113068.17363*100)</f>
        <v>1.8185209772000721E-2</v>
      </c>
      <c r="E83" s="28">
        <f>IF(958.17944="","-",958.17944/2808409.12887*100)</f>
        <v>3.4118228364595007E-2</v>
      </c>
      <c r="F83" s="28">
        <f>IF(OR(1650717.59844="",1486.50718="",384.26588=""),"-",(384.26588-1486.50718)/1650717.59844*100)</f>
        <v>-6.6773462707471351E-2</v>
      </c>
      <c r="G83" s="28">
        <f>IF(OR(2113068.17363="",958.17944="",384.26588=""),"-",(958.17944-384.26588)/2113068.17363*100)</f>
        <v>2.7160200847381303E-2</v>
      </c>
    </row>
    <row r="84" spans="1:7" s="7" customFormat="1" x14ac:dyDescent="0.25">
      <c r="A84" s="69" t="s">
        <v>56</v>
      </c>
      <c r="B84" s="17">
        <v>924.40648999999996</v>
      </c>
      <c r="C84" s="28">
        <f>IF(OR(1323.82611="",924.40649=""),"-",924.40649/1323.82611*100)</f>
        <v>69.828392340743306</v>
      </c>
      <c r="D84" s="28">
        <f>IF(1323.82611="","-",1323.82611/2113068.17363*100)</f>
        <v>6.2649474660622234E-2</v>
      </c>
      <c r="E84" s="28">
        <f>IF(924.40649="","-",924.40649/2808409.12887*100)</f>
        <v>3.291566319512524E-2</v>
      </c>
      <c r="F84" s="28">
        <f>IF(OR(1650717.59844="",2406.07414="",1323.82611=""),"-",(1323.82611-2406.07414)/1650717.59844*100)</f>
        <v>-6.5562276129046651E-2</v>
      </c>
      <c r="G84" s="28">
        <f>IF(OR(2113068.17363="",924.40649="",1323.82611=""),"-",(924.40649-1323.82611)/2113068.17363*100)</f>
        <v>-1.8902353695188383E-2</v>
      </c>
    </row>
    <row r="85" spans="1:7" s="7" customFormat="1" x14ac:dyDescent="0.25">
      <c r="A85" s="79" t="s">
        <v>83</v>
      </c>
      <c r="B85" s="78">
        <v>695.88906999999995</v>
      </c>
      <c r="C85" s="28">
        <f>IF(OR(918.14871="",695.88907=""),"-",695.88907/918.14871*100)</f>
        <v>75.792631675101944</v>
      </c>
      <c r="D85" s="28">
        <f>IF(918.14871="","-",918.14871/2113068.17363*100)</f>
        <v>4.3450974344227122E-2</v>
      </c>
      <c r="E85" s="28">
        <f>IF(695.88907="","-",695.88907/2808409.12887*100)</f>
        <v>2.4778763992979895E-2</v>
      </c>
      <c r="F85" s="28">
        <f>IF(OR(1650717.59844="",1885.60504="",918.14871=""),"-",(918.14871-1885.60504)/1650717.59844*100)</f>
        <v>-5.8608227774047367E-2</v>
      </c>
      <c r="G85" s="28">
        <f>IF(OR(2113068.17363="",695.88907="",918.14871=""),"-",(695.88907-918.14871)/2113068.17363*100)</f>
        <v>-1.0518337400264017E-2</v>
      </c>
    </row>
    <row r="86" spans="1:7" s="7" customFormat="1" x14ac:dyDescent="0.25">
      <c r="A86" s="69" t="s">
        <v>98</v>
      </c>
      <c r="B86" s="17">
        <v>689.74143000000004</v>
      </c>
      <c r="C86" s="28" t="s">
        <v>101</v>
      </c>
      <c r="D86" s="28">
        <f>IF(358.07891="","-",358.07891/2113068.17363*100)</f>
        <v>1.6945923206294993E-2</v>
      </c>
      <c r="E86" s="28">
        <f>IF(689.74143="","-",689.74143/2808409.12887*100)</f>
        <v>2.4559862838699948E-2</v>
      </c>
      <c r="F86" s="28">
        <f>IF(OR(1650717.59844="",219.29938="",358.07891=""),"-",(358.07891-219.29938)/1650717.59844*100)</f>
        <v>8.4072242357598106E-3</v>
      </c>
      <c r="G86" s="28">
        <f>IF(OR(2113068.17363="",689.74143="",358.07891=""),"-",(689.74143-358.07891)/2113068.17363*100)</f>
        <v>1.5695779442375643E-2</v>
      </c>
    </row>
    <row r="87" spans="1:7" s="7" customFormat="1" x14ac:dyDescent="0.25">
      <c r="A87" s="79" t="s">
        <v>93</v>
      </c>
      <c r="B87" s="78">
        <v>654.05187000000001</v>
      </c>
      <c r="C87" s="28">
        <f>IF(OR(523.01117="",654.05187=""),"-",654.05187/523.01117*100)</f>
        <v>125.05504805948982</v>
      </c>
      <c r="D87" s="28">
        <f>IF(523.01117="","-",523.01117/2113068.17363*100)</f>
        <v>2.475126815721846E-2</v>
      </c>
      <c r="E87" s="28">
        <f>IF(654.05187="","-",654.05187/2808409.12887*100)</f>
        <v>2.3289052270783862E-2</v>
      </c>
      <c r="F87" s="28">
        <f>IF(OR(1650717.59844="",442.03372="",523.01117=""),"-",(523.01117-442.03372)/1650717.59844*100)</f>
        <v>4.9055907610439957E-3</v>
      </c>
      <c r="G87" s="28">
        <f>IF(OR(2113068.17363="",654.05187="",523.01117=""),"-",(654.05187-523.01117)/2113068.17363*100)</f>
        <v>6.2014421321242878E-3</v>
      </c>
    </row>
    <row r="88" spans="1:7" x14ac:dyDescent="0.25">
      <c r="A88" s="69" t="s">
        <v>88</v>
      </c>
      <c r="B88" s="17">
        <v>543.39193</v>
      </c>
      <c r="C88" s="28">
        <f>IF(OR(245.63212="",543.39193=""),"-",543.39193/245.63212*100)</f>
        <v>221.22185404742672</v>
      </c>
      <c r="D88" s="28">
        <f>IF(245.63212="","-",245.63212/2113068.17363*100)</f>
        <v>1.1624429493821451E-2</v>
      </c>
      <c r="E88" s="28">
        <f>IF(543.39193="","-",543.39193/2808409.12887*100)</f>
        <v>1.9348745323963561E-2</v>
      </c>
      <c r="F88" s="28">
        <f>IF(OR(1650717.59844="",338.46349="",245.63212=""),"-",(245.63212-338.46349)/1650717.59844*100)</f>
        <v>-5.6236978443635465E-3</v>
      </c>
      <c r="G88" s="28">
        <f>IF(OR(2113068.17363="",543.39193="",245.63212=""),"-",(543.39193-245.63212)/2113068.17363*100)</f>
        <v>1.4091348954846261E-2</v>
      </c>
    </row>
    <row r="89" spans="1:7" x14ac:dyDescent="0.25">
      <c r="A89" s="69" t="s">
        <v>137</v>
      </c>
      <c r="B89" s="17">
        <v>541.97893999999997</v>
      </c>
      <c r="C89" s="28">
        <f>IF(OR(507.26832="",541.97894=""),"-",541.97894/507.26832*100)</f>
        <v>106.84265479066384</v>
      </c>
      <c r="D89" s="28">
        <f>IF(507.26832="","-",507.26832/2113068.17363*100)</f>
        <v>2.4006244868501961E-2</v>
      </c>
      <c r="E89" s="28">
        <f>IF(541.97894="","-",541.97894/2808409.12887*100)</f>
        <v>1.9298432497905752E-2</v>
      </c>
      <c r="F89" s="28">
        <f>IF(OR(1650717.59844="",289.08902="",507.26832=""),"-",(507.26832-289.08902)/1650717.59844*100)</f>
        <v>1.3217239593628183E-2</v>
      </c>
      <c r="G89" s="28">
        <f>IF(OR(2113068.17363="",541.97894="",507.26832=""),"-",(541.97894-507.26832)/2113068.17363*100)</f>
        <v>1.6426644645530402E-3</v>
      </c>
    </row>
    <row r="90" spans="1:7" x14ac:dyDescent="0.25">
      <c r="A90" s="79" t="s">
        <v>413</v>
      </c>
      <c r="B90" s="78">
        <v>522.62635</v>
      </c>
      <c r="C90" s="28">
        <f>IF(OR(449.92615="",522.62635=""),"-",522.62635/449.92615*100)</f>
        <v>116.15825174864808</v>
      </c>
      <c r="D90" s="28">
        <f>IF(449.92615="","-",449.92615/2113068.17363*100)</f>
        <v>2.1292552489069975E-2</v>
      </c>
      <c r="E90" s="28">
        <f>IF(522.62635="","-",522.62635/2808409.12887*100)</f>
        <v>1.8609338099192317E-2</v>
      </c>
      <c r="F90" s="28">
        <f>IF(OR(1650717.59844="",305.29409="",449.92615=""),"-",(449.92615-305.29409)/1650717.59844*100)</f>
        <v>8.7617688293069405E-3</v>
      </c>
      <c r="G90" s="28">
        <f>IF(OR(2113068.17363="",522.62635="",449.92615=""),"-",(522.62635-449.92615)/2113068.17363*100)</f>
        <v>3.44050423489696E-3</v>
      </c>
    </row>
    <row r="91" spans="1:7" x14ac:dyDescent="0.25">
      <c r="A91" s="70" t="s">
        <v>331</v>
      </c>
      <c r="B91" s="33">
        <v>518.23631999999998</v>
      </c>
      <c r="C91" s="28">
        <f>IF(OR(1305.56557="",518.23632=""),"-",518.23632/1305.56557*100)</f>
        <v>39.694392369737507</v>
      </c>
      <c r="D91" s="28">
        <f>IF(1305.56557="","-",1305.56557/2113068.17363*100)</f>
        <v>6.1785302826136146E-2</v>
      </c>
      <c r="E91" s="28">
        <f>IF(518.23632="","-",518.23632/2808409.12887*100)</f>
        <v>1.8453020775093375E-2</v>
      </c>
      <c r="F91" s="28">
        <f>IF(OR(1650717.59844="",578.18535="",1305.56557=""),"-",(1305.56557-578.18535)/1650717.59844*100)</f>
        <v>4.406448569321645E-2</v>
      </c>
      <c r="G91" s="28">
        <f>IF(OR(2113068.17363="",518.23632="",1305.56557=""),"-",(518.23632-1305.56557)/2113068.17363*100)</f>
        <v>-3.7260002295499146E-2</v>
      </c>
    </row>
    <row r="92" spans="1:7" x14ac:dyDescent="0.25">
      <c r="A92" s="79" t="s">
        <v>65</v>
      </c>
      <c r="B92" s="78">
        <v>466.90368000000001</v>
      </c>
      <c r="C92" s="28">
        <f>IF(OR(457.37785="",466.90368=""),"-",466.90368/457.37785*100)</f>
        <v>102.08270470465501</v>
      </c>
      <c r="D92" s="28">
        <f>IF(457.37785="","-",457.37785/2113068.17363*100)</f>
        <v>2.1645200836766153E-2</v>
      </c>
      <c r="E92" s="28">
        <f>IF(466.90368="","-",466.90368/2808409.12887*100)</f>
        <v>1.6625201620387296E-2</v>
      </c>
      <c r="F92" s="28">
        <f>IF(OR(1650717.59844="",579.17069="",457.37785=""),"-",(457.37785-579.17069)/1650717.59844*100)</f>
        <v>-7.3781754138381728E-3</v>
      </c>
      <c r="G92" s="28">
        <f>IF(OR(2113068.17363="",466.90368="",457.37785=""),"-",(466.90368-457.37785)/2113068.17363*100)</f>
        <v>4.5080561615935659E-4</v>
      </c>
    </row>
    <row r="93" spans="1:7" x14ac:dyDescent="0.25">
      <c r="A93" s="79" t="s">
        <v>90</v>
      </c>
      <c r="B93" s="78">
        <v>445.65827999999999</v>
      </c>
      <c r="C93" s="28" t="s">
        <v>198</v>
      </c>
      <c r="D93" s="28">
        <f>IF(241.84373="","-",241.84373/2113068.17363*100)</f>
        <v>1.1445145642629277E-2</v>
      </c>
      <c r="E93" s="28">
        <f>IF(445.65828="","-",445.65828/2808409.12887*100)</f>
        <v>1.5868709278099961E-2</v>
      </c>
      <c r="F93" s="28">
        <f>IF(OR(1650717.59844="",421.8706="",241.84373=""),"-",(241.84373-421.8706)/1650717.59844*100)</f>
        <v>-1.0905976296014124E-2</v>
      </c>
      <c r="G93" s="28">
        <f>IF(OR(2113068.17363="",445.65828="",241.84373=""),"-",(445.65828-241.84373)/2113068.17363*100)</f>
        <v>9.6454318201135373E-3</v>
      </c>
    </row>
    <row r="94" spans="1:7" x14ac:dyDescent="0.25">
      <c r="A94" s="69" t="s">
        <v>36</v>
      </c>
      <c r="B94" s="17">
        <v>419.39120000000003</v>
      </c>
      <c r="C94" s="28">
        <f>IF(OR(773.47217="",419.3912=""),"-",419.3912/773.47217*100)</f>
        <v>54.221886225072588</v>
      </c>
      <c r="D94" s="28">
        <f>IF(773.47217="","-",773.47217/2113068.17363*100)</f>
        <v>3.6604222223046726E-2</v>
      </c>
      <c r="E94" s="28">
        <f>IF(419.3912="","-",419.3912/2808409.12887*100)</f>
        <v>1.4933408230614445E-2</v>
      </c>
      <c r="F94" s="28">
        <f>IF(OR(1650717.59844="",865.87481="",773.47217=""),"-",(773.47217-865.87481)/1650717.59844*100)</f>
        <v>-5.5977255035824748E-3</v>
      </c>
      <c r="G94" s="28">
        <f>IF(OR(2113068.17363="",419.3912="",773.47217=""),"-",(419.3912-773.47217)/2113068.17363*100)</f>
        <v>-1.6756722495693592E-2</v>
      </c>
    </row>
    <row r="95" spans="1:7" x14ac:dyDescent="0.25">
      <c r="A95" s="79" t="s">
        <v>62</v>
      </c>
      <c r="B95" s="78">
        <v>377.64404000000002</v>
      </c>
      <c r="C95" s="28">
        <f>IF(OR(407.61673="",377.64404=""),"-",377.64404/407.61673*100)</f>
        <v>92.646844990881505</v>
      </c>
      <c r="D95" s="28">
        <f>IF(407.61673="","-",407.61673/2113068.17363*100)</f>
        <v>1.9290278235546129E-2</v>
      </c>
      <c r="E95" s="28">
        <f>IF(377.64404="","-",377.64404/2808409.12887*100)</f>
        <v>1.3446902593994557E-2</v>
      </c>
      <c r="F95" s="28">
        <f>IF(OR(1650717.59844="",275.37345="",407.61673=""),"-",(407.61673-275.37345)/1650717.59844*100)</f>
        <v>8.0112600801600271E-3</v>
      </c>
      <c r="G95" s="28">
        <f>IF(OR(2113068.17363="",377.64404="",407.61673=""),"-",(377.64404-407.61673)/2113068.17363*100)</f>
        <v>-1.4184440603499545E-3</v>
      </c>
    </row>
    <row r="96" spans="1:7" x14ac:dyDescent="0.25">
      <c r="A96" s="69" t="s">
        <v>89</v>
      </c>
      <c r="B96" s="17">
        <v>373.56801000000002</v>
      </c>
      <c r="C96" s="28">
        <f>IF(OR(1165.28391="",373.56801=""),"-",373.56801/1165.28391*100)</f>
        <v>32.05811105724441</v>
      </c>
      <c r="D96" s="28">
        <f>IF(1165.28391="","-",1165.28391/2113068.17363*100)</f>
        <v>5.5146536422352191E-2</v>
      </c>
      <c r="E96" s="28">
        <f>IF(373.56801="","-",373.56801/2808409.12887*100)</f>
        <v>1.33017659770359E-2</v>
      </c>
      <c r="F96" s="28">
        <f>IF(OR(1650717.59844="",217.10697="",1165.28391=""),"-",(1165.28391-217.10697)/1650717.59844*100)</f>
        <v>5.7440287841849423E-2</v>
      </c>
      <c r="G96" s="28">
        <f>IF(OR(2113068.17363="",373.56801="",1165.28391=""),"-",(373.56801-1165.28391)/2113068.17363*100)</f>
        <v>-3.746759853185079E-2</v>
      </c>
    </row>
    <row r="97" spans="1:7" x14ac:dyDescent="0.25">
      <c r="A97" s="69" t="s">
        <v>35</v>
      </c>
      <c r="B97" s="17">
        <v>345.15821</v>
      </c>
      <c r="C97" s="28">
        <f>IF(OR(1043.68382="",345.15821=""),"-",345.15821/1043.68382*100)</f>
        <v>33.071146968628874</v>
      </c>
      <c r="D97" s="28">
        <f>IF(1043.68382="","-",1043.68382/2113068.17363*100)</f>
        <v>4.9391866908253847E-2</v>
      </c>
      <c r="E97" s="28">
        <f>IF(345.15821="","-",345.15821/2808409.12887*100)</f>
        <v>1.2290168353742636E-2</v>
      </c>
      <c r="F97" s="28">
        <f>IF(OR(1650717.59844="",1284.61807="",1043.68382=""),"-",(1043.68382-1284.61807)/1650717.59844*100)</f>
        <v>-1.4595727956598595E-2</v>
      </c>
      <c r="G97" s="28">
        <f>IF(OR(2113068.17363="",345.15821="",1043.68382=""),"-",(345.15821-1043.68382)/2113068.17363*100)</f>
        <v>-3.3057410012475648E-2</v>
      </c>
    </row>
    <row r="98" spans="1:7" x14ac:dyDescent="0.25">
      <c r="A98" s="69" t="s">
        <v>300</v>
      </c>
      <c r="B98" s="17">
        <v>271.76992999999999</v>
      </c>
      <c r="C98" s="28" t="s">
        <v>375</v>
      </c>
      <c r="D98" s="28">
        <f>IF(14.07595="","-",14.07595/2113068.17363*100)</f>
        <v>6.6613799666572946E-4</v>
      </c>
      <c r="E98" s="28">
        <f>IF(271.76993="","-",271.76993/2808409.12887*100)</f>
        <v>9.6770063594455741E-3</v>
      </c>
      <c r="F98" s="28">
        <f>IF(OR(1650717.59844="",17.88279="",14.07595=""),"-",(14.07595-17.88279)/1650717.59844*100)</f>
        <v>-2.3061727842470627E-4</v>
      </c>
      <c r="G98" s="28">
        <f>IF(OR(2113068.17363="",271.76993="",14.07595=""),"-",(271.76993-14.07595)/2113068.17363*100)</f>
        <v>1.2195251587993602E-2</v>
      </c>
    </row>
    <row r="99" spans="1:7" x14ac:dyDescent="0.25">
      <c r="A99" s="79" t="s">
        <v>94</v>
      </c>
      <c r="B99" s="78">
        <v>243.88611</v>
      </c>
      <c r="C99" s="28">
        <f>IF(OR(433.51798="",243.88611=""),"-",243.88611/433.51798*100)</f>
        <v>56.257438272802432</v>
      </c>
      <c r="D99" s="28">
        <f>IF(433.51798="","-",433.51798/2113068.17363*100)</f>
        <v>2.0516043230884861E-2</v>
      </c>
      <c r="E99" s="28">
        <f>IF(243.88611="","-",243.88611/2808409.12887*100)</f>
        <v>8.6841374888327171E-3</v>
      </c>
      <c r="F99" s="28">
        <f>IF(OR(1650717.59844="",182.36078="",433.51798=""),"-",(433.51798-182.36078)/1650717.59844*100)</f>
        <v>1.5215031343783728E-2</v>
      </c>
      <c r="G99" s="28">
        <f>IF(OR(2113068.17363="",243.88611="",433.51798=""),"-",(243.88611-433.51798)/2113068.17363*100)</f>
        <v>-8.9742428742483494E-3</v>
      </c>
    </row>
    <row r="100" spans="1:7" x14ac:dyDescent="0.25">
      <c r="A100" s="79" t="s">
        <v>58</v>
      </c>
      <c r="B100" s="78">
        <v>241.87746999999999</v>
      </c>
      <c r="C100" s="28" t="s">
        <v>376</v>
      </c>
      <c r="D100" s="28">
        <f>IF(1.72413="","-",1.72413/2113068.17363*100)</f>
        <v>8.1593676035456513E-5</v>
      </c>
      <c r="E100" s="28">
        <f>IF(241.87747="","-",241.87747/2808409.12887*100)</f>
        <v>8.6126151461885653E-3</v>
      </c>
      <c r="F100" s="28">
        <f>IF(OR(1650717.59844="",3.76278="",1.72413=""),"-",(1.72413-3.76278)/1650717.59844*100)</f>
        <v>-1.2350083393589627E-4</v>
      </c>
      <c r="G100" s="28">
        <f>IF(OR(2113068.17363="",241.87747="",1.72413=""),"-",(241.87747-1.72413)/2113068.17363*100)</f>
        <v>1.1365148696903853E-2</v>
      </c>
    </row>
    <row r="101" spans="1:7" x14ac:dyDescent="0.25">
      <c r="A101" s="79" t="s">
        <v>103</v>
      </c>
      <c r="B101" s="78">
        <v>240.92532</v>
      </c>
      <c r="C101" s="28" t="s">
        <v>197</v>
      </c>
      <c r="D101" s="28">
        <f>IF(110.65974="","-",110.65974/2113068.17363*100)</f>
        <v>5.2369223757650811E-3</v>
      </c>
      <c r="E101" s="28">
        <f>IF(240.92532="","-",240.92532/2808409.12887*100)</f>
        <v>8.5787116101897661E-3</v>
      </c>
      <c r="F101" s="28">
        <f>IF(OR(1650717.59844="",75.38107="",110.65974=""),"-",(110.65974-75.38107)/1650717.59844*100)</f>
        <v>2.1371717387238059E-3</v>
      </c>
      <c r="G101" s="28">
        <f>IF(OR(2113068.17363="",240.92532="",110.65974=""),"-",(240.92532-110.65974)/2113068.17363*100)</f>
        <v>6.1647599270883546E-3</v>
      </c>
    </row>
    <row r="102" spans="1:7" x14ac:dyDescent="0.25">
      <c r="A102" s="79" t="s">
        <v>208</v>
      </c>
      <c r="B102" s="78">
        <v>217.23706000000001</v>
      </c>
      <c r="C102" s="28">
        <f>IF(OR(400.25344="",217.23706=""),"-",217.23706/400.25344*100)</f>
        <v>54.2748764382887</v>
      </c>
      <c r="D102" s="28">
        <f>IF(400.25344="","-",400.25344/2113068.17363*100)</f>
        <v>1.8941813851297194E-2</v>
      </c>
      <c r="E102" s="28">
        <f>IF(217.23706="","-",217.23706/2808409.12887*100)</f>
        <v>7.7352355027918655E-3</v>
      </c>
      <c r="F102" s="28">
        <f>IF(OR(1650717.59844="",37.95008="",400.25344=""),"-",(400.25344-37.95008)/1650717.59844*100)</f>
        <v>2.1948233928225664E-2</v>
      </c>
      <c r="G102" s="28">
        <f>IF(OR(2113068.17363="",217.23706="",400.25344=""),"-",(217.23706-400.25344)/2113068.17363*100)</f>
        <v>-8.6611677883349884E-3</v>
      </c>
    </row>
    <row r="103" spans="1:7" x14ac:dyDescent="0.25">
      <c r="A103" s="93" t="s">
        <v>125</v>
      </c>
      <c r="B103" s="78">
        <v>184.39940000000001</v>
      </c>
      <c r="C103" s="28" t="s">
        <v>206</v>
      </c>
      <c r="D103" s="28">
        <f>IF(78.89201="","-",78.89201/2113068.17363*100)</f>
        <v>3.7335288555538125E-3</v>
      </c>
      <c r="E103" s="28">
        <f>IF(184.3994="","-",184.3994/2808409.12887*100)</f>
        <v>6.5659735294406885E-3</v>
      </c>
      <c r="F103" s="28">
        <f>IF(OR(1650717.59844="",110.60563="",78.89201=""),"-",(78.89201-110.60563)/1650717.59844*100)</f>
        <v>-1.9212020293459498E-3</v>
      </c>
      <c r="G103" s="28">
        <f>IF(OR(2113068.17363="",184.3994="",78.89201=""),"-",(184.3994-78.89201)/2113068.17363*100)</f>
        <v>4.9930897316365734E-3</v>
      </c>
    </row>
    <row r="104" spans="1:7" x14ac:dyDescent="0.25">
      <c r="A104" s="69" t="s">
        <v>118</v>
      </c>
      <c r="B104" s="17">
        <v>152.12813</v>
      </c>
      <c r="C104" s="28">
        <f>IF(OR(243.75881="",152.12813=""),"-",152.12813/243.75881*100)</f>
        <v>62.409284817233889</v>
      </c>
      <c r="D104" s="28">
        <f>IF(243.75881="","-",243.75881/2113068.17363*100)</f>
        <v>1.1535775941447802E-2</v>
      </c>
      <c r="E104" s="28">
        <f>IF(152.12813="","-",152.12813/2808409.12887*100)</f>
        <v>5.4168792016856433E-3</v>
      </c>
      <c r="F104" s="28">
        <f>IF(OR(1650717.59844="",60.80411="",243.75881=""),"-",(243.75881-60.80411)/1650717.59844*100)</f>
        <v>1.1083343400040089E-2</v>
      </c>
      <c r="G104" s="28">
        <f>IF(OR(2113068.17363="",152.12813="",243.75881=""),"-",(152.12813-243.75881)/2113068.17363*100)</f>
        <v>-4.3363806782716991E-3</v>
      </c>
    </row>
    <row r="105" spans="1:7" x14ac:dyDescent="0.25">
      <c r="A105" s="69" t="s">
        <v>207</v>
      </c>
      <c r="B105" s="17">
        <v>121.87922</v>
      </c>
      <c r="C105" s="28" t="s">
        <v>321</v>
      </c>
      <c r="D105" s="28">
        <f>IF(18.08309="","-",18.08309/2113068.17363*100)</f>
        <v>8.5577409312523019E-4</v>
      </c>
      <c r="E105" s="28">
        <f>IF(121.87922="","-",121.87922/2808409.12887*100)</f>
        <v>4.3397957493835557E-3</v>
      </c>
      <c r="F105" s="28">
        <f>IF(OR(1650717.59844="",1.12235="",18.08309=""),"-",(18.08309-1.12235)/1650717.59844*100)</f>
        <v>1.0274767783434691E-3</v>
      </c>
      <c r="G105" s="28">
        <f>IF(OR(2113068.17363="",121.87922="",18.08309=""),"-",(121.87922-18.08309)/2113068.17363*100)</f>
        <v>4.9121051225569593E-3</v>
      </c>
    </row>
    <row r="106" spans="1:7" x14ac:dyDescent="0.25">
      <c r="A106" s="79" t="s">
        <v>371</v>
      </c>
      <c r="B106" s="78">
        <v>108.20963</v>
      </c>
      <c r="C106" s="28" t="s">
        <v>377</v>
      </c>
      <c r="D106" s="28">
        <f>IF(17.44898="","-",17.44898/2113068.17363*100)</f>
        <v>8.2576512285567789E-4</v>
      </c>
      <c r="E106" s="28">
        <f>IF(108.20963="","-",108.20963/2808409.12887*100)</f>
        <v>3.8530579069702554E-3</v>
      </c>
      <c r="F106" s="28">
        <f>IF(OR(1650717.59844="",78.03509="",17.44898=""),"-",(17.44898-78.03509)/1650717.59844*100)</f>
        <v>-3.6702892158692988E-3</v>
      </c>
      <c r="G106" s="28">
        <f>IF(OR(2113068.17363="",108.20963="",17.44898=""),"-",(108.20963-17.44898)/2113068.17363*100)</f>
        <v>4.2952069002148655E-3</v>
      </c>
    </row>
    <row r="107" spans="1:7" x14ac:dyDescent="0.25">
      <c r="A107" s="79" t="s">
        <v>298</v>
      </c>
      <c r="B107" s="78">
        <v>90.717140000000001</v>
      </c>
      <c r="C107" s="28" t="s">
        <v>378</v>
      </c>
      <c r="D107" s="28">
        <f>IF(5.87344="","-",5.87344/2113068.17363*100)</f>
        <v>2.7795790373909843E-4</v>
      </c>
      <c r="E107" s="28">
        <f>IF(90.71714="","-",90.71714/2808409.12887*100)</f>
        <v>3.2301967354913569E-3</v>
      </c>
      <c r="F107" s="28">
        <f>IF(OR(1650717.59844="",77.9029="",5.87344=""),"-",(5.87344-77.9029)/1650717.59844*100)</f>
        <v>-4.3635240860139231E-3</v>
      </c>
      <c r="G107" s="28">
        <f>IF(OR(2113068.17363="",90.71714="",5.87344=""),"-",(90.71714-5.87344)/2113068.17363*100)</f>
        <v>4.0151899053142521E-3</v>
      </c>
    </row>
    <row r="108" spans="1:7" x14ac:dyDescent="0.25">
      <c r="A108" s="79" t="s">
        <v>97</v>
      </c>
      <c r="B108" s="78">
        <v>88.73</v>
      </c>
      <c r="C108" s="28" t="s">
        <v>379</v>
      </c>
      <c r="D108" s="28">
        <f>IF(0.08108="","-",0.08108/2113068.17363*100)</f>
        <v>3.8370744972564792E-6</v>
      </c>
      <c r="E108" s="28">
        <f>IF(88.73="","-",88.73/2808409.12887*100)</f>
        <v>3.1594399508201882E-3</v>
      </c>
      <c r="F108" s="28">
        <f>IF(OR(1650717.59844="",217.6188="",0.08108=""),"-",(0.08108-217.6188)/1650717.59844*100)</f>
        <v>-1.3178372860723276E-2</v>
      </c>
      <c r="G108" s="28">
        <f>IF(OR(2113068.17363="",88.73="",0.08108=""),"-",(88.73-0.08108)/2113068.17363*100)</f>
        <v>4.1952702286794505E-3</v>
      </c>
    </row>
    <row r="109" spans="1:7" x14ac:dyDescent="0.25">
      <c r="A109" s="79" t="s">
        <v>372</v>
      </c>
      <c r="B109" s="78">
        <v>79.919809999999998</v>
      </c>
      <c r="C109" s="28" t="s">
        <v>330</v>
      </c>
      <c r="D109" s="28">
        <f>IF(27.44371="","-",27.44371/2113068.17363*100)</f>
        <v>1.2987612204132045E-3</v>
      </c>
      <c r="E109" s="28">
        <f>IF(79.91981="","-",79.91981/2808409.12887*100)</f>
        <v>2.845732453239702E-3</v>
      </c>
      <c r="F109" s="28">
        <f>IF(OR(1650717.59844="",38.15714="",27.44371=""),"-",(27.44371-38.15714)/1650717.59844*100)</f>
        <v>-6.4901652530539779E-4</v>
      </c>
      <c r="G109" s="28">
        <f>IF(OR(2113068.17363="",79.91981="",27.44371=""),"-",(79.91981-27.44371)/2113068.17363*100)</f>
        <v>2.4834078074183617E-3</v>
      </c>
    </row>
    <row r="110" spans="1:7" x14ac:dyDescent="0.25">
      <c r="A110" s="69" t="s">
        <v>126</v>
      </c>
      <c r="B110" s="17">
        <v>79.774500000000003</v>
      </c>
      <c r="C110" s="28">
        <f>IF(OR(149.15639="",79.7745=""),"-",79.7745/149.15639*100)</f>
        <v>53.483796436746701</v>
      </c>
      <c r="D110" s="28">
        <f>IF(149.15639="","-",149.15639/2113068.17363*100)</f>
        <v>7.0587590055727839E-3</v>
      </c>
      <c r="E110" s="28">
        <f>IF(79.7745="","-",79.7745/2808409.12887*100)</f>
        <v>2.8405583495627758E-3</v>
      </c>
      <c r="F110" s="28">
        <f>IF(OR(1650717.59844="",65.73616="",149.15639=""),"-",(149.15639-65.73616)/1650717.59844*100)</f>
        <v>5.0535736747966903E-3</v>
      </c>
      <c r="G110" s="28">
        <f>IF(OR(2113068.17363="",79.7745="",149.15639=""),"-",(79.7745-149.15639)/2113068.17363*100)</f>
        <v>-3.2834667080717107E-3</v>
      </c>
    </row>
    <row r="111" spans="1:7" x14ac:dyDescent="0.25">
      <c r="A111" s="111" t="s">
        <v>299</v>
      </c>
      <c r="B111" s="81">
        <v>76.047340000000005</v>
      </c>
      <c r="C111" s="29" t="s">
        <v>380</v>
      </c>
      <c r="D111" s="29">
        <f>IF(0.54251="","-",0.54251/2113068.17363*100)</f>
        <v>2.5674041508468336E-5</v>
      </c>
      <c r="E111" s="29">
        <f>IF(76.04734="","-",76.04734/2808409.12887*100)</f>
        <v>2.7078440679545374E-3</v>
      </c>
      <c r="F111" s="29">
        <f>IF(OR(1650717.59844="",0.18638="",0.54251=""),"-",(0.54251-0.18638)/1650717.59844*100)</f>
        <v>2.1574253545037528E-5</v>
      </c>
      <c r="G111" s="29">
        <f>IF(OR(2113068.17363="",76.04734="",0.54251=""),"-",(76.04734-0.54251)/2113068.17363*100)</f>
        <v>3.5732320869842865E-3</v>
      </c>
    </row>
    <row r="112" spans="1:7" x14ac:dyDescent="0.25">
      <c r="A112" s="48" t="s">
        <v>285</v>
      </c>
      <c r="B112" s="51"/>
      <c r="C112" s="51"/>
      <c r="D112" s="51"/>
      <c r="E112" s="51"/>
      <c r="F112" s="7"/>
      <c r="G112" s="7"/>
    </row>
    <row r="113" spans="1:7" x14ac:dyDescent="0.25">
      <c r="A113" s="114" t="s">
        <v>306</v>
      </c>
      <c r="B113" s="114"/>
      <c r="C113" s="114"/>
      <c r="D113" s="114"/>
      <c r="E113" s="114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</sheetData>
  <mergeCells count="10">
    <mergeCell ref="A113:E113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130"/>
  <sheetViews>
    <sheetView workbookViewId="0">
      <selection sqref="A1:D1"/>
    </sheetView>
  </sheetViews>
  <sheetFormatPr defaultRowHeight="15.75" x14ac:dyDescent="0.25"/>
  <cols>
    <col min="1" max="1" width="45.375" customWidth="1"/>
    <col min="2" max="2" width="14.625" customWidth="1"/>
    <col min="3" max="3" width="14.125" customWidth="1"/>
    <col min="4" max="4" width="15.25" customWidth="1"/>
  </cols>
  <sheetData>
    <row r="1" spans="1:4" x14ac:dyDescent="0.25">
      <c r="A1" s="128" t="s">
        <v>307</v>
      </c>
      <c r="B1" s="128"/>
      <c r="C1" s="128"/>
      <c r="D1" s="128"/>
    </row>
    <row r="2" spans="1:4" x14ac:dyDescent="0.25">
      <c r="A2" s="4"/>
    </row>
    <row r="3" spans="1:4" ht="21.75" customHeight="1" x14ac:dyDescent="0.25">
      <c r="A3" s="129"/>
      <c r="B3" s="133" t="s">
        <v>352</v>
      </c>
      <c r="C3" s="134"/>
      <c r="D3" s="131" t="s">
        <v>353</v>
      </c>
    </row>
    <row r="4" spans="1:4" ht="31.5" customHeight="1" x14ac:dyDescent="0.25">
      <c r="A4" s="130"/>
      <c r="B4" s="65" t="s">
        <v>323</v>
      </c>
      <c r="C4" s="66" t="s">
        <v>324</v>
      </c>
      <c r="D4" s="132"/>
    </row>
    <row r="5" spans="1:4" ht="16.5" customHeight="1" x14ac:dyDescent="0.25">
      <c r="A5" s="40" t="s">
        <v>203</v>
      </c>
      <c r="B5" s="24">
        <v>-1210073.6493800001</v>
      </c>
      <c r="C5" s="24">
        <v>-1349307.9619499999</v>
      </c>
      <c r="D5" s="113">
        <f>IF(-1210073.64938="","-",-1349307.96195/-1210073.64938*100)</f>
        <v>111.50626762605225</v>
      </c>
    </row>
    <row r="6" spans="1:4" x14ac:dyDescent="0.25">
      <c r="A6" s="41" t="s">
        <v>124</v>
      </c>
      <c r="B6" s="85"/>
      <c r="C6" s="85"/>
      <c r="D6" s="85"/>
    </row>
    <row r="7" spans="1:4" x14ac:dyDescent="0.25">
      <c r="A7" s="25" t="s">
        <v>332</v>
      </c>
      <c r="B7" s="26">
        <f>IF(-422926.60547="","-",-422926.60547)</f>
        <v>-422926.60547000001</v>
      </c>
      <c r="C7" s="26">
        <f>IF(-270945.1075="","-",-270945.1075)</f>
        <v>-270945.10749999998</v>
      </c>
      <c r="D7" s="26">
        <f>IF(-422926.60547="","-",-270945.1075/-422926.60547*100)</f>
        <v>64.06433267514528</v>
      </c>
    </row>
    <row r="8" spans="1:4" x14ac:dyDescent="0.25">
      <c r="A8" s="27" t="s">
        <v>4</v>
      </c>
      <c r="B8" s="28">
        <f>IF(-85582.22303="","-",-85582.22303)</f>
        <v>-85582.223029999994</v>
      </c>
      <c r="C8" s="28">
        <f>IF(-102110.17959="","-",-102110.17959)</f>
        <v>-102110.17959</v>
      </c>
      <c r="D8" s="28">
        <f>IF(OR(-85582.22303="",-102110.17959="",-85582.22303=0),"-",-102110.17959/-85582.22303*100)</f>
        <v>119.31237116171462</v>
      </c>
    </row>
    <row r="9" spans="1:4" x14ac:dyDescent="0.25">
      <c r="A9" s="27" t="s">
        <v>308</v>
      </c>
      <c r="B9" s="28">
        <f>IF(-51361.82256="","-",-51361.82256)</f>
        <v>-51361.822560000001</v>
      </c>
      <c r="C9" s="28">
        <f>IF(-60091.15989="","-",-60091.15989)</f>
        <v>-60091.159890000003</v>
      </c>
      <c r="D9" s="28">
        <f>IF(OR(-51361.82256="",-60091.15989="",-51361.82256=0),"-",-60091.15989/-51361.82256*100)</f>
        <v>116.99577019449133</v>
      </c>
    </row>
    <row r="10" spans="1:4" x14ac:dyDescent="0.25">
      <c r="A10" s="27" t="s">
        <v>5</v>
      </c>
      <c r="B10" s="28">
        <f>IF(-46942.85865="","-",-46942.85865)</f>
        <v>-46942.858650000002</v>
      </c>
      <c r="C10" s="28">
        <f>IF(-50826.4657="","-",-50826.4657)</f>
        <v>-50826.465700000001</v>
      </c>
      <c r="D10" s="28">
        <f>IF(OR(-46942.85865="",-50826.4657="",-46942.85865=0),"-",-50826.4657/-46942.85865*100)</f>
        <v>108.27305187985181</v>
      </c>
    </row>
    <row r="11" spans="1:4" x14ac:dyDescent="0.25">
      <c r="A11" s="27" t="s">
        <v>40</v>
      </c>
      <c r="B11" s="28">
        <f>IF(-29757.50799="","-",-29757.50799)</f>
        <v>-29757.507989999998</v>
      </c>
      <c r="C11" s="28">
        <f>IF(-46767.09375="","-",-46767.09375)</f>
        <v>-46767.09375</v>
      </c>
      <c r="D11" s="28">
        <f>IF(OR(-29757.50799="",-46767.09375="",-29757.50799=0),"-",-46767.09375/-29757.50799*100)</f>
        <v>157.16065258460509</v>
      </c>
    </row>
    <row r="12" spans="1:4" x14ac:dyDescent="0.25">
      <c r="A12" s="27" t="s">
        <v>38</v>
      </c>
      <c r="B12" s="28">
        <f>IF(-14731.27032="","-",-14731.27032)</f>
        <v>-14731.27032</v>
      </c>
      <c r="C12" s="28">
        <f>IF(-25992.84635="","-",-25992.84635)</f>
        <v>-25992.84635</v>
      </c>
      <c r="D12" s="28" t="s">
        <v>198</v>
      </c>
    </row>
    <row r="13" spans="1:4" x14ac:dyDescent="0.25">
      <c r="A13" s="27" t="s">
        <v>7</v>
      </c>
      <c r="B13" s="28">
        <f>IF(-23162.37537="","-",-23162.37537)</f>
        <v>-23162.375370000002</v>
      </c>
      <c r="C13" s="28">
        <f>IF(-20659.62072="","-",-20659.62072)</f>
        <v>-20659.620719999999</v>
      </c>
      <c r="D13" s="28">
        <f>IF(OR(-23162.37537="",-20659.62072="",-23162.37537=0),"-",-20659.62072/-23162.37537*100)</f>
        <v>89.194740996894566</v>
      </c>
    </row>
    <row r="14" spans="1:4" x14ac:dyDescent="0.25">
      <c r="A14" s="27" t="s">
        <v>42</v>
      </c>
      <c r="B14" s="28">
        <f>IF(-5941.48411="","-",-5941.48411)</f>
        <v>-5941.4841100000003</v>
      </c>
      <c r="C14" s="28">
        <f>IF(-12589.89741="","-",-12589.89741)</f>
        <v>-12589.89741</v>
      </c>
      <c r="D14" s="28" t="s">
        <v>91</v>
      </c>
    </row>
    <row r="15" spans="1:4" x14ac:dyDescent="0.25">
      <c r="A15" s="27" t="s">
        <v>48</v>
      </c>
      <c r="B15" s="28">
        <f>IF(-8455.93482="","-",-8455.93482)</f>
        <v>-8455.9348200000004</v>
      </c>
      <c r="C15" s="28">
        <f>IF(-10920.64116="","-",-10920.64116)</f>
        <v>-10920.641159999999</v>
      </c>
      <c r="D15" s="28">
        <f>IF(OR(-8455.93482="",-10920.64116="",-8455.93482=0),"-",-10920.64116/-8455.93482*100)</f>
        <v>129.1476506437877</v>
      </c>
    </row>
    <row r="16" spans="1:4" x14ac:dyDescent="0.25">
      <c r="A16" s="27" t="s">
        <v>50</v>
      </c>
      <c r="B16" s="28">
        <f>IF(-10076.8893="","-",-10076.8893)</f>
        <v>-10076.889300000001</v>
      </c>
      <c r="C16" s="28">
        <f>IF(-9989.20799="","-",-9989.20799)</f>
        <v>-9989.2079900000008</v>
      </c>
      <c r="D16" s="28">
        <f>IF(OR(-10076.8893="",-9989.20799="",-10076.8893=0),"-",-9989.20799/-10076.8893*100)</f>
        <v>99.129877213199109</v>
      </c>
    </row>
    <row r="17" spans="1:4" x14ac:dyDescent="0.25">
      <c r="A17" s="27" t="s">
        <v>39</v>
      </c>
      <c r="B17" s="28">
        <f>IF(-8068.84814="","-",-8068.84814)</f>
        <v>-8068.8481400000001</v>
      </c>
      <c r="C17" s="28">
        <f>IF(-9888.22903="","-",-9888.22903)</f>
        <v>-9888.2290300000004</v>
      </c>
      <c r="D17" s="28">
        <f>IF(OR(-8068.84814="",-9888.22903="",-8068.84814=0),"-",-9888.22903/-8068.84814*100)</f>
        <v>122.54821082802036</v>
      </c>
    </row>
    <row r="18" spans="1:4" x14ac:dyDescent="0.25">
      <c r="A18" s="27" t="s">
        <v>325</v>
      </c>
      <c r="B18" s="28">
        <f>IF(-8407.79177="","-",-8407.79177)</f>
        <v>-8407.7917699999998</v>
      </c>
      <c r="C18" s="28">
        <f>IF(-8943.92374="","-",-8943.92374)</f>
        <v>-8943.9237400000002</v>
      </c>
      <c r="D18" s="28">
        <f>IF(OR(-8407.79177="",-8943.92374="",-8407.79177=0),"-",-8943.92374/-8407.79177*100)</f>
        <v>106.37660856341593</v>
      </c>
    </row>
    <row r="19" spans="1:4" x14ac:dyDescent="0.25">
      <c r="A19" s="27" t="s">
        <v>46</v>
      </c>
      <c r="B19" s="28">
        <f>IF(-4370.74254="","-",-4370.74254)</f>
        <v>-4370.7425400000002</v>
      </c>
      <c r="C19" s="28">
        <f>IF(-6634.38353="","-",-6634.38353)</f>
        <v>-6634.3835300000001</v>
      </c>
      <c r="D19" s="28">
        <f>IF(OR(-4370.74254="",-6634.38353="",-4370.74254=0),"-",-6634.38353/-4370.74254*100)</f>
        <v>151.79076482505417</v>
      </c>
    </row>
    <row r="20" spans="1:4" x14ac:dyDescent="0.25">
      <c r="A20" s="27" t="s">
        <v>47</v>
      </c>
      <c r="B20" s="28">
        <f>IF(-3815.96041="","-",-3815.96041)</f>
        <v>-3815.9604100000001</v>
      </c>
      <c r="C20" s="28">
        <f>IF(-5703.43071="","-",-5703.43071)</f>
        <v>-5703.4307099999996</v>
      </c>
      <c r="D20" s="28">
        <f>IF(OR(-3815.96041="",-5703.43071="",-3815.96041=0),"-",-5703.43071/-3815.96041*100)</f>
        <v>149.46252311878675</v>
      </c>
    </row>
    <row r="21" spans="1:4" x14ac:dyDescent="0.25">
      <c r="A21" s="27" t="s">
        <v>3</v>
      </c>
      <c r="B21" s="28">
        <f>IF(-81534.40403="","-",-81534.40403)</f>
        <v>-81534.404030000005</v>
      </c>
      <c r="C21" s="28">
        <f>IF(-4474.82999="","-",-4474.82999)</f>
        <v>-4474.8299900000002</v>
      </c>
      <c r="D21" s="28">
        <f>IF(OR(-81534.40403="",-4474.82999="",-81534.40403=0),"-",-4474.82999/-81534.40403*100)</f>
        <v>5.4882721511688715</v>
      </c>
    </row>
    <row r="22" spans="1:4" x14ac:dyDescent="0.25">
      <c r="A22" s="27" t="s">
        <v>43</v>
      </c>
      <c r="B22" s="28">
        <f>IF(-3012.28376="","-",-3012.28376)</f>
        <v>-3012.2837599999998</v>
      </c>
      <c r="C22" s="28">
        <f>IF(-4278.82994="","-",-4278.82994)</f>
        <v>-4278.8299399999996</v>
      </c>
      <c r="D22" s="28">
        <f>IF(OR(-3012.28376="",-4278.82994="",-3012.28376=0),"-",-4278.82994/-3012.28376*100)</f>
        <v>142.04604482547157</v>
      </c>
    </row>
    <row r="23" spans="1:4" x14ac:dyDescent="0.25">
      <c r="A23" s="27" t="s">
        <v>51</v>
      </c>
      <c r="B23" s="28">
        <f>IF(-2156.45129="","-",-2156.45129)</f>
        <v>-2156.45129</v>
      </c>
      <c r="C23" s="28">
        <f>IF(-3170.08313="","-",-3170.08313)</f>
        <v>-3170.08313</v>
      </c>
      <c r="D23" s="28">
        <f>IF(OR(-2156.45129="",-3170.08313="",-2156.45129=0),"-",-3170.08313/-2156.45129*100)</f>
        <v>147.00462489927145</v>
      </c>
    </row>
    <row r="24" spans="1:4" x14ac:dyDescent="0.25">
      <c r="A24" s="27" t="s">
        <v>414</v>
      </c>
      <c r="B24" s="28">
        <f>IF(-9173.15872="","-",-9173.15872)</f>
        <v>-9173.1587199999994</v>
      </c>
      <c r="C24" s="28">
        <f>IF(-2733.51216="","-",-2733.51216)</f>
        <v>-2733.5121600000002</v>
      </c>
      <c r="D24" s="28">
        <f>IF(OR(-9173.15872="",-2733.51216="",-9173.15872=0),"-",-2733.51216/-9173.15872*100)</f>
        <v>29.799028267549705</v>
      </c>
    </row>
    <row r="25" spans="1:4" x14ac:dyDescent="0.25">
      <c r="A25" s="27" t="s">
        <v>41</v>
      </c>
      <c r="B25" s="28">
        <f>IF(-490.74154="","-",-490.74154)</f>
        <v>-490.74153999999999</v>
      </c>
      <c r="C25" s="28">
        <f>IF(-2669.22109="","-",-2669.22109)</f>
        <v>-2669.22109</v>
      </c>
      <c r="D25" s="28" t="s">
        <v>384</v>
      </c>
    </row>
    <row r="26" spans="1:4" x14ac:dyDescent="0.25">
      <c r="A26" s="27" t="s">
        <v>309</v>
      </c>
      <c r="B26" s="28">
        <f>IF(-2451.86627="","-",-2451.86627)</f>
        <v>-2451.86627</v>
      </c>
      <c r="C26" s="28">
        <f>IF(-1667.78638="","-",-1667.78638)</f>
        <v>-1667.78638</v>
      </c>
      <c r="D26" s="28">
        <f>IF(OR(-2451.86627="",-1667.78638="",-2451.86627=0),"-",-1667.78638/-2451.86627*100)</f>
        <v>68.021098883178482</v>
      </c>
    </row>
    <row r="27" spans="1:4" x14ac:dyDescent="0.25">
      <c r="A27" s="27" t="s">
        <v>52</v>
      </c>
      <c r="B27" s="28">
        <f>IF(-1106.8032="","-",-1106.8032)</f>
        <v>-1106.8032000000001</v>
      </c>
      <c r="C27" s="28">
        <f>IF(-802.90205="","-",-802.90205)</f>
        <v>-802.90205000000003</v>
      </c>
      <c r="D27" s="28">
        <f>IF(OR(-1106.8032="",-802.90205="",-1106.8032=0),"-",-802.90205/-1106.8032*100)</f>
        <v>72.542440245926286</v>
      </c>
    </row>
    <row r="28" spans="1:4" x14ac:dyDescent="0.25">
      <c r="A28" s="27" t="s">
        <v>44</v>
      </c>
      <c r="B28" s="28">
        <f>IF(-973.85786="","-",-973.85786)</f>
        <v>-973.85785999999996</v>
      </c>
      <c r="C28" s="28">
        <f>IF(-135.17996="","-",-135.17996)</f>
        <v>-135.17995999999999</v>
      </c>
      <c r="D28" s="28">
        <f>IF(OR(-973.85786="",-135.17996="",-973.85786=0),"-",-135.17996/-973.85786*100)</f>
        <v>13.880871691069988</v>
      </c>
    </row>
    <row r="29" spans="1:4" x14ac:dyDescent="0.25">
      <c r="A29" s="27" t="s">
        <v>370</v>
      </c>
      <c r="B29" s="28">
        <f>IF(-16.82952="","-",-16.82952)</f>
        <v>-16.829519999999999</v>
      </c>
      <c r="C29" s="28">
        <f>IF(-42.91231="","-",-42.91231)</f>
        <v>-42.912309999999998</v>
      </c>
      <c r="D29" s="28" t="s">
        <v>204</v>
      </c>
    </row>
    <row r="30" spans="1:4" x14ac:dyDescent="0.25">
      <c r="A30" s="27" t="s">
        <v>53</v>
      </c>
      <c r="B30" s="28">
        <f>IF(-33.84283="","-",-33.84283)</f>
        <v>-33.842829999999999</v>
      </c>
      <c r="C30" s="28">
        <f>IF(-19.16548="","-",-19.16548)</f>
        <v>-19.165479999999999</v>
      </c>
      <c r="D30" s="28">
        <f>IF(OR(-33.84283="",-19.16548="",-33.84283=0),"-",-19.16548/-33.84283*100)</f>
        <v>56.630843224399371</v>
      </c>
    </row>
    <row r="31" spans="1:4" x14ac:dyDescent="0.25">
      <c r="A31" s="27" t="s">
        <v>8</v>
      </c>
      <c r="B31" s="28">
        <f>IF(348.31558="","-",348.31558)</f>
        <v>348.31558000000001</v>
      </c>
      <c r="C31" s="28">
        <f>IF(4823.6354="","-",4823.6354)</f>
        <v>4823.6354000000001</v>
      </c>
      <c r="D31" s="28" t="s">
        <v>385</v>
      </c>
    </row>
    <row r="32" spans="1:4" x14ac:dyDescent="0.25">
      <c r="A32" s="27" t="s">
        <v>49</v>
      </c>
      <c r="B32" s="28">
        <f>IF(-691.68069="","-",-691.68069)</f>
        <v>-691.68069000000003</v>
      </c>
      <c r="C32" s="28">
        <f>IF(5278.40275="","-",5278.40275)</f>
        <v>5278.4027500000002</v>
      </c>
      <c r="D32" s="28" t="s">
        <v>20</v>
      </c>
    </row>
    <row r="33" spans="1:4" x14ac:dyDescent="0.25">
      <c r="A33" s="27" t="s">
        <v>45</v>
      </c>
      <c r="B33" s="28">
        <f>IF(2056.01353="","-",2056.01353)</f>
        <v>2056.0135300000002</v>
      </c>
      <c r="C33" s="28">
        <f>IF(8863.30898="","-",8863.30898)</f>
        <v>8863.3089799999998</v>
      </c>
      <c r="D33" s="28" t="s">
        <v>341</v>
      </c>
    </row>
    <row r="34" spans="1:4" x14ac:dyDescent="0.25">
      <c r="A34" s="27" t="s">
        <v>6</v>
      </c>
      <c r="B34" s="28">
        <f>IF(-10795.66848="","-",-10795.66848)</f>
        <v>-10795.66848</v>
      </c>
      <c r="C34" s="28">
        <f>IF(27004.5147="","-",27004.5147)</f>
        <v>27004.5147</v>
      </c>
      <c r="D34" s="28" t="s">
        <v>20</v>
      </c>
    </row>
    <row r="35" spans="1:4" x14ac:dyDescent="0.25">
      <c r="A35" s="27" t="s">
        <v>2</v>
      </c>
      <c r="B35" s="28">
        <f>IF(-12217.63738="","-",-12217.63738)</f>
        <v>-12217.63738</v>
      </c>
      <c r="C35" s="28">
        <f>IF(74196.53273="","-",74196.53273)</f>
        <v>74196.532730000006</v>
      </c>
      <c r="D35" s="28" t="s">
        <v>20</v>
      </c>
    </row>
    <row r="36" spans="1:4" x14ac:dyDescent="0.25">
      <c r="A36" s="25" t="s">
        <v>134</v>
      </c>
      <c r="B36" s="26">
        <v>-346262.83694000001</v>
      </c>
      <c r="C36" s="26">
        <v>-657195.97028000001</v>
      </c>
      <c r="D36" s="26" t="s">
        <v>101</v>
      </c>
    </row>
    <row r="37" spans="1:4" x14ac:dyDescent="0.25">
      <c r="A37" s="27" t="s">
        <v>310</v>
      </c>
      <c r="B37" s="28">
        <v>-171950.98355999999</v>
      </c>
      <c r="C37" s="28">
        <v>-471098.91928999999</v>
      </c>
      <c r="D37" s="28" t="s">
        <v>287</v>
      </c>
    </row>
    <row r="38" spans="1:4" x14ac:dyDescent="0.25">
      <c r="A38" s="27" t="s">
        <v>10</v>
      </c>
      <c r="B38" s="28">
        <v>-156972.88045999999</v>
      </c>
      <c r="C38" s="28">
        <v>-150608</v>
      </c>
      <c r="D38" s="28">
        <f>IF(OR(-156972.88046="",-150608="",-156972.88046=0),"-",-150608/-156972.88046*100)</f>
        <v>95.945235609266987</v>
      </c>
    </row>
    <row r="39" spans="1:4" x14ac:dyDescent="0.25">
      <c r="A39" s="27" t="s">
        <v>9</v>
      </c>
      <c r="B39" s="28">
        <v>-16280.72863</v>
      </c>
      <c r="C39" s="28">
        <v>-16506.607769999999</v>
      </c>
      <c r="D39" s="28">
        <f>IF(OR(-16280.72863="",-16506.60777="",-16280.72863=0),"-",-16506.60777/-16280.72863*100)</f>
        <v>101.3874019101564</v>
      </c>
    </row>
    <row r="40" spans="1:4" x14ac:dyDescent="0.25">
      <c r="A40" s="27" t="s">
        <v>12</v>
      </c>
      <c r="B40" s="28">
        <v>632.99883999999997</v>
      </c>
      <c r="C40" s="28">
        <v>-5977.6947</v>
      </c>
      <c r="D40" s="28" t="s">
        <v>20</v>
      </c>
    </row>
    <row r="41" spans="1:4" x14ac:dyDescent="0.25">
      <c r="A41" s="27" t="s">
        <v>13</v>
      </c>
      <c r="B41" s="28">
        <v>-1724.5381299999999</v>
      </c>
      <c r="C41" s="28">
        <v>-4097.7242900000001</v>
      </c>
      <c r="D41" s="28" t="s">
        <v>288</v>
      </c>
    </row>
    <row r="42" spans="1:4" x14ac:dyDescent="0.25">
      <c r="A42" s="27" t="s">
        <v>14</v>
      </c>
      <c r="B42" s="28">
        <v>146.62979999999999</v>
      </c>
      <c r="C42" s="28">
        <v>-3865.31097</v>
      </c>
      <c r="D42" s="28" t="s">
        <v>20</v>
      </c>
    </row>
    <row r="43" spans="1:4" x14ac:dyDescent="0.25">
      <c r="A43" s="27" t="s">
        <v>11</v>
      </c>
      <c r="B43" s="28">
        <v>-590.24940000000004</v>
      </c>
      <c r="C43" s="28">
        <v>-2665.2830600000002</v>
      </c>
      <c r="D43" s="28" t="s">
        <v>339</v>
      </c>
    </row>
    <row r="44" spans="1:4" x14ac:dyDescent="0.25">
      <c r="A44" s="27" t="s">
        <v>326</v>
      </c>
      <c r="B44" s="28">
        <v>368.09217999999998</v>
      </c>
      <c r="C44" s="28">
        <v>-2234.8794499999999</v>
      </c>
      <c r="D44" s="28" t="s">
        <v>20</v>
      </c>
    </row>
    <row r="45" spans="1:4" x14ac:dyDescent="0.25">
      <c r="A45" s="27" t="s">
        <v>15</v>
      </c>
      <c r="B45" s="28">
        <v>-13.51859</v>
      </c>
      <c r="C45" s="28">
        <v>-159.87018</v>
      </c>
      <c r="D45" s="28" t="s">
        <v>386</v>
      </c>
    </row>
    <row r="46" spans="1:4" x14ac:dyDescent="0.25">
      <c r="A46" s="27" t="s">
        <v>16</v>
      </c>
      <c r="B46" s="28">
        <v>122.34101</v>
      </c>
      <c r="C46" s="28">
        <v>18.319430000000001</v>
      </c>
      <c r="D46" s="28">
        <f>IF(OR(122.34101="",18.31943="",122.34101=0),"-",18.31943/122.34101*100)</f>
        <v>14.974071245610936</v>
      </c>
    </row>
    <row r="47" spans="1:4" x14ac:dyDescent="0.25">
      <c r="A47" s="25" t="s">
        <v>133</v>
      </c>
      <c r="B47" s="26">
        <f>IF(-440884.20697="","-",-440884.20697)</f>
        <v>-440884.20697</v>
      </c>
      <c r="C47" s="26">
        <f>IF(-421166.88417="","-",-421166.88417)</f>
        <v>-421166.88416999998</v>
      </c>
      <c r="D47" s="26">
        <f>IF(-440884.20697="","-",-421166.88417/-440884.20697*100)</f>
        <v>95.527777478012112</v>
      </c>
    </row>
    <row r="48" spans="1:4" x14ac:dyDescent="0.25">
      <c r="A48" s="27" t="s">
        <v>57</v>
      </c>
      <c r="B48" s="28">
        <f>IF(-232634.52023="","-",-232634.52023)</f>
        <v>-232634.52022999999</v>
      </c>
      <c r="C48" s="28">
        <v>-248278.55244</v>
      </c>
      <c r="D48" s="28">
        <f>IF(OR(-232634.52023="",-248278.55244="",-232634.52023=0),"-",-248278.55244/-232634.52023*100)</f>
        <v>106.72472520180287</v>
      </c>
    </row>
    <row r="49" spans="1:4" x14ac:dyDescent="0.25">
      <c r="A49" s="27" t="s">
        <v>67</v>
      </c>
      <c r="B49" s="71">
        <v>-15367.522800000001</v>
      </c>
      <c r="C49" s="71">
        <v>-49165.711000000003</v>
      </c>
      <c r="D49" s="28" t="s">
        <v>314</v>
      </c>
    </row>
    <row r="50" spans="1:4" x14ac:dyDescent="0.25">
      <c r="A50" s="27" t="s">
        <v>54</v>
      </c>
      <c r="B50" s="71">
        <v>-68479.047070000001</v>
      </c>
      <c r="C50" s="71">
        <v>-43609.504300000001</v>
      </c>
      <c r="D50" s="28">
        <f>IF(OR(-68479.04707="",-43609.5043="",-68479.04707=0),"-",-43609.5043/-68479.04707*100)</f>
        <v>63.682989419262668</v>
      </c>
    </row>
    <row r="51" spans="1:4" x14ac:dyDescent="0.25">
      <c r="A51" s="27" t="s">
        <v>17</v>
      </c>
      <c r="B51" s="71">
        <v>-24461.789560000001</v>
      </c>
      <c r="C51" s="28">
        <f>IF(-38199.18722="","-",-38199.18722)</f>
        <v>-38199.18722</v>
      </c>
      <c r="D51" s="28">
        <f>IF(OR(-24461.78956="",-38199.18722="",-24461.78956=0),"-",-38199.18722/-24461.78956*100)</f>
        <v>156.15859635414179</v>
      </c>
    </row>
    <row r="52" spans="1:4" x14ac:dyDescent="0.25">
      <c r="A52" s="27" t="s">
        <v>34</v>
      </c>
      <c r="B52" s="28">
        <v>-12650.48969</v>
      </c>
      <c r="C52" s="71">
        <v>-18493.269619999999</v>
      </c>
      <c r="D52" s="28">
        <f>IF(OR(-12650.48969="",-18493.26962="",-12650.48969=0),"-",-18493.26962/-12650.48969*100)</f>
        <v>146.18619573769243</v>
      </c>
    </row>
    <row r="53" spans="1:4" x14ac:dyDescent="0.25">
      <c r="A53" s="27" t="s">
        <v>73</v>
      </c>
      <c r="B53" s="71">
        <v>-19921.489030000001</v>
      </c>
      <c r="C53" s="71">
        <v>-14743.55416</v>
      </c>
      <c r="D53" s="28">
        <f>IF(OR(-19921.48903="",-14743.55416="",-19921.48903=0),"-",-14743.55416/-19921.48903*100)</f>
        <v>74.008293947292344</v>
      </c>
    </row>
    <row r="54" spans="1:4" x14ac:dyDescent="0.25">
      <c r="A54" s="27" t="s">
        <v>69</v>
      </c>
      <c r="B54" s="71">
        <v>-15650.84153</v>
      </c>
      <c r="C54" s="71">
        <v>-11717.669159999999</v>
      </c>
      <c r="D54" s="28">
        <f>IF(OR(-15650.84153="",-11717.66916="",-15650.84153=0),"-",-11717.66916/-15650.84153*100)</f>
        <v>74.869259506201132</v>
      </c>
    </row>
    <row r="55" spans="1:4" x14ac:dyDescent="0.25">
      <c r="A55" s="27" t="s">
        <v>64</v>
      </c>
      <c r="B55" s="71">
        <v>-6352.9920599999996</v>
      </c>
      <c r="C55" s="71">
        <v>-8508.7230400000008</v>
      </c>
      <c r="D55" s="28">
        <f>IF(OR(-6352.99206="",-8508.72304="",-6352.99206=0),"-",-8508.72304/-6352.99206*100)</f>
        <v>133.93253068224362</v>
      </c>
    </row>
    <row r="56" spans="1:4" x14ac:dyDescent="0.25">
      <c r="A56" s="27" t="s">
        <v>76</v>
      </c>
      <c r="B56" s="28">
        <v>-8562.2371600000006</v>
      </c>
      <c r="C56" s="71">
        <v>-8223.2356199999995</v>
      </c>
      <c r="D56" s="28">
        <f>IF(OR(-8562.23716="",-8223.23562="",-8562.23716=0),"-",-8223.23562/-8562.23716*100)</f>
        <v>96.040736390908364</v>
      </c>
    </row>
    <row r="57" spans="1:4" x14ac:dyDescent="0.25">
      <c r="A57" s="27" t="s">
        <v>71</v>
      </c>
      <c r="B57" s="71">
        <v>-3809.20471</v>
      </c>
      <c r="C57" s="71">
        <v>-6787.7518799999998</v>
      </c>
      <c r="D57" s="28" t="s">
        <v>198</v>
      </c>
    </row>
    <row r="58" spans="1:4" x14ac:dyDescent="0.25">
      <c r="A58" s="27" t="s">
        <v>328</v>
      </c>
      <c r="B58" s="71">
        <v>-5982.3843500000003</v>
      </c>
      <c r="C58" s="71">
        <v>-6019.0943799999995</v>
      </c>
      <c r="D58" s="28">
        <f>IF(OR(-5982.38435="",-6019.09438="",-5982.38435=0),"-",-6019.09438/-5982.38435*100)</f>
        <v>100.61363543116381</v>
      </c>
    </row>
    <row r="59" spans="1:4" x14ac:dyDescent="0.25">
      <c r="A59" s="27" t="s">
        <v>60</v>
      </c>
      <c r="B59" s="71">
        <v>-2519.3879400000001</v>
      </c>
      <c r="C59" s="71">
        <v>-5031.7855499999996</v>
      </c>
      <c r="D59" s="28" t="s">
        <v>18</v>
      </c>
    </row>
    <row r="60" spans="1:4" x14ac:dyDescent="0.25">
      <c r="A60" s="27" t="s">
        <v>75</v>
      </c>
      <c r="B60" s="71">
        <v>-4536.4016099999999</v>
      </c>
      <c r="C60" s="71">
        <v>-4322.8438800000004</v>
      </c>
      <c r="D60" s="28">
        <f>IF(OR(-4536.40161="",-4322.84388="",-4536.40161=0),"-",-4322.84388/-4536.40161*100)</f>
        <v>95.292353976569558</v>
      </c>
    </row>
    <row r="61" spans="1:4" x14ac:dyDescent="0.25">
      <c r="A61" s="27" t="s">
        <v>79</v>
      </c>
      <c r="B61" s="71">
        <v>-3911.7369699999999</v>
      </c>
      <c r="C61" s="71">
        <v>-3989.0616599999998</v>
      </c>
      <c r="D61" s="28">
        <f>IF(OR(-3911.73697="",-3989.06166="",-3911.73697=0),"-",-3989.06166/-3911.73697*100)</f>
        <v>101.97673541429346</v>
      </c>
    </row>
    <row r="62" spans="1:4" x14ac:dyDescent="0.25">
      <c r="A62" s="27" t="s">
        <v>59</v>
      </c>
      <c r="B62" s="28">
        <v>-4716.6080400000001</v>
      </c>
      <c r="C62" s="71">
        <v>-3445.1467499999999</v>
      </c>
      <c r="D62" s="28">
        <f>IF(OR(-4716.60804="",-3445.14675="",-4716.60804=0),"-",-3445.14675/-4716.60804*100)</f>
        <v>73.042888465245454</v>
      </c>
    </row>
    <row r="63" spans="1:4" x14ac:dyDescent="0.25">
      <c r="A63" s="27" t="s">
        <v>68</v>
      </c>
      <c r="B63" s="28">
        <v>-4092.1410500000002</v>
      </c>
      <c r="C63" s="28">
        <v>-3397.0807500000001</v>
      </c>
      <c r="D63" s="28">
        <f>IF(OR(-4092.14105="",-3397.08075="",-4092.14105=0),"-",-3397.08075/-4092.14105*100)</f>
        <v>83.014752143013254</v>
      </c>
    </row>
    <row r="64" spans="1:4" x14ac:dyDescent="0.25">
      <c r="A64" s="27" t="s">
        <v>80</v>
      </c>
      <c r="B64" s="28">
        <v>-2343.11996</v>
      </c>
      <c r="C64" s="28">
        <v>-2837.2566700000002</v>
      </c>
      <c r="D64" s="28">
        <f>IF(OR(-2343.11996="",-2837.25667="",-2343.11996=0),"-",-2837.25667/-2343.11996*100)</f>
        <v>121.08883533218675</v>
      </c>
    </row>
    <row r="65" spans="1:4" x14ac:dyDescent="0.25">
      <c r="A65" s="27" t="s">
        <v>63</v>
      </c>
      <c r="B65" s="71">
        <v>-2357.3451399999999</v>
      </c>
      <c r="C65" s="71">
        <v>-2663.05249</v>
      </c>
      <c r="D65" s="28">
        <f>IF(OR(-2357.34514="",-2663.05249="",-2357.34514=0),"-",-2663.05249/-2357.34514*100)</f>
        <v>112.96828982793754</v>
      </c>
    </row>
    <row r="66" spans="1:4" x14ac:dyDescent="0.25">
      <c r="A66" s="27" t="s">
        <v>70</v>
      </c>
      <c r="B66" s="71">
        <v>-1429.12355</v>
      </c>
      <c r="C66" s="71">
        <v>-2432.9535799999999</v>
      </c>
      <c r="D66" s="28" t="s">
        <v>99</v>
      </c>
    </row>
    <row r="67" spans="1:4" x14ac:dyDescent="0.25">
      <c r="A67" s="27" t="s">
        <v>77</v>
      </c>
      <c r="B67" s="71">
        <v>-1421.0961600000001</v>
      </c>
      <c r="C67" s="71">
        <v>-1681.13463</v>
      </c>
      <c r="D67" s="28">
        <f>IF(OR(-1421.09616="",-1681.13463="",-1421.09616=0),"-",-1681.13463/-1421.09616*100)</f>
        <v>118.29844294280549</v>
      </c>
    </row>
    <row r="68" spans="1:4" x14ac:dyDescent="0.25">
      <c r="A68" s="27" t="s">
        <v>82</v>
      </c>
      <c r="B68" s="71">
        <v>-2516.0628999999999</v>
      </c>
      <c r="C68" s="71">
        <v>-1358.6368500000001</v>
      </c>
      <c r="D68" s="28">
        <f>IF(OR(-2516.0629="",-1358.63685="",-2516.0629=0),"-",-1358.63685/-2516.0629*100)</f>
        <v>53.998524838150907</v>
      </c>
    </row>
    <row r="69" spans="1:4" x14ac:dyDescent="0.25">
      <c r="A69" s="27" t="s">
        <v>85</v>
      </c>
      <c r="B69" s="28">
        <v>-2142.4877299999998</v>
      </c>
      <c r="C69" s="28">
        <v>-1352.4145699999999</v>
      </c>
      <c r="D69" s="28">
        <f>IF(OR(-2142.48773="",-1352.41457="",-2142.48773=0),"-",-1352.41457/-2142.48773*100)</f>
        <v>63.123561972511276</v>
      </c>
    </row>
    <row r="70" spans="1:4" x14ac:dyDescent="0.25">
      <c r="A70" s="27" t="s">
        <v>81</v>
      </c>
      <c r="B70" s="71">
        <v>-2249.65274</v>
      </c>
      <c r="C70" s="71">
        <v>-1346.25875</v>
      </c>
      <c r="D70" s="28">
        <f>IF(OR(-2249.65274="",-1346.25875="",-2249.65274=0),"-",-1346.25875/-2249.65274*100)</f>
        <v>59.842958251414387</v>
      </c>
    </row>
    <row r="71" spans="1:4" x14ac:dyDescent="0.25">
      <c r="A71" s="27" t="s">
        <v>72</v>
      </c>
      <c r="B71" s="28">
        <v>-1238.08952</v>
      </c>
      <c r="C71" s="71">
        <v>-1336.81942</v>
      </c>
      <c r="D71" s="28">
        <f>IF(OR(-1238.08952="",-1336.81942="",-1238.08952=0),"-",-1336.81942/-1238.08952*100)</f>
        <v>107.97437490626687</v>
      </c>
    </row>
    <row r="72" spans="1:4" x14ac:dyDescent="0.25">
      <c r="A72" s="27" t="s">
        <v>86</v>
      </c>
      <c r="B72" s="28">
        <v>-1384.6704500000001</v>
      </c>
      <c r="C72" s="71">
        <v>-1042.49298</v>
      </c>
      <c r="D72" s="28">
        <f>IF(OR(-1384.67045="",-1042.49298="",-1384.67045=0),"-",-1042.49298/-1384.67045*100)</f>
        <v>75.288165498151557</v>
      </c>
    </row>
    <row r="73" spans="1:4" x14ac:dyDescent="0.25">
      <c r="A73" s="27" t="s">
        <v>122</v>
      </c>
      <c r="B73" s="71">
        <v>-1510.5675100000001</v>
      </c>
      <c r="C73" s="71">
        <v>-899.07209999999998</v>
      </c>
      <c r="D73" s="28">
        <f>IF(OR(-1510.56751="",-899.0721="",-1510.56751=0),"-",-899.0721/-1510.56751*100)</f>
        <v>59.518829449734426</v>
      </c>
    </row>
    <row r="74" spans="1:4" x14ac:dyDescent="0.25">
      <c r="A74" s="27" t="s">
        <v>84</v>
      </c>
      <c r="B74" s="28">
        <f>IF(-1138.84998="","-",-1138.84998)</f>
        <v>-1138.84998</v>
      </c>
      <c r="C74" s="71">
        <v>-844.04494999999997</v>
      </c>
      <c r="D74" s="28">
        <f>IF(OR(-1138.84998="",-844.04495="",-1138.84998=0),"-",-844.04495/-1138.84998*100)</f>
        <v>74.113795918932183</v>
      </c>
    </row>
    <row r="75" spans="1:4" x14ac:dyDescent="0.25">
      <c r="A75" s="27" t="s">
        <v>93</v>
      </c>
      <c r="B75" s="71">
        <v>-520.84978999999998</v>
      </c>
      <c r="C75" s="71">
        <v>-649.80987000000005</v>
      </c>
      <c r="D75" s="28">
        <f>IF(OR(-520.84979="",-649.80987="",-520.84979=0),"-",-649.80987/-520.84979*100)</f>
        <v>124.75955303735459</v>
      </c>
    </row>
    <row r="76" spans="1:4" x14ac:dyDescent="0.25">
      <c r="A76" s="27" t="s">
        <v>83</v>
      </c>
      <c r="B76" s="71">
        <v>-861.19565</v>
      </c>
      <c r="C76" s="71">
        <v>-604.81041000000005</v>
      </c>
      <c r="D76" s="28">
        <f>IF(OR(-861.19565="",-604.81041="",-861.19565=0),"-",-604.81041/-861.19565*100)</f>
        <v>70.22915292245149</v>
      </c>
    </row>
    <row r="77" spans="1:4" x14ac:dyDescent="0.25">
      <c r="A77" s="27" t="s">
        <v>137</v>
      </c>
      <c r="B77" s="28">
        <v>-507.26832000000002</v>
      </c>
      <c r="C77" s="28">
        <v>-541.97893999999997</v>
      </c>
      <c r="D77" s="28">
        <f>IF(OR(-507.26832="",-541.97894="",-507.26832=0),"-",-541.97894/-507.26832*100)</f>
        <v>106.84265479066384</v>
      </c>
    </row>
    <row r="78" spans="1:4" x14ac:dyDescent="0.25">
      <c r="A78" s="27" t="s">
        <v>88</v>
      </c>
      <c r="B78" s="28">
        <v>-244.89957999999999</v>
      </c>
      <c r="C78" s="28">
        <v>-538.77431000000001</v>
      </c>
      <c r="D78" s="28" t="s">
        <v>197</v>
      </c>
    </row>
    <row r="79" spans="1:4" x14ac:dyDescent="0.25">
      <c r="A79" s="27" t="s">
        <v>331</v>
      </c>
      <c r="B79" s="71">
        <v>-1305.56557</v>
      </c>
      <c r="C79" s="71">
        <v>-518.23631999999998</v>
      </c>
      <c r="D79" s="28">
        <f>IF(OR(-1305.56557="",-518.23632="",-1305.56557=0),"-",-518.23632/-1305.56557*100)</f>
        <v>39.694392369737507</v>
      </c>
    </row>
    <row r="80" spans="1:4" x14ac:dyDescent="0.25">
      <c r="A80" s="27" t="s">
        <v>316</v>
      </c>
      <c r="B80" s="71">
        <v>-449.92615000000001</v>
      </c>
      <c r="C80" s="71">
        <v>-487.27634999999998</v>
      </c>
      <c r="D80" s="28">
        <f>IF(OR(-449.92615="",-487.27635="",-449.92615=0),"-",-487.27635/-449.92615*100)</f>
        <v>108.30140679753777</v>
      </c>
    </row>
    <row r="81" spans="1:4" x14ac:dyDescent="0.25">
      <c r="A81" s="27" t="s">
        <v>90</v>
      </c>
      <c r="B81" s="71">
        <v>-202.56497999999999</v>
      </c>
      <c r="C81" s="71">
        <v>-443.89683000000002</v>
      </c>
      <c r="D81" s="28" t="s">
        <v>197</v>
      </c>
    </row>
    <row r="82" spans="1:4" x14ac:dyDescent="0.25">
      <c r="A82" s="27" t="s">
        <v>62</v>
      </c>
      <c r="B82" s="71">
        <v>-407.61673000000002</v>
      </c>
      <c r="C82" s="71">
        <v>-377.64404000000002</v>
      </c>
      <c r="D82" s="28">
        <f>IF(OR(-407.61673="",-377.64404="",-407.61673=0),"-",-377.64404/-407.61673*100)</f>
        <v>92.646844990881505</v>
      </c>
    </row>
    <row r="83" spans="1:4" x14ac:dyDescent="0.25">
      <c r="A83" s="27" t="s">
        <v>313</v>
      </c>
      <c r="B83" s="28">
        <v>137.36508000000001</v>
      </c>
      <c r="C83" s="28">
        <v>-350.29163</v>
      </c>
      <c r="D83" s="28" t="s">
        <v>20</v>
      </c>
    </row>
    <row r="84" spans="1:4" x14ac:dyDescent="0.25">
      <c r="A84" s="27" t="s">
        <v>300</v>
      </c>
      <c r="B84" s="28">
        <v>-14.075950000000001</v>
      </c>
      <c r="C84" s="71">
        <v>-271.76992999999999</v>
      </c>
      <c r="D84" s="28" t="s">
        <v>375</v>
      </c>
    </row>
    <row r="85" spans="1:4" x14ac:dyDescent="0.25">
      <c r="A85" s="27" t="s">
        <v>89</v>
      </c>
      <c r="B85" s="28">
        <v>-1039.3798200000001</v>
      </c>
      <c r="C85" s="28">
        <v>-251.60025999999999</v>
      </c>
      <c r="D85" s="28">
        <f>IF(OR(-1039.37982="",-251.60026="",-1039.37982=0),"-",-251.60026/-1039.37982*100)</f>
        <v>24.206767839691171</v>
      </c>
    </row>
    <row r="86" spans="1:4" x14ac:dyDescent="0.25">
      <c r="A86" s="27" t="s">
        <v>208</v>
      </c>
      <c r="B86" s="71">
        <v>-400.25344000000001</v>
      </c>
      <c r="C86" s="71">
        <v>-217.23706000000001</v>
      </c>
      <c r="D86" s="28">
        <f>IF(OR(-400.25344="",-217.23706="",-400.25344=0),"-",-217.23706/-400.25344*100)</f>
        <v>54.2748764382887</v>
      </c>
    </row>
    <row r="87" spans="1:4" x14ac:dyDescent="0.25">
      <c r="A87" s="27" t="s">
        <v>125</v>
      </c>
      <c r="B87" s="71">
        <v>-77.61788</v>
      </c>
      <c r="C87" s="71">
        <v>-184.39940000000001</v>
      </c>
      <c r="D87" s="28" t="s">
        <v>288</v>
      </c>
    </row>
    <row r="88" spans="1:4" x14ac:dyDescent="0.25">
      <c r="A88" s="27" t="s">
        <v>94</v>
      </c>
      <c r="B88" s="71">
        <v>-404.26781</v>
      </c>
      <c r="C88" s="71">
        <v>-156.35202000000001</v>
      </c>
      <c r="D88" s="28">
        <f>IF(OR(-404.26781="",-156.35202="",-404.26781=0),"-",-156.35202/-404.26781*100)</f>
        <v>38.675357308315007</v>
      </c>
    </row>
    <row r="89" spans="1:4" x14ac:dyDescent="0.25">
      <c r="A89" s="27" t="s">
        <v>118</v>
      </c>
      <c r="B89" s="28">
        <v>-243.75881000000001</v>
      </c>
      <c r="C89" s="71">
        <v>-152.12813</v>
      </c>
      <c r="D89" s="28">
        <f>IF(OR(-243.75881="",-152.12813="",-243.75881=0),"-",-152.12813/-243.75881*100)</f>
        <v>62.409284817233889</v>
      </c>
    </row>
    <row r="90" spans="1:4" x14ac:dyDescent="0.25">
      <c r="A90" s="27" t="s">
        <v>37</v>
      </c>
      <c r="B90" s="28">
        <v>-674.57518000000005</v>
      </c>
      <c r="C90" s="28">
        <v>-139.87831</v>
      </c>
      <c r="D90" s="28">
        <f>IF(OR(-674.57518="",-139.87831="",-674.57518=0),"-",-139.87831/-674.57518*100)</f>
        <v>20.735762913779304</v>
      </c>
    </row>
    <row r="91" spans="1:4" x14ac:dyDescent="0.25">
      <c r="A91" s="27" t="s">
        <v>371</v>
      </c>
      <c r="B91" s="71">
        <v>-17.448979999999999</v>
      </c>
      <c r="C91" s="71">
        <v>-108.20963</v>
      </c>
      <c r="D91" s="28" t="s">
        <v>377</v>
      </c>
    </row>
    <row r="92" spans="1:4" x14ac:dyDescent="0.25">
      <c r="A92" s="27" t="s">
        <v>36</v>
      </c>
      <c r="B92" s="28">
        <v>-561.90018999999995</v>
      </c>
      <c r="C92" s="71">
        <v>-100.57514999999999</v>
      </c>
      <c r="D92" s="28">
        <f>IF(OR(-561.90019="",-100.57515="",-561.90019=0),"-",-100.57515/-561.90019*100)</f>
        <v>17.899113007952533</v>
      </c>
    </row>
    <row r="93" spans="1:4" x14ac:dyDescent="0.25">
      <c r="A93" s="27" t="s">
        <v>298</v>
      </c>
      <c r="B93" s="71">
        <v>9.2709899999999994</v>
      </c>
      <c r="C93" s="71">
        <v>-90.717140000000001</v>
      </c>
      <c r="D93" s="28" t="s">
        <v>20</v>
      </c>
    </row>
    <row r="94" spans="1:4" x14ac:dyDescent="0.25">
      <c r="A94" s="27" t="s">
        <v>372</v>
      </c>
      <c r="B94" s="71">
        <v>-27.443709999999999</v>
      </c>
      <c r="C94" s="71">
        <v>-79.919809999999998</v>
      </c>
      <c r="D94" s="28" t="s">
        <v>330</v>
      </c>
    </row>
    <row r="95" spans="1:4" x14ac:dyDescent="0.25">
      <c r="A95" s="27" t="s">
        <v>299</v>
      </c>
      <c r="B95" s="71">
        <v>-0.54251000000000005</v>
      </c>
      <c r="C95" s="71">
        <v>-76.047340000000005</v>
      </c>
      <c r="D95" s="28" t="s">
        <v>380</v>
      </c>
    </row>
    <row r="96" spans="1:4" x14ac:dyDescent="0.25">
      <c r="A96" s="27" t="s">
        <v>381</v>
      </c>
      <c r="B96" s="71">
        <v>-4.0048599999999999</v>
      </c>
      <c r="C96" s="71">
        <v>-62.937869999999997</v>
      </c>
      <c r="D96" s="28" t="s">
        <v>387</v>
      </c>
    </row>
    <row r="97" spans="1:4" x14ac:dyDescent="0.25">
      <c r="A97" s="27" t="s">
        <v>343</v>
      </c>
      <c r="B97" s="71">
        <v>-55.015920000000001</v>
      </c>
      <c r="C97" s="71">
        <v>-58.202599999999997</v>
      </c>
      <c r="D97" s="28">
        <f>IF(OR(-55.01592="",-58.2026="",-55.01592=0),"-",-58.2026/-55.01592*100)</f>
        <v>105.79228703255347</v>
      </c>
    </row>
    <row r="98" spans="1:4" x14ac:dyDescent="0.25">
      <c r="A98" s="27" t="s">
        <v>97</v>
      </c>
      <c r="B98" s="71">
        <v>221.30461</v>
      </c>
      <c r="C98" s="71">
        <v>-54.914499999999997</v>
      </c>
      <c r="D98" s="28" t="s">
        <v>20</v>
      </c>
    </row>
    <row r="99" spans="1:4" x14ac:dyDescent="0.25">
      <c r="A99" s="27" t="s">
        <v>382</v>
      </c>
      <c r="B99" s="71">
        <v>-0.59907999999999995</v>
      </c>
      <c r="C99" s="71">
        <v>-45.893470000000001</v>
      </c>
      <c r="D99" s="28" t="s">
        <v>388</v>
      </c>
    </row>
    <row r="100" spans="1:4" x14ac:dyDescent="0.25">
      <c r="A100" s="27" t="s">
        <v>383</v>
      </c>
      <c r="B100" s="28">
        <v>-22.240960000000001</v>
      </c>
      <c r="C100" s="71">
        <v>-43.641559999999998</v>
      </c>
      <c r="D100" s="28" t="s">
        <v>18</v>
      </c>
    </row>
    <row r="101" spans="1:4" x14ac:dyDescent="0.25">
      <c r="A101" s="27" t="s">
        <v>98</v>
      </c>
      <c r="B101" s="28">
        <v>-188.38466</v>
      </c>
      <c r="C101" s="28">
        <v>-41.94952</v>
      </c>
      <c r="D101" s="28">
        <f>IF(OR(-188.38466="",-41.94952="",-188.38466=0),"-",-41.94952/-188.38466*100)</f>
        <v>22.268012692753221</v>
      </c>
    </row>
    <row r="102" spans="1:4" x14ac:dyDescent="0.25">
      <c r="A102" s="27" t="s">
        <v>357</v>
      </c>
      <c r="B102" s="71">
        <v>56.932549999999999</v>
      </c>
      <c r="C102" s="71">
        <v>44.686039999999998</v>
      </c>
      <c r="D102" s="28">
        <f>IF(OR(56.93255="",44.68604="",56.93255=0),"-",44.68604/56.93255*100)</f>
        <v>78.489440574855678</v>
      </c>
    </row>
    <row r="103" spans="1:4" x14ac:dyDescent="0.25">
      <c r="A103" s="27" t="s">
        <v>205</v>
      </c>
      <c r="B103" s="71">
        <v>2085.5038500000001</v>
      </c>
      <c r="C103" s="71">
        <v>48.742350000000002</v>
      </c>
      <c r="D103" s="28">
        <f>IF(OR(2085.50385="",48.74235="",2085.50385=0),"-",48.74235/2085.50385*100)</f>
        <v>2.3371977951515173</v>
      </c>
    </row>
    <row r="104" spans="1:4" x14ac:dyDescent="0.25">
      <c r="A104" s="27" t="s">
        <v>337</v>
      </c>
      <c r="B104" s="71">
        <v>-26.596340000000001</v>
      </c>
      <c r="C104" s="71">
        <v>71.143619999999999</v>
      </c>
      <c r="D104" s="28" t="s">
        <v>20</v>
      </c>
    </row>
    <row r="105" spans="1:4" x14ac:dyDescent="0.25">
      <c r="A105" s="27" t="s">
        <v>356</v>
      </c>
      <c r="B105" s="28">
        <v>39.464750000000002</v>
      </c>
      <c r="C105" s="71">
        <v>72.69</v>
      </c>
      <c r="D105" s="28" t="s">
        <v>198</v>
      </c>
    </row>
    <row r="106" spans="1:4" x14ac:dyDescent="0.25">
      <c r="A106" s="27" t="s">
        <v>78</v>
      </c>
      <c r="B106" s="28">
        <v>-374.50844000000001</v>
      </c>
      <c r="C106" s="28">
        <v>83.593239999999994</v>
      </c>
      <c r="D106" s="28" t="s">
        <v>20</v>
      </c>
    </row>
    <row r="107" spans="1:4" x14ac:dyDescent="0.25">
      <c r="A107" s="27" t="s">
        <v>327</v>
      </c>
      <c r="B107" s="71">
        <v>24.63456</v>
      </c>
      <c r="C107" s="71">
        <v>98.904160000000005</v>
      </c>
      <c r="D107" s="28" t="s">
        <v>322</v>
      </c>
    </row>
    <row r="108" spans="1:4" x14ac:dyDescent="0.25">
      <c r="A108" s="27" t="s">
        <v>336</v>
      </c>
      <c r="B108" s="71">
        <v>1.4751300000000001</v>
      </c>
      <c r="C108" s="71">
        <v>107.54342</v>
      </c>
      <c r="D108" s="28" t="s">
        <v>389</v>
      </c>
    </row>
    <row r="109" spans="1:4" x14ac:dyDescent="0.25">
      <c r="A109" s="27" t="s">
        <v>103</v>
      </c>
      <c r="B109" s="71">
        <v>-50.285640000000001</v>
      </c>
      <c r="C109" s="71">
        <v>114.82170000000001</v>
      </c>
      <c r="D109" s="28" t="s">
        <v>20</v>
      </c>
    </row>
    <row r="110" spans="1:4" x14ac:dyDescent="0.25">
      <c r="A110" s="27" t="s">
        <v>131</v>
      </c>
      <c r="B110" s="71">
        <v>168.81423000000001</v>
      </c>
      <c r="C110" s="71">
        <v>118.00157</v>
      </c>
      <c r="D110" s="28">
        <f>IF(OR(168.81423="",118.00157="",168.81423=0),"-",118.00157/168.81423*100)</f>
        <v>69.900250707538106</v>
      </c>
    </row>
    <row r="111" spans="1:4" x14ac:dyDescent="0.25">
      <c r="A111" s="27" t="s">
        <v>338</v>
      </c>
      <c r="B111" s="28">
        <v>161.82137</v>
      </c>
      <c r="C111" s="28">
        <v>134.62724</v>
      </c>
      <c r="D111" s="28">
        <f>IF(OR(161.82137="",134.62724="",161.82137=0),"-",134.62724/161.82137*100)</f>
        <v>83.194969860902802</v>
      </c>
    </row>
    <row r="112" spans="1:4" x14ac:dyDescent="0.25">
      <c r="A112" s="27" t="s">
        <v>119</v>
      </c>
      <c r="B112" s="28">
        <v>140.37428</v>
      </c>
      <c r="C112" s="28">
        <v>146.90987000000001</v>
      </c>
      <c r="D112" s="28">
        <f>IF(OR(140.37428="",146.90987="",140.37428=0),"-",146.90987/140.37428*100)</f>
        <v>104.65583153837015</v>
      </c>
    </row>
    <row r="113" spans="1:4" x14ac:dyDescent="0.25">
      <c r="A113" s="27" t="s">
        <v>207</v>
      </c>
      <c r="B113" s="28">
        <v>48.283630000000002</v>
      </c>
      <c r="C113" s="28">
        <v>158.94743</v>
      </c>
      <c r="D113" s="28" t="s">
        <v>301</v>
      </c>
    </row>
    <row r="114" spans="1:4" x14ac:dyDescent="0.25">
      <c r="A114" s="27" t="s">
        <v>303</v>
      </c>
      <c r="B114" s="71">
        <v>182.67859999999999</v>
      </c>
      <c r="C114" s="71">
        <v>176.90536</v>
      </c>
      <c r="D114" s="28">
        <f>IF(OR(182.6786="",176.90536="",182.6786=0),"-",176.90536/182.6786*100)</f>
        <v>96.839673612563274</v>
      </c>
    </row>
    <row r="115" spans="1:4" x14ac:dyDescent="0.25">
      <c r="A115" s="27" t="s">
        <v>87</v>
      </c>
      <c r="B115" s="71">
        <v>-1063.96102</v>
      </c>
      <c r="C115" s="71">
        <v>207.43617</v>
      </c>
      <c r="D115" s="28" t="s">
        <v>20</v>
      </c>
    </row>
    <row r="116" spans="1:4" x14ac:dyDescent="0.25">
      <c r="A116" s="27" t="s">
        <v>136</v>
      </c>
      <c r="B116" s="71">
        <v>299.39999999999998</v>
      </c>
      <c r="C116" s="71">
        <v>228.09440000000001</v>
      </c>
      <c r="D116" s="28">
        <f>IF(OR(299.4="",228.0944="",299.4=0),"-",228.0944/299.4*100)</f>
        <v>76.183834335337352</v>
      </c>
    </row>
    <row r="117" spans="1:4" x14ac:dyDescent="0.25">
      <c r="A117" s="27" t="s">
        <v>138</v>
      </c>
      <c r="B117" s="28">
        <v>312.06231000000002</v>
      </c>
      <c r="C117" s="71">
        <v>268.04766999999998</v>
      </c>
      <c r="D117" s="28">
        <f>IF(OR(312.06231="",268.04767="",312.06231=0),"-",268.04767/312.06231*100)</f>
        <v>85.895560409073425</v>
      </c>
    </row>
    <row r="118" spans="1:4" x14ac:dyDescent="0.25">
      <c r="A118" s="27" t="s">
        <v>92</v>
      </c>
      <c r="B118" s="71">
        <v>168.99047999999999</v>
      </c>
      <c r="C118" s="71">
        <v>621.85628999999994</v>
      </c>
      <c r="D118" s="28" t="s">
        <v>302</v>
      </c>
    </row>
    <row r="119" spans="1:4" x14ac:dyDescent="0.25">
      <c r="A119" s="27" t="s">
        <v>74</v>
      </c>
      <c r="B119" s="71">
        <v>827.09393999999998</v>
      </c>
      <c r="C119" s="71">
        <v>718.36644000000001</v>
      </c>
      <c r="D119" s="28">
        <f>IF(OR(827.09394="",718.36644="",827.09394=0),"-",718.36644/827.09394*100)</f>
        <v>86.854274376620396</v>
      </c>
    </row>
    <row r="120" spans="1:4" x14ac:dyDescent="0.25">
      <c r="A120" s="27" t="s">
        <v>65</v>
      </c>
      <c r="B120" s="71">
        <v>-324.17827</v>
      </c>
      <c r="C120" s="71">
        <v>1486.40562</v>
      </c>
      <c r="D120" s="28" t="s">
        <v>20</v>
      </c>
    </row>
    <row r="121" spans="1:4" x14ac:dyDescent="0.25">
      <c r="A121" s="27" t="s">
        <v>61</v>
      </c>
      <c r="B121" s="28">
        <v>-993.28765999999996</v>
      </c>
      <c r="C121" s="71">
        <v>2222.6393200000002</v>
      </c>
      <c r="D121" s="28" t="s">
        <v>20</v>
      </c>
    </row>
    <row r="122" spans="1:4" x14ac:dyDescent="0.25">
      <c r="A122" s="27" t="s">
        <v>116</v>
      </c>
      <c r="B122" s="28">
        <v>-236.06458000000001</v>
      </c>
      <c r="C122" s="71">
        <v>2258.9729200000002</v>
      </c>
      <c r="D122" s="28" t="s">
        <v>20</v>
      </c>
    </row>
    <row r="123" spans="1:4" x14ac:dyDescent="0.25">
      <c r="A123" s="27" t="s">
        <v>35</v>
      </c>
      <c r="B123" s="28">
        <v>89.457939999999994</v>
      </c>
      <c r="C123" s="28">
        <v>2926.7502500000001</v>
      </c>
      <c r="D123" s="28" t="s">
        <v>390</v>
      </c>
    </row>
    <row r="124" spans="1:4" x14ac:dyDescent="0.25">
      <c r="A124" s="27" t="s">
        <v>66</v>
      </c>
      <c r="B124" s="28">
        <v>1513.5231900000001</v>
      </c>
      <c r="C124" s="28">
        <v>2957.84681</v>
      </c>
      <c r="D124" s="28" t="s">
        <v>18</v>
      </c>
    </row>
    <row r="125" spans="1:4" x14ac:dyDescent="0.25">
      <c r="A125" s="27" t="s">
        <v>56</v>
      </c>
      <c r="B125" s="28">
        <v>5636.8681999999999</v>
      </c>
      <c r="C125" s="71">
        <v>3195.7185199999999</v>
      </c>
      <c r="D125" s="28">
        <f>IF(OR(5636.8682="",3195.71852="",5636.8682=0),"-",3195.71852/5636.8682*100)</f>
        <v>56.693156671642598</v>
      </c>
    </row>
    <row r="126" spans="1:4" x14ac:dyDescent="0.25">
      <c r="A126" s="27" t="s">
        <v>55</v>
      </c>
      <c r="B126" s="71">
        <v>2362.0970699999998</v>
      </c>
      <c r="C126" s="71">
        <v>3623.9843599999999</v>
      </c>
      <c r="D126" s="28">
        <f>IF(OR(2362.09707="",3623.98436="",2362.09707=0),"-",3623.98436/2362.09707*100)</f>
        <v>153.42232992990421</v>
      </c>
    </row>
    <row r="127" spans="1:4" x14ac:dyDescent="0.25">
      <c r="A127" s="27" t="s">
        <v>312</v>
      </c>
      <c r="B127" s="71">
        <v>-6103.7928000000002</v>
      </c>
      <c r="C127" s="71">
        <v>5024.4867899999999</v>
      </c>
      <c r="D127" s="28" t="s">
        <v>20</v>
      </c>
    </row>
    <row r="128" spans="1:4" x14ac:dyDescent="0.25">
      <c r="A128" s="27" t="s">
        <v>58</v>
      </c>
      <c r="B128" s="71">
        <v>9229.2224900000001</v>
      </c>
      <c r="C128" s="71">
        <v>12752.13992</v>
      </c>
      <c r="D128" s="28">
        <f>IF(OR(9229.22249="",12752.13992="",9229.22249=0),"-",12752.13992/9229.22249*100)</f>
        <v>138.17133495066494</v>
      </c>
    </row>
    <row r="129" spans="1:4" x14ac:dyDescent="0.25">
      <c r="A129" s="82" t="s">
        <v>311</v>
      </c>
      <c r="B129" s="29">
        <f>IF(1014.63015="","-",1014.63015)</f>
        <v>1014.63015</v>
      </c>
      <c r="C129" s="112">
        <v>30322.18518</v>
      </c>
      <c r="D129" s="29" t="s">
        <v>391</v>
      </c>
    </row>
    <row r="130" spans="1:4" x14ac:dyDescent="0.25">
      <c r="A130" s="48" t="s">
        <v>285</v>
      </c>
      <c r="B130" s="59"/>
      <c r="C130" s="59"/>
      <c r="D130" s="59"/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39"/>
  <sheetViews>
    <sheetView workbookViewId="0">
      <selection sqref="A1:E1"/>
    </sheetView>
  </sheetViews>
  <sheetFormatPr defaultRowHeight="15.75" x14ac:dyDescent="0.25"/>
  <cols>
    <col min="1" max="1" width="30.37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115" t="s">
        <v>294</v>
      </c>
      <c r="B1" s="115"/>
      <c r="C1" s="115"/>
      <c r="D1" s="115"/>
      <c r="E1" s="115"/>
    </row>
    <row r="2" spans="1:6" x14ac:dyDescent="0.25">
      <c r="A2" s="7"/>
      <c r="B2" s="7"/>
      <c r="C2" s="7"/>
      <c r="D2" s="7"/>
      <c r="E2" s="7"/>
    </row>
    <row r="3" spans="1:6" ht="18.75" customHeight="1" x14ac:dyDescent="0.25">
      <c r="A3" s="116"/>
      <c r="B3" s="119" t="s">
        <v>349</v>
      </c>
      <c r="C3" s="120"/>
      <c r="D3" s="119" t="s">
        <v>104</v>
      </c>
      <c r="E3" s="135"/>
      <c r="F3" s="1"/>
    </row>
    <row r="4" spans="1:6" ht="18.75" customHeight="1" x14ac:dyDescent="0.25">
      <c r="A4" s="117"/>
      <c r="B4" s="123" t="s">
        <v>115</v>
      </c>
      <c r="C4" s="125" t="s">
        <v>350</v>
      </c>
      <c r="D4" s="127" t="s">
        <v>351</v>
      </c>
      <c r="E4" s="119"/>
      <c r="F4" s="1"/>
    </row>
    <row r="5" spans="1:6" ht="23.25" customHeight="1" x14ac:dyDescent="0.25">
      <c r="A5" s="118"/>
      <c r="B5" s="124"/>
      <c r="C5" s="126"/>
      <c r="D5" s="63" t="s">
        <v>323</v>
      </c>
      <c r="E5" s="64" t="s">
        <v>324</v>
      </c>
      <c r="F5" s="1"/>
    </row>
    <row r="6" spans="1:6" ht="15.75" customHeight="1" x14ac:dyDescent="0.25">
      <c r="A6" s="40" t="s">
        <v>127</v>
      </c>
      <c r="B6" s="56">
        <v>1459101.16692</v>
      </c>
      <c r="C6" s="24" t="s">
        <v>100</v>
      </c>
      <c r="D6" s="57">
        <v>100</v>
      </c>
      <c r="E6" s="57">
        <v>100</v>
      </c>
    </row>
    <row r="7" spans="1:6" ht="15.75" customHeight="1" x14ac:dyDescent="0.25">
      <c r="A7" s="41" t="s">
        <v>120</v>
      </c>
      <c r="B7" s="94"/>
      <c r="C7" s="35"/>
      <c r="D7" s="52"/>
      <c r="E7" s="52"/>
    </row>
    <row r="8" spans="1:6" x14ac:dyDescent="0.25">
      <c r="A8" s="42" t="s">
        <v>106</v>
      </c>
      <c r="B8" s="28">
        <v>224544.30843</v>
      </c>
      <c r="C8" s="36" t="s">
        <v>329</v>
      </c>
      <c r="D8" s="28">
        <f>IF(44407.18244="","-",44407.18244/902994.52425*100)</f>
        <v>4.9177687402792678</v>
      </c>
      <c r="E8" s="28">
        <f>IF(224544.30843="","-",224544.30843/1459101.16692*100)</f>
        <v>15.389221359063679</v>
      </c>
    </row>
    <row r="9" spans="1:6" x14ac:dyDescent="0.25">
      <c r="A9" s="42" t="s">
        <v>107</v>
      </c>
      <c r="B9" s="28">
        <v>140455.98532000001</v>
      </c>
      <c r="C9" s="36" t="s">
        <v>392</v>
      </c>
      <c r="D9" s="28">
        <f>IF(7227.05565="","-",7227.05565/902994.52425*100)</f>
        <v>0.80034324194851281</v>
      </c>
      <c r="E9" s="28">
        <f>IF(140455.98532="","-",140455.98532/1459101.16692*100)</f>
        <v>9.6261992317151623</v>
      </c>
    </row>
    <row r="10" spans="1:6" x14ac:dyDescent="0.25">
      <c r="A10" s="42" t="s">
        <v>108</v>
      </c>
      <c r="B10" s="28">
        <v>1083121.93545</v>
      </c>
      <c r="C10" s="36">
        <v>128.86405702689135</v>
      </c>
      <c r="D10" s="28">
        <f>IF(840515.16027="","-",840515.16027/902994.52425*100)</f>
        <v>93.080870115807897</v>
      </c>
      <c r="E10" s="28">
        <f>IF(1083121.93545="","-",1083121.93545/1459101.16692*100)</f>
        <v>74.232134138878777</v>
      </c>
    </row>
    <row r="11" spans="1:6" x14ac:dyDescent="0.25">
      <c r="A11" s="42" t="s">
        <v>109</v>
      </c>
      <c r="B11" s="28">
        <v>10649.140020000001</v>
      </c>
      <c r="C11" s="36">
        <v>105.81811698126164</v>
      </c>
      <c r="D11" s="28">
        <f>IF(10063.62646="","-",10063.62646/902994.52425*100)</f>
        <v>1.1144725897821521</v>
      </c>
      <c r="E11" s="28">
        <f>IF(10649.14002="","-",10649.14002/1459101.16692*100)</f>
        <v>0.72984247161416149</v>
      </c>
    </row>
    <row r="12" spans="1:6" x14ac:dyDescent="0.25">
      <c r="A12" s="42" t="s">
        <v>110</v>
      </c>
      <c r="B12" s="28">
        <v>274.83058999999997</v>
      </c>
      <c r="C12" s="36">
        <v>38.795649159796426</v>
      </c>
      <c r="D12" s="28">
        <f>IF(708.4057="","-",708.4057/902994.52425*100)</f>
        <v>7.8450719353849951E-2</v>
      </c>
      <c r="E12" s="28">
        <f>IF(274.83059="","-",274.83059/1459101.16692*100)</f>
        <v>1.8835608950963745E-2</v>
      </c>
    </row>
    <row r="13" spans="1:6" x14ac:dyDescent="0.25">
      <c r="A13" s="42" t="s">
        <v>111</v>
      </c>
      <c r="B13" s="28">
        <v>2.2844500000000001</v>
      </c>
      <c r="C13" s="36">
        <v>123.45242019595022</v>
      </c>
      <c r="D13" s="28">
        <f>IF(1.85047="","-",1.85047/902994.52425*100)</f>
        <v>2.0492593812093649E-4</v>
      </c>
      <c r="E13" s="28">
        <f>IF(2.28445="","-",2.28445/1459101.16692*100)</f>
        <v>1.5656556596567046E-4</v>
      </c>
    </row>
    <row r="14" spans="1:6" x14ac:dyDescent="0.25">
      <c r="A14" s="42" t="s">
        <v>112</v>
      </c>
      <c r="B14" s="28">
        <v>52.682659999999998</v>
      </c>
      <c r="C14" s="36">
        <v>73.947570619311904</v>
      </c>
      <c r="D14" s="28">
        <f>IF(71.24326="","-",71.24326/902994.52425*100)</f>
        <v>7.8896668901921093E-3</v>
      </c>
      <c r="E14" s="28">
        <f>IF(52.68266="","-",52.68266/1459101.16692*100)</f>
        <v>3.6106242112880506E-3</v>
      </c>
    </row>
    <row r="15" spans="1:6" x14ac:dyDescent="0.25">
      <c r="A15" s="25" t="s">
        <v>200</v>
      </c>
      <c r="B15" s="26">
        <v>970861.26054000005</v>
      </c>
      <c r="C15" s="37" t="s">
        <v>99</v>
      </c>
      <c r="D15" s="26">
        <f>IF(581946.2617="","-",581946.2617/902994.52425*100)</f>
        <v>64.446266956418924</v>
      </c>
      <c r="E15" s="26">
        <f>IF(970861.26054="","-",970861.26054/1459101.16692*100)</f>
        <v>66.538310197460817</v>
      </c>
    </row>
    <row r="16" spans="1:6" x14ac:dyDescent="0.25">
      <c r="A16" s="41" t="s">
        <v>120</v>
      </c>
      <c r="B16" s="26"/>
      <c r="C16" s="37"/>
      <c r="D16" s="95"/>
      <c r="E16" s="95"/>
    </row>
    <row r="17" spans="1:10" x14ac:dyDescent="0.25">
      <c r="A17" s="42" t="s">
        <v>106</v>
      </c>
      <c r="B17" s="28">
        <v>197996.43977</v>
      </c>
      <c r="C17" s="38" t="s">
        <v>393</v>
      </c>
      <c r="D17" s="28">
        <f>IF(23591.67927="","-",23591.67927/902994.52425*100)</f>
        <v>2.6126049091598351</v>
      </c>
      <c r="E17" s="28">
        <f>IF(197996.43977="","-",197996.43977/1459101.16692*100)</f>
        <v>13.569754055364674</v>
      </c>
      <c r="J17" s="14"/>
    </row>
    <row r="18" spans="1:10" x14ac:dyDescent="0.25">
      <c r="A18" s="42" t="s">
        <v>107</v>
      </c>
      <c r="B18" s="28">
        <v>24030.89026</v>
      </c>
      <c r="C18" s="38" t="s">
        <v>394</v>
      </c>
      <c r="D18" s="28">
        <f>IF(2176.74815="","-",2176.74815/902994.52425*100)</f>
        <v>0.24105884272199118</v>
      </c>
      <c r="E18" s="28">
        <f>IF(24030.89026="","-",24030.89026/1459101.16692*100)</f>
        <v>1.6469653239142104</v>
      </c>
    </row>
    <row r="19" spans="1:10" x14ac:dyDescent="0.25">
      <c r="A19" s="42" t="s">
        <v>108</v>
      </c>
      <c r="B19" s="28">
        <v>747011.62341999996</v>
      </c>
      <c r="C19" s="38">
        <v>134.85321264830293</v>
      </c>
      <c r="D19" s="28">
        <f>IF(553944.25446="","-",553944.25446/902994.52425*100)</f>
        <v>61.345250672487673</v>
      </c>
      <c r="E19" s="28">
        <f>IF(747011.62342="","-",747011.62342/1459101.16692*100)</f>
        <v>51.196698375401773</v>
      </c>
    </row>
    <row r="20" spans="1:10" x14ac:dyDescent="0.25">
      <c r="A20" s="42" t="s">
        <v>109</v>
      </c>
      <c r="B20" s="28">
        <v>1658.4823699999999</v>
      </c>
      <c r="C20" s="38">
        <v>107.93513722404862</v>
      </c>
      <c r="D20" s="28">
        <f>IF(1536.55465="","-",1536.55465/902994.52425*100)</f>
        <v>0.17016212266361372</v>
      </c>
      <c r="E20" s="28">
        <f>IF(1658.48237="","-",1658.48237/1459101.16692*100)</f>
        <v>0.11366465928478911</v>
      </c>
    </row>
    <row r="21" spans="1:10" x14ac:dyDescent="0.25">
      <c r="A21" s="42" t="s">
        <v>110</v>
      </c>
      <c r="B21" s="28">
        <v>138.62066999999999</v>
      </c>
      <c r="C21" s="38">
        <v>20.972594132292311</v>
      </c>
      <c r="D21" s="28">
        <f>IF(660.96101="","-",660.96101/902994.52425*100)</f>
        <v>7.3196568999017386E-2</v>
      </c>
      <c r="E21" s="28">
        <f>IF(138.62067="","-",138.62067/1459101.16692*100)</f>
        <v>9.5004152654207513E-3</v>
      </c>
    </row>
    <row r="22" spans="1:10" x14ac:dyDescent="0.25">
      <c r="A22" s="31" t="s">
        <v>112</v>
      </c>
      <c r="B22" s="28">
        <v>25.204049999999999</v>
      </c>
      <c r="C22" s="38">
        <v>69.88669637667978</v>
      </c>
      <c r="D22" s="28">
        <f>IF(36.06416="","-",36.06416/902994.52425*100)</f>
        <v>3.9938403867901418E-3</v>
      </c>
      <c r="E22" s="28">
        <f>IF(25.20405="","-",25.20405/1459101.16692*100)</f>
        <v>1.7273682299358954E-3</v>
      </c>
    </row>
    <row r="23" spans="1:10" x14ac:dyDescent="0.25">
      <c r="A23" s="25" t="s">
        <v>201</v>
      </c>
      <c r="B23" s="26">
        <v>178509.52718</v>
      </c>
      <c r="C23" s="37">
        <v>123.73777679715683</v>
      </c>
      <c r="D23" s="26">
        <f>IF(144264.37245="","-",144264.37245/902994.52425*100)</f>
        <v>15.976217859108463</v>
      </c>
      <c r="E23" s="26">
        <f>IF(178509.52718="","-",178509.52718/1459101.16692*100)</f>
        <v>12.234211802928904</v>
      </c>
    </row>
    <row r="24" spans="1:10" x14ac:dyDescent="0.25">
      <c r="A24" s="41" t="s">
        <v>120</v>
      </c>
      <c r="B24" s="26"/>
      <c r="C24" s="37"/>
      <c r="D24" s="95"/>
      <c r="E24" s="95"/>
    </row>
    <row r="25" spans="1:10" x14ac:dyDescent="0.25">
      <c r="A25" s="42" t="s">
        <v>106</v>
      </c>
      <c r="B25" s="28">
        <v>82.096980000000002</v>
      </c>
      <c r="C25" s="38">
        <v>0.79935114835495324</v>
      </c>
      <c r="D25" s="28">
        <f>IF(10270.4525="","-",10270.4525/902994.52425*100)</f>
        <v>1.1373770520403019</v>
      </c>
      <c r="E25" s="28">
        <f>IF(82.09698="","-",82.09698/1459101.16692*100)</f>
        <v>5.6265447428362749E-3</v>
      </c>
    </row>
    <row r="26" spans="1:10" x14ac:dyDescent="0.25">
      <c r="A26" s="42" t="s">
        <v>107</v>
      </c>
      <c r="B26" s="28">
        <v>28213.261279999999</v>
      </c>
      <c r="C26" s="38" t="s">
        <v>395</v>
      </c>
      <c r="D26" s="28">
        <f>IF(1364.53665="","-",1364.53665/902994.52425*100)</f>
        <v>0.15111239474384885</v>
      </c>
      <c r="E26" s="28">
        <f>IF(28213.26128="","-",28213.26128/1459101.16692*100)</f>
        <v>1.9336055593427457</v>
      </c>
      <c r="F26" s="1"/>
    </row>
    <row r="27" spans="1:10" x14ac:dyDescent="0.25">
      <c r="A27" s="42" t="s">
        <v>108</v>
      </c>
      <c r="B27" s="28">
        <v>147537.87356000001</v>
      </c>
      <c r="C27" s="38">
        <v>114.45995500231774</v>
      </c>
      <c r="D27" s="28">
        <f>IF(128899.11896="","-",128899.11896/902994.52425*100)</f>
        <v>14.274629081174078</v>
      </c>
      <c r="E27" s="28">
        <f>IF(147537.87356="","-",147537.87356/1459101.16692*100)</f>
        <v>10.111558876444189</v>
      </c>
      <c r="F27" s="8"/>
    </row>
    <row r="28" spans="1:10" x14ac:dyDescent="0.25">
      <c r="A28" s="42" t="s">
        <v>109</v>
      </c>
      <c r="B28" s="28">
        <v>2602.2232899999999</v>
      </c>
      <c r="C28" s="38">
        <v>70.694751272217033</v>
      </c>
      <c r="D28" s="28">
        <f>IF(3680.92856="","-",3680.92856/902994.52425*100)</f>
        <v>0.40763575649113359</v>
      </c>
      <c r="E28" s="28">
        <f>IF(2602.22329="","-",2602.22329/1459101.16692*100)</f>
        <v>0.17834426762148395</v>
      </c>
    </row>
    <row r="29" spans="1:10" x14ac:dyDescent="0.25">
      <c r="A29" s="42" t="s">
        <v>110</v>
      </c>
      <c r="B29" s="28">
        <v>44.309010000000001</v>
      </c>
      <c r="C29" s="38" t="s">
        <v>396</v>
      </c>
      <c r="D29" s="28">
        <f>IF(12.30621="","-",12.30621/902994.52425*100)</f>
        <v>1.3628222175789124E-3</v>
      </c>
      <c r="E29" s="28">
        <f>IF(44.30901="","-",44.30901/1459101.16692*100)</f>
        <v>3.0367332303305183E-3</v>
      </c>
    </row>
    <row r="30" spans="1:10" x14ac:dyDescent="0.25">
      <c r="A30" s="42" t="s">
        <v>111</v>
      </c>
      <c r="B30" s="28">
        <v>2.2844500000000001</v>
      </c>
      <c r="C30" s="38">
        <v>123.45242019595022</v>
      </c>
      <c r="D30" s="28">
        <f>IF(1.85047="","-",1.85047/902994.52425*100)</f>
        <v>2.0492593812093649E-4</v>
      </c>
      <c r="E30" s="28">
        <f>IF(2.28445="","-",2.28445/1459101.16692*100)</f>
        <v>1.5656556596567046E-4</v>
      </c>
    </row>
    <row r="31" spans="1:10" x14ac:dyDescent="0.25">
      <c r="A31" s="42" t="s">
        <v>112</v>
      </c>
      <c r="B31" s="28">
        <v>27.47861</v>
      </c>
      <c r="C31" s="38">
        <v>78.110611129903845</v>
      </c>
      <c r="D31" s="28">
        <f>IF(35.1791="","-",35.1791/902994.52425*100)</f>
        <v>3.8958265034019662E-3</v>
      </c>
      <c r="E31" s="28">
        <f>IF(27.47861="","-",27.47861/1459101.16692*100)</f>
        <v>1.8832559813521557E-3</v>
      </c>
    </row>
    <row r="32" spans="1:10" x14ac:dyDescent="0.25">
      <c r="A32" s="25" t="s">
        <v>297</v>
      </c>
      <c r="B32" s="26">
        <v>309730.37920000002</v>
      </c>
      <c r="C32" s="37">
        <v>175.20283043030517</v>
      </c>
      <c r="D32" s="26">
        <f>IF(176783.8901="","-",176783.8901/902994.52425*100)</f>
        <v>19.577515184472613</v>
      </c>
      <c r="E32" s="26">
        <f>IF(309730.3792="","-",309730.3792/1459101.16692*100)</f>
        <v>21.227477999610294</v>
      </c>
    </row>
    <row r="33" spans="1:5" x14ac:dyDescent="0.25">
      <c r="A33" s="41" t="s">
        <v>120</v>
      </c>
      <c r="B33" s="26"/>
      <c r="C33" s="37"/>
      <c r="D33" s="95"/>
      <c r="E33" s="95"/>
    </row>
    <row r="34" spans="1:5" x14ac:dyDescent="0.25">
      <c r="A34" s="42" t="s">
        <v>106</v>
      </c>
      <c r="B34" s="28">
        <v>26465.771680000002</v>
      </c>
      <c r="C34" s="38" t="s">
        <v>204</v>
      </c>
      <c r="D34" s="28">
        <f>IF(10545.05067="","-",10545.05067/902994.52425*100)</f>
        <v>1.1677867790791312</v>
      </c>
      <c r="E34" s="28">
        <f>IF(26465.77168="","-",26465.77168/1459101.16692*100)</f>
        <v>1.8138407589561658</v>
      </c>
    </row>
    <row r="35" spans="1:5" x14ac:dyDescent="0.25">
      <c r="A35" s="42" t="s">
        <v>107</v>
      </c>
      <c r="B35" s="28">
        <v>88211.833780000001</v>
      </c>
      <c r="C35" s="38" t="s">
        <v>397</v>
      </c>
      <c r="D35" s="28">
        <f>IF(3685.77085="","-",3685.77085/902994.52425*100)</f>
        <v>0.40817200448267277</v>
      </c>
      <c r="E35" s="28">
        <f>IF(88211.83378="","-",88211.83378/1459101.16692*100)</f>
        <v>6.0456283484582052</v>
      </c>
    </row>
    <row r="36" spans="1:5" x14ac:dyDescent="0.25">
      <c r="A36" s="42" t="s">
        <v>108</v>
      </c>
      <c r="B36" s="28">
        <v>188572.43846999999</v>
      </c>
      <c r="C36" s="38">
        <v>119.59808551506879</v>
      </c>
      <c r="D36" s="28">
        <f>IF(157671.78685="","-",157671.78685/902994.52425*100)</f>
        <v>17.460990362146152</v>
      </c>
      <c r="E36" s="28">
        <f>IF(188572.43847="","-",188572.43847/1459101.16692*100)</f>
        <v>12.923876887032817</v>
      </c>
    </row>
    <row r="37" spans="1:5" x14ac:dyDescent="0.25">
      <c r="A37" s="42" t="s">
        <v>109</v>
      </c>
      <c r="B37" s="34">
        <v>6388.4343600000002</v>
      </c>
      <c r="C37" s="39">
        <v>131.82512423668038</v>
      </c>
      <c r="D37" s="28">
        <f>IF(4846.14325="","-",4846.14325/902994.52425*100)</f>
        <v>0.53667471062740502</v>
      </c>
      <c r="E37" s="28">
        <f>IF(6388.43436="","-",6388.43436/1459101.16692*100)</f>
        <v>0.43783354470788849</v>
      </c>
    </row>
    <row r="38" spans="1:5" x14ac:dyDescent="0.25">
      <c r="A38" s="43" t="s">
        <v>110</v>
      </c>
      <c r="B38" s="29">
        <v>91.900909999999996</v>
      </c>
      <c r="C38" s="45" t="s">
        <v>279</v>
      </c>
      <c r="D38" s="29">
        <f>IF(35.13848="","-",35.13848/902994.52425*100)</f>
        <v>3.8913281372536515E-3</v>
      </c>
      <c r="E38" s="29">
        <f>IF(91.90091="","-",91.90091/1459101.16692*100)</f>
        <v>6.2984604552124767E-3</v>
      </c>
    </row>
    <row r="39" spans="1:5" x14ac:dyDescent="0.25">
      <c r="A39" s="50" t="s">
        <v>19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41"/>
  <sheetViews>
    <sheetView workbookViewId="0">
      <selection sqref="A1:E1"/>
    </sheetView>
  </sheetViews>
  <sheetFormatPr defaultRowHeight="15.75" x14ac:dyDescent="0.25"/>
  <cols>
    <col min="1" max="1" width="31.625" customWidth="1"/>
    <col min="2" max="3" width="14" customWidth="1"/>
    <col min="4" max="4" width="11.375" customWidth="1"/>
    <col min="5" max="5" width="11.125" customWidth="1"/>
  </cols>
  <sheetData>
    <row r="1" spans="1:5" x14ac:dyDescent="0.25">
      <c r="A1" s="115" t="s">
        <v>293</v>
      </c>
      <c r="B1" s="115"/>
      <c r="C1" s="115"/>
      <c r="D1" s="115"/>
      <c r="E1" s="115"/>
    </row>
    <row r="2" spans="1:5" x14ac:dyDescent="0.25">
      <c r="A2" s="7"/>
      <c r="B2" s="7"/>
      <c r="C2" s="7"/>
      <c r="D2" s="7"/>
      <c r="E2" s="7"/>
    </row>
    <row r="3" spans="1:5" ht="18.75" customHeight="1" x14ac:dyDescent="0.25">
      <c r="A3" s="116"/>
      <c r="B3" s="119" t="s">
        <v>349</v>
      </c>
      <c r="C3" s="120"/>
      <c r="D3" s="119" t="s">
        <v>104</v>
      </c>
      <c r="E3" s="135"/>
    </row>
    <row r="4" spans="1:5" ht="18.75" customHeight="1" x14ac:dyDescent="0.25">
      <c r="A4" s="117"/>
      <c r="B4" s="123" t="s">
        <v>115</v>
      </c>
      <c r="C4" s="125" t="s">
        <v>350</v>
      </c>
      <c r="D4" s="127" t="s">
        <v>351</v>
      </c>
      <c r="E4" s="119"/>
    </row>
    <row r="5" spans="1:5" ht="23.25" customHeight="1" x14ac:dyDescent="0.25">
      <c r="A5" s="118"/>
      <c r="B5" s="124"/>
      <c r="C5" s="126"/>
      <c r="D5" s="63" t="s">
        <v>323</v>
      </c>
      <c r="E5" s="64" t="s">
        <v>324</v>
      </c>
    </row>
    <row r="6" spans="1:5" ht="15.75" customHeight="1" x14ac:dyDescent="0.25">
      <c r="A6" s="96" t="s">
        <v>121</v>
      </c>
      <c r="B6" s="97">
        <v>2808409.1288700001</v>
      </c>
      <c r="C6" s="98">
        <v>132.90669765971094</v>
      </c>
      <c r="D6" s="58">
        <v>100</v>
      </c>
      <c r="E6" s="58">
        <v>100</v>
      </c>
    </row>
    <row r="7" spans="1:5" ht="15.75" customHeight="1" x14ac:dyDescent="0.25">
      <c r="A7" s="99" t="s">
        <v>120</v>
      </c>
      <c r="B7" s="15"/>
      <c r="C7" s="54"/>
      <c r="D7" s="15"/>
      <c r="E7" s="15"/>
    </row>
    <row r="8" spans="1:5" x14ac:dyDescent="0.25">
      <c r="A8" s="100" t="s">
        <v>106</v>
      </c>
      <c r="B8" s="34">
        <v>146157.05647000001</v>
      </c>
      <c r="C8" s="39" t="s">
        <v>319</v>
      </c>
      <c r="D8" s="34">
        <f>IF(35519.29716="","-",35519.29716/2113068.17363*100)</f>
        <v>1.680934747078324</v>
      </c>
      <c r="E8" s="34">
        <f>IF(146157.05647="","-",146157.05647/2808409.12887*100)</f>
        <v>5.2042651110740472</v>
      </c>
    </row>
    <row r="9" spans="1:5" x14ac:dyDescent="0.25">
      <c r="A9" s="100" t="s">
        <v>107</v>
      </c>
      <c r="B9" s="34">
        <v>123481.68661999999</v>
      </c>
      <c r="C9" s="39">
        <v>132.1305527636423</v>
      </c>
      <c r="D9" s="34">
        <f>IF(93454.30261="","-",93454.30261/2113068.17363*100)</f>
        <v>4.4226827972831853</v>
      </c>
      <c r="E9" s="34">
        <f>IF(123481.68662="","-",123481.68662/2808409.12887*100)</f>
        <v>4.3968553353080875</v>
      </c>
    </row>
    <row r="10" spans="1:5" x14ac:dyDescent="0.25">
      <c r="A10" s="100" t="s">
        <v>108</v>
      </c>
      <c r="B10" s="34">
        <v>2121691.60629</v>
      </c>
      <c r="C10" s="39">
        <v>116.11377522785065</v>
      </c>
      <c r="D10" s="34">
        <f>IF(1827252.2809="","-",1827252.2809/2113068.17363*100)</f>
        <v>86.47389155272721</v>
      </c>
      <c r="E10" s="34">
        <f>IF(2121691.60629="","-",2121691.60629/2808409.12887*100)</f>
        <v>75.547810483855329</v>
      </c>
    </row>
    <row r="11" spans="1:5" x14ac:dyDescent="0.25">
      <c r="A11" s="100" t="s">
        <v>109</v>
      </c>
      <c r="B11" s="34">
        <v>42665.595459999997</v>
      </c>
      <c r="C11" s="39">
        <v>81.184861478413353</v>
      </c>
      <c r="D11" s="34">
        <f>IF(52553.63461="","-",52553.63461/2113068.17363*100)</f>
        <v>2.4870770979300256</v>
      </c>
      <c r="E11" s="34">
        <f>IF(42665.59546="","-",42665.59546/2808409.12887*100)</f>
        <v>1.5192086872743877</v>
      </c>
    </row>
    <row r="12" spans="1:5" x14ac:dyDescent="0.25">
      <c r="A12" s="100" t="s">
        <v>110</v>
      </c>
      <c r="B12" s="34">
        <v>3469.33293</v>
      </c>
      <c r="C12" s="39">
        <v>88.849240821136931</v>
      </c>
      <c r="D12" s="34">
        <f>IF(3904.74122="","-",3904.74122/2113068.17363*100)</f>
        <v>0.18479012029659783</v>
      </c>
      <c r="E12" s="34">
        <f>IF(3469.33293="","-",3469.33293/2808409.12887*100)</f>
        <v>0.12353374351107922</v>
      </c>
    </row>
    <row r="13" spans="1:5" x14ac:dyDescent="0.25">
      <c r="A13" s="100" t="s">
        <v>111</v>
      </c>
      <c r="B13" s="34">
        <v>358545.82241999998</v>
      </c>
      <c r="C13" s="39" t="s">
        <v>322</v>
      </c>
      <c r="D13" s="34">
        <f>IF(88715.19304="","-",88715.19304/2113068.17363*100)</f>
        <v>4.1984065704608966</v>
      </c>
      <c r="E13" s="34">
        <f>IF(358545.82242="","-",358545.82242/2808409.12887*100)</f>
        <v>12.766865722454959</v>
      </c>
    </row>
    <row r="14" spans="1:5" x14ac:dyDescent="0.25">
      <c r="A14" s="100" t="s">
        <v>112</v>
      </c>
      <c r="B14" s="34">
        <v>12398.028679999999</v>
      </c>
      <c r="C14" s="39">
        <v>106.25007999482143</v>
      </c>
      <c r="D14" s="34">
        <f>IF(11668.72409="","-",11668.72409/2113068.17363*100)</f>
        <v>0.55221711422374586</v>
      </c>
      <c r="E14" s="34">
        <f>IF(12398.02868="","-",12398.02868/2808409.12887*100)</f>
        <v>0.44146091652210617</v>
      </c>
    </row>
    <row r="15" spans="1:5" x14ac:dyDescent="0.25">
      <c r="A15" s="101" t="s">
        <v>200</v>
      </c>
      <c r="B15" s="72">
        <v>1241806.3680400001</v>
      </c>
      <c r="C15" s="54">
        <v>123.57831515063276</v>
      </c>
      <c r="D15" s="44">
        <f>IF(1004874.0884="","-",1004874.0884/2113068.17363*100)</f>
        <v>47.555213832677516</v>
      </c>
      <c r="E15" s="44">
        <f>IF(1241806.36804="","-",1241806.36804/2808409.12887*100)</f>
        <v>44.217430974512503</v>
      </c>
    </row>
    <row r="16" spans="1:5" x14ac:dyDescent="0.25">
      <c r="A16" s="99" t="s">
        <v>120</v>
      </c>
      <c r="B16" s="102"/>
      <c r="C16" s="54"/>
      <c r="D16" s="102"/>
      <c r="E16" s="102"/>
    </row>
    <row r="17" spans="1:6" x14ac:dyDescent="0.25">
      <c r="A17" s="100" t="s">
        <v>106</v>
      </c>
      <c r="B17" s="34">
        <v>32054.34042</v>
      </c>
      <c r="C17" s="39" t="s">
        <v>18</v>
      </c>
      <c r="D17" s="34">
        <f>IF(16200.03186="","-",16200.03186/2113068.17363*100)</f>
        <v>0.76665921441475637</v>
      </c>
      <c r="E17" s="34">
        <f>IF(32054.34042="","-",32054.34042/2808409.12887*100)</f>
        <v>1.1413700407994858</v>
      </c>
    </row>
    <row r="18" spans="1:6" x14ac:dyDescent="0.25">
      <c r="A18" s="100" t="s">
        <v>107</v>
      </c>
      <c r="B18" s="34">
        <v>49586.951029999997</v>
      </c>
      <c r="C18" s="39" t="s">
        <v>198</v>
      </c>
      <c r="D18" s="34">
        <f>IF(27395.08646="","-",27395.08646/2113068.17363*100)</f>
        <v>1.2964601332733385</v>
      </c>
      <c r="E18" s="34">
        <f>IF(49586.95103="","-",49586.95103/2808409.12887*100)</f>
        <v>1.7656598007837965</v>
      </c>
    </row>
    <row r="19" spans="1:6" x14ac:dyDescent="0.25">
      <c r="A19" s="100" t="s">
        <v>108</v>
      </c>
      <c r="B19" s="34">
        <v>1138989.9613300001</v>
      </c>
      <c r="C19" s="39">
        <v>121.26089485100357</v>
      </c>
      <c r="D19" s="34">
        <f>IF(939288.84701="","-",939288.84701/2113068.17363*100)</f>
        <v>44.451421810798152</v>
      </c>
      <c r="E19" s="34">
        <f>IF(1138990.06112="","-",1138990.06112/2808409.12887*100)</f>
        <v>40.556414997065879</v>
      </c>
    </row>
    <row r="20" spans="1:6" x14ac:dyDescent="0.25">
      <c r="A20" s="100" t="s">
        <v>109</v>
      </c>
      <c r="B20" s="34">
        <v>8130.5460599999997</v>
      </c>
      <c r="C20" s="39">
        <v>78.766274340766117</v>
      </c>
      <c r="D20" s="34">
        <f>IF(10322.36973="","-",10322.36973/2113068.17363*100)</f>
        <v>0.4885015002742385</v>
      </c>
      <c r="E20" s="34">
        <f>IF(8130.54606="","-",8130.54606/2808409.12887*100)</f>
        <v>0.28950717957790678</v>
      </c>
    </row>
    <row r="21" spans="1:6" x14ac:dyDescent="0.25">
      <c r="A21" s="100" t="s">
        <v>110</v>
      </c>
      <c r="B21" s="34">
        <v>2397.7224900000001</v>
      </c>
      <c r="C21" s="39">
        <v>128.52713763116645</v>
      </c>
      <c r="D21" s="34">
        <f>IF(1865.53792="","-",1865.53792/2113068.17363*100)</f>
        <v>8.8285742186690899E-2</v>
      </c>
      <c r="E21" s="34">
        <f>IF(2397.72249="","-",2397.72249/2808409.12887*100)</f>
        <v>8.537653810307741E-2</v>
      </c>
    </row>
    <row r="22" spans="1:6" x14ac:dyDescent="0.25">
      <c r="A22" s="100" t="s">
        <v>112</v>
      </c>
      <c r="B22" s="34">
        <v>10646.84671</v>
      </c>
      <c r="C22" s="39">
        <v>108.61673870456521</v>
      </c>
      <c r="D22" s="34">
        <f>IF(9802.21542="","-",9802.21542/2113068.17363*100)</f>
        <v>0.46388543173034302</v>
      </c>
      <c r="E22" s="34">
        <f>IF(10646.84671="","-",10646.84671/2808409.12887*100)</f>
        <v>0.37910597143956365</v>
      </c>
    </row>
    <row r="23" spans="1:6" x14ac:dyDescent="0.25">
      <c r="A23" s="101" t="s">
        <v>201</v>
      </c>
      <c r="B23" s="72">
        <v>835705.49745999998</v>
      </c>
      <c r="C23" s="103" t="s">
        <v>99</v>
      </c>
      <c r="D23" s="44">
        <f>IF(490527.20939="","-",490527.20939/2113068.17363*100)</f>
        <v>23.213979345840627</v>
      </c>
      <c r="E23" s="44">
        <f>IF(835705.49746="","-",835705.49746/2808409.12887*100)</f>
        <v>29.757256123015701</v>
      </c>
    </row>
    <row r="24" spans="1:6" x14ac:dyDescent="0.25">
      <c r="A24" s="100" t="s">
        <v>120</v>
      </c>
      <c r="B24" s="102"/>
      <c r="C24" s="102"/>
      <c r="D24" s="102"/>
      <c r="E24" s="102"/>
    </row>
    <row r="25" spans="1:6" x14ac:dyDescent="0.25">
      <c r="A25" s="100" t="s">
        <v>106</v>
      </c>
      <c r="B25" s="34">
        <v>70666.566430000006</v>
      </c>
      <c r="C25" s="102" t="s">
        <v>364</v>
      </c>
      <c r="D25" s="34">
        <f>IF(18760.39615="","-",18760.39615/2113068.17363*100)</f>
        <v>0.88782730174634494</v>
      </c>
      <c r="E25" s="34">
        <f>IF(70666.56643="","-",70666.56643/2808409.12887*100)</f>
        <v>2.516248993195433</v>
      </c>
    </row>
    <row r="26" spans="1:6" x14ac:dyDescent="0.25">
      <c r="A26" s="100" t="s">
        <v>107</v>
      </c>
      <c r="B26" s="34">
        <v>73823.615139999994</v>
      </c>
      <c r="C26" s="102">
        <v>111.75369530932588</v>
      </c>
      <c r="D26" s="34">
        <f>IF(66059.21615="","-",66059.21615/2113068.17363*100)</f>
        <v>3.1262226640098465</v>
      </c>
      <c r="E26" s="34">
        <f>IF(73823.61514="","-",73823.61514/2808409.12887*100)</f>
        <v>2.6286631239410578</v>
      </c>
      <c r="F26" s="1"/>
    </row>
    <row r="27" spans="1:6" x14ac:dyDescent="0.25">
      <c r="A27" s="100" t="s">
        <v>108</v>
      </c>
      <c r="B27" s="34">
        <v>328031.49486999999</v>
      </c>
      <c r="C27" s="102">
        <v>106.91605314102853</v>
      </c>
      <c r="D27" s="34">
        <f>IF(306812.20007="","-",306812.20007/2113068.17363*100)</f>
        <v>14.519749239464105</v>
      </c>
      <c r="E27" s="34">
        <f>IF(328031.49487="","-",328031.49487/2808409.12887*100)</f>
        <v>11.68033145519605</v>
      </c>
      <c r="F27" s="1"/>
    </row>
    <row r="28" spans="1:6" x14ac:dyDescent="0.25">
      <c r="A28" s="100" t="s">
        <v>109</v>
      </c>
      <c r="B28" s="34">
        <v>4170.8522999999996</v>
      </c>
      <c r="C28" s="102">
        <v>43.761509587539891</v>
      </c>
      <c r="D28" s="34">
        <f>IF(9530.86934="","-",9530.86934/2113068.17363*100)</f>
        <v>0.45104410065611356</v>
      </c>
      <c r="E28" s="34">
        <f>IF(4170.8523="","-",4170.8523/2808409.12887*100)</f>
        <v>0.14851298755314174</v>
      </c>
      <c r="F28" s="8"/>
    </row>
    <row r="29" spans="1:6" x14ac:dyDescent="0.25">
      <c r="A29" s="100" t="s">
        <v>110</v>
      </c>
      <c r="B29" s="34">
        <v>32.275260000000003</v>
      </c>
      <c r="C29" s="102">
        <v>24.455780856752412</v>
      </c>
      <c r="D29" s="34">
        <f>IF(131.97395="","-",131.97395/2113068.17363*100)</f>
        <v>6.245607768219065E-3</v>
      </c>
      <c r="E29" s="34">
        <f>IF(32.27526="","-",32.27526/2808409.12887*100)</f>
        <v>1.14923640107189E-3</v>
      </c>
    </row>
    <row r="30" spans="1:6" x14ac:dyDescent="0.25">
      <c r="A30" s="100" t="s">
        <v>111</v>
      </c>
      <c r="B30" s="34">
        <v>358545.82241999998</v>
      </c>
      <c r="C30" s="102" t="s">
        <v>322</v>
      </c>
      <c r="D30" s="34">
        <f>IF(88715.19304="","-",88715.19304/2113068.17363*100)</f>
        <v>4.1984065704608966</v>
      </c>
      <c r="E30" s="34">
        <f>IF(358545.82242="","-",358545.82242/2808409.12887*100)</f>
        <v>12.766865722454959</v>
      </c>
    </row>
    <row r="31" spans="1:6" x14ac:dyDescent="0.25">
      <c r="A31" s="100" t="s">
        <v>112</v>
      </c>
      <c r="B31" s="34">
        <v>434.87103999999999</v>
      </c>
      <c r="C31" s="53">
        <v>84.055678834045167</v>
      </c>
      <c r="D31" s="34">
        <f>IF(517.36069="","-",517.36069/2113068.17363*100)</f>
        <v>2.4483861735101323E-2</v>
      </c>
      <c r="E31" s="34">
        <f>IF(434.87104="","-",434.87104/2808409.12887*100)</f>
        <v>1.5484604273985394E-2</v>
      </c>
    </row>
    <row r="32" spans="1:6" x14ac:dyDescent="0.25">
      <c r="A32" s="101" t="s">
        <v>202</v>
      </c>
      <c r="B32" s="72">
        <v>730897.26336999994</v>
      </c>
      <c r="C32" s="54">
        <v>118.33193460245246</v>
      </c>
      <c r="D32" s="44">
        <f>IF(617666.87584="","-",617666.87584/2113068.17363*100)</f>
        <v>29.230806821481849</v>
      </c>
      <c r="E32" s="44">
        <f>IF(730897.26337="","-",730897.26337/2808409.12887*100)</f>
        <v>26.025312902471796</v>
      </c>
    </row>
    <row r="33" spans="1:5" x14ac:dyDescent="0.25">
      <c r="A33" s="100" t="s">
        <v>120</v>
      </c>
      <c r="B33" s="102"/>
      <c r="C33" s="54"/>
      <c r="D33" s="102"/>
      <c r="E33" s="102"/>
    </row>
    <row r="34" spans="1:5" x14ac:dyDescent="0.25">
      <c r="A34" s="100" t="s">
        <v>106</v>
      </c>
      <c r="B34" s="34">
        <v>43436.149619999997</v>
      </c>
      <c r="C34" s="39" t="s">
        <v>398</v>
      </c>
      <c r="D34" s="34">
        <f>IF(558.86915="","-",558.86915/2113068.17363*100)</f>
        <v>2.6448230917222572E-2</v>
      </c>
      <c r="E34" s="34">
        <f>IF(43436.14962="","-",43436.14962/2808409.12887*100)</f>
        <v>1.546646077079129</v>
      </c>
    </row>
    <row r="35" spans="1:5" x14ac:dyDescent="0.25">
      <c r="A35" s="100" t="s">
        <v>107</v>
      </c>
      <c r="B35" s="34">
        <v>71.120450000000005</v>
      </c>
      <c r="C35" s="39" t="s">
        <v>286</v>
      </c>
      <c r="D35" s="102" t="s">
        <v>286</v>
      </c>
      <c r="E35" s="34">
        <f>IF(71.12045="","-",71.12045/2808409.12887*100)</f>
        <v>2.5324105832335133E-3</v>
      </c>
    </row>
    <row r="36" spans="1:5" x14ac:dyDescent="0.25">
      <c r="A36" s="100" t="s">
        <v>108</v>
      </c>
      <c r="B36" s="34">
        <v>654670.15009000001</v>
      </c>
      <c r="C36" s="39">
        <v>112.65054811924757</v>
      </c>
      <c r="D36" s="34">
        <f>IF(581151.23382="","-",581151.23382/2113068.17363*100)</f>
        <v>27.50272050246496</v>
      </c>
      <c r="E36" s="34">
        <f>IF(654670.0503="","-",654670.0503/2808409.12887*100)</f>
        <v>23.311064031593396</v>
      </c>
    </row>
    <row r="37" spans="1:5" x14ac:dyDescent="0.25">
      <c r="A37" s="100" t="s">
        <v>109</v>
      </c>
      <c r="B37" s="34">
        <v>30364.197100000001</v>
      </c>
      <c r="C37" s="39">
        <v>92.855748680035688</v>
      </c>
      <c r="D37" s="34">
        <f>IF(32700.39554="","-",32700.39554/2113068.17363*100)</f>
        <v>1.5475314969996736</v>
      </c>
      <c r="E37" s="34">
        <f>IF(30364.1971="","-",30364.1971/2808409.12887*100)</f>
        <v>1.0811885201433393</v>
      </c>
    </row>
    <row r="38" spans="1:5" x14ac:dyDescent="0.25">
      <c r="A38" s="100" t="s">
        <v>110</v>
      </c>
      <c r="B38" s="34">
        <v>1039.33518</v>
      </c>
      <c r="C38" s="39">
        <v>54.494504292312826</v>
      </c>
      <c r="D38" s="34">
        <f>IF(1907.22935="","-",1907.22935/2113068.17363*100)</f>
        <v>9.0258770341687874E-2</v>
      </c>
      <c r="E38" s="34">
        <f>IF(1039.33518="","-",1039.33518/2808409.12887*100)</f>
        <v>3.7007969006929917E-2</v>
      </c>
    </row>
    <row r="39" spans="1:5" x14ac:dyDescent="0.25">
      <c r="A39" s="104" t="s">
        <v>112</v>
      </c>
      <c r="B39" s="29">
        <v>1316.3109300000001</v>
      </c>
      <c r="C39" s="45">
        <v>97.566089822111294</v>
      </c>
      <c r="D39" s="29">
        <f>IF(1349.14798="","-",1349.14798/2113068.17363*100)</f>
        <v>6.3847820758301616E-2</v>
      </c>
      <c r="E39" s="29">
        <f>IF(1316.31093="","-",1316.31093/2808409.12887*100)</f>
        <v>4.6870340808557155E-2</v>
      </c>
    </row>
    <row r="40" spans="1:5" x14ac:dyDescent="0.25">
      <c r="A40" s="50" t="s">
        <v>19</v>
      </c>
    </row>
    <row r="41" spans="1:5" x14ac:dyDescent="0.25">
      <c r="B41" s="1"/>
      <c r="C41" s="1"/>
      <c r="D41" s="1"/>
      <c r="E41" s="1"/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83"/>
  <sheetViews>
    <sheetView zoomScaleNormal="100" workbookViewId="0">
      <selection activeCell="B1" sqref="B1:H1"/>
    </sheetView>
  </sheetViews>
  <sheetFormatPr defaultRowHeight="15.75" x14ac:dyDescent="0.25"/>
  <cols>
    <col min="1" max="1" width="4.875" customWidth="1"/>
    <col min="2" max="2" width="26.125" customWidth="1"/>
    <col min="3" max="3" width="11.75" customWidth="1"/>
    <col min="4" max="4" width="10.25" customWidth="1"/>
    <col min="5" max="5" width="7.625" customWidth="1"/>
    <col min="6" max="6" width="7.875" customWidth="1"/>
    <col min="7" max="7" width="9.125" customWidth="1"/>
    <col min="8" max="8" width="9.375" customWidth="1"/>
    <col min="10" max="10" width="9.125" customWidth="1"/>
  </cols>
  <sheetData>
    <row r="1" spans="1:11" x14ac:dyDescent="0.25">
      <c r="B1" s="128" t="s">
        <v>128</v>
      </c>
      <c r="C1" s="128"/>
      <c r="D1" s="128"/>
      <c r="E1" s="128"/>
      <c r="F1" s="128"/>
      <c r="G1" s="128"/>
      <c r="H1" s="128"/>
    </row>
    <row r="2" spans="1:11" x14ac:dyDescent="0.25">
      <c r="B2" s="128" t="s">
        <v>284</v>
      </c>
      <c r="C2" s="128"/>
      <c r="D2" s="128"/>
      <c r="E2" s="128"/>
      <c r="F2" s="128"/>
      <c r="G2" s="128"/>
      <c r="H2" s="128"/>
    </row>
    <row r="3" spans="1:11" x14ac:dyDescent="0.25">
      <c r="B3" s="6"/>
    </row>
    <row r="4" spans="1:11" ht="57" customHeight="1" x14ac:dyDescent="0.25">
      <c r="A4" s="136" t="s">
        <v>209</v>
      </c>
      <c r="B4" s="139"/>
      <c r="C4" s="142" t="s">
        <v>349</v>
      </c>
      <c r="D4" s="134"/>
      <c r="E4" s="142" t="s">
        <v>0</v>
      </c>
      <c r="F4" s="134"/>
      <c r="G4" s="131" t="s">
        <v>102</v>
      </c>
      <c r="H4" s="143"/>
    </row>
    <row r="5" spans="1:11" ht="19.5" customHeight="1" x14ac:dyDescent="0.25">
      <c r="A5" s="137"/>
      <c r="B5" s="140"/>
      <c r="C5" s="144" t="s">
        <v>105</v>
      </c>
      <c r="D5" s="129" t="s">
        <v>350</v>
      </c>
      <c r="E5" s="146" t="s">
        <v>351</v>
      </c>
      <c r="F5" s="146"/>
      <c r="G5" s="146" t="s">
        <v>400</v>
      </c>
      <c r="H5" s="142"/>
    </row>
    <row r="6" spans="1:11" ht="33" customHeight="1" x14ac:dyDescent="0.25">
      <c r="A6" s="138"/>
      <c r="B6" s="141"/>
      <c r="C6" s="145"/>
      <c r="D6" s="130"/>
      <c r="E6" s="67" t="s">
        <v>323</v>
      </c>
      <c r="F6" s="67" t="s">
        <v>324</v>
      </c>
      <c r="G6" s="67" t="s">
        <v>323</v>
      </c>
      <c r="H6" s="66" t="s">
        <v>324</v>
      </c>
      <c r="I6" s="1"/>
    </row>
    <row r="7" spans="1:11" ht="16.5" customHeight="1" x14ac:dyDescent="0.25">
      <c r="A7" s="86"/>
      <c r="B7" s="32" t="s">
        <v>96</v>
      </c>
      <c r="C7" s="23">
        <v>1459101.16692</v>
      </c>
      <c r="D7" s="24" t="s">
        <v>100</v>
      </c>
      <c r="E7" s="24">
        <v>100</v>
      </c>
      <c r="F7" s="24">
        <v>100</v>
      </c>
      <c r="G7" s="24">
        <f>IF(824887.0263="","-",(902994.52425-824887.0263)/824887.0263*100)</f>
        <v>9.4688721557845632</v>
      </c>
      <c r="H7" s="24">
        <f>IF(902994.52425="","-",(1459101.16692-902994.52425)/902994.52425*100)</f>
        <v>61.584719257504396</v>
      </c>
    </row>
    <row r="8" spans="1:11" x14ac:dyDescent="0.25">
      <c r="A8" s="18" t="s">
        <v>210</v>
      </c>
      <c r="B8" s="19" t="s">
        <v>176</v>
      </c>
      <c r="C8" s="55">
        <v>423582.55725000001</v>
      </c>
      <c r="D8" s="26" t="s">
        <v>287</v>
      </c>
      <c r="E8" s="26">
        <f>IF(155388.64021="","-",155388.64021/902994.52425*100)</f>
        <v>17.208148669457451</v>
      </c>
      <c r="F8" s="26">
        <f>IF(423582.55725="","-",423582.55725/1459101.16692*100)</f>
        <v>29.03037615576277</v>
      </c>
      <c r="G8" s="26">
        <f>IF(824887.0263="","-",(155388.64021-249349.22945)/824887.0263*100)</f>
        <v>-11.390722152760326</v>
      </c>
      <c r="H8" s="26">
        <f>IF(902994.52425="","-",(423582.55725-155388.64021)/902994.52425*100)</f>
        <v>29.700503141229319</v>
      </c>
    </row>
    <row r="9" spans="1:11" ht="13.5" customHeight="1" x14ac:dyDescent="0.25">
      <c r="A9" s="20" t="s">
        <v>211</v>
      </c>
      <c r="B9" s="21" t="s">
        <v>21</v>
      </c>
      <c r="C9" s="33">
        <v>4043.7686600000002</v>
      </c>
      <c r="D9" s="28">
        <f>IF(OR(3899.14749="",4043.76866=""),"-",4043.76866/3899.14749*100)</f>
        <v>103.70904589710712</v>
      </c>
      <c r="E9" s="28">
        <f>IF(3899.14749="","-",3899.14749/902994.52425*100)</f>
        <v>0.43180189749639003</v>
      </c>
      <c r="F9" s="28">
        <f>IF(4043.76866="","-",4043.76866/1459101.16692*100)</f>
        <v>0.27714107504525853</v>
      </c>
      <c r="G9" s="28">
        <f>IF(OR(824887.0263="",5330.79888="",3899.14749=""),"-",(3899.14749-5330.79888)/824887.0263*100)</f>
        <v>-0.17355726837184232</v>
      </c>
      <c r="H9" s="28">
        <f>IF(OR(902994.52425="",4043.76866="",3899.14749=""),"-",(4043.76866-3899.14749)/902994.52425*100)</f>
        <v>1.6015730562720557E-2</v>
      </c>
      <c r="I9" s="18"/>
      <c r="J9" s="19"/>
      <c r="K9" s="16"/>
    </row>
    <row r="10" spans="1:11" x14ac:dyDescent="0.25">
      <c r="A10" s="20" t="s">
        <v>212</v>
      </c>
      <c r="B10" s="21" t="s">
        <v>177</v>
      </c>
      <c r="C10" s="33">
        <v>430.56409000000002</v>
      </c>
      <c r="D10" s="28">
        <f>IF(OR(1834.01454="",430.56409=""),"-",430.56409/1834.01454*100)</f>
        <v>23.47659086715856</v>
      </c>
      <c r="E10" s="28">
        <f>IF(1834.01454="","-",1834.01454/902994.52425*100)</f>
        <v>0.20310361699294655</v>
      </c>
      <c r="F10" s="28">
        <f>IF(430.56409="","-",430.56409/1459101.16692*100)</f>
        <v>2.9508857902490263E-2</v>
      </c>
      <c r="G10" s="28">
        <f>IF(OR(824887.0263="",906.51573="",1834.01454=""),"-",(1834.01454-906.51573)/824887.0263*100)</f>
        <v>0.11243949540099583</v>
      </c>
      <c r="H10" s="28">
        <f>IF(OR(902994.52425="",430.56409="",1834.01454=""),"-",(430.56409-1834.01454)/902994.52425*100)</f>
        <v>-0.15542181179511178</v>
      </c>
      <c r="I10" s="20"/>
      <c r="J10" s="21"/>
      <c r="K10" s="17"/>
    </row>
    <row r="11" spans="1:11" s="7" customFormat="1" x14ac:dyDescent="0.25">
      <c r="A11" s="20" t="s">
        <v>213</v>
      </c>
      <c r="B11" s="21" t="s">
        <v>178</v>
      </c>
      <c r="C11" s="33">
        <v>4271.9305199999999</v>
      </c>
      <c r="D11" s="28">
        <f>IF(OR(2873.13244="",4271.93052=""),"-",4271.93052/2873.13244*100)</f>
        <v>148.68547166590065</v>
      </c>
      <c r="E11" s="28">
        <f>IF(2873.13244="","-",2873.13244/902994.52425*100)</f>
        <v>0.31817827936291604</v>
      </c>
      <c r="F11" s="28">
        <f>IF(4271.93052="","-",4271.93052/1459101.16692*100)</f>
        <v>0.29277822654460411</v>
      </c>
      <c r="G11" s="28">
        <f>IF(OR(824887.0263="",2779.46533="",2873.13244=""),"-",(2873.13244-2779.46533)/824887.0263*100)</f>
        <v>1.1355144039558993E-2</v>
      </c>
      <c r="H11" s="28">
        <f>IF(OR(902994.52425="",4271.93052="",2873.13244=""),"-",(4271.93052-2873.13244)/902994.52425*100)</f>
        <v>0.15490659604628271</v>
      </c>
      <c r="I11" s="20"/>
      <c r="J11" s="21"/>
      <c r="K11" s="17"/>
    </row>
    <row r="12" spans="1:11" s="7" customFormat="1" x14ac:dyDescent="0.25">
      <c r="A12" s="20" t="s">
        <v>214</v>
      </c>
      <c r="B12" s="21" t="s">
        <v>179</v>
      </c>
      <c r="C12" s="33">
        <v>55.72242</v>
      </c>
      <c r="D12" s="28" t="s">
        <v>401</v>
      </c>
      <c r="E12" s="28">
        <f>IF(1.85645="","-",1.85645/902994.52425*100)</f>
        <v>2.0558817912455353E-4</v>
      </c>
      <c r="F12" s="28">
        <f>IF(55.72242="","-",55.72242/1459101.16692*100)</f>
        <v>3.818955207720368E-3</v>
      </c>
      <c r="G12" s="28">
        <f>IF(OR(824887.0263="",2.95359="",1.85645=""),"-",(1.85645-2.95359)/824887.0263*100)</f>
        <v>-1.3300488006475028E-4</v>
      </c>
      <c r="H12" s="28">
        <f>IF(OR(902994.52425="",55.72242="",1.85645=""),"-",(55.72242-1.85645)/902994.52425*100)</f>
        <v>5.9652598718402472E-3</v>
      </c>
      <c r="I12" s="20"/>
      <c r="J12" s="21"/>
      <c r="K12" s="17"/>
    </row>
    <row r="13" spans="1:11" s="7" customFormat="1" ht="15.75" customHeight="1" x14ac:dyDescent="0.25">
      <c r="A13" s="20" t="s">
        <v>215</v>
      </c>
      <c r="B13" s="21" t="s">
        <v>180</v>
      </c>
      <c r="C13" s="33">
        <v>252869.37516</v>
      </c>
      <c r="D13" s="28" t="s">
        <v>321</v>
      </c>
      <c r="E13" s="28">
        <f>IF(37725.55945="","-",37725.55945/902994.52425*100)</f>
        <v>4.1778281525387664</v>
      </c>
      <c r="F13" s="28">
        <f>IF(252869.37516="","-",252869.37516/1459101.16692*100)</f>
        <v>17.330489543352162</v>
      </c>
      <c r="G13" s="28">
        <f>IF(OR(824887.0263="",93985.56655="",37725.55945=""),"-",(37725.55945-93985.56655)/824887.0263*100)</f>
        <v>-6.8203287609398062</v>
      </c>
      <c r="H13" s="28">
        <f>IF(OR(902994.52425="",252869.37516="",37725.55945=""),"-",(252869.37516-37725.55945)/902994.52425*100)</f>
        <v>23.825594722037984</v>
      </c>
      <c r="I13" s="20"/>
      <c r="J13" s="21"/>
      <c r="K13" s="17"/>
    </row>
    <row r="14" spans="1:11" s="7" customFormat="1" ht="15.75" customHeight="1" x14ac:dyDescent="0.25">
      <c r="A14" s="20" t="s">
        <v>216</v>
      </c>
      <c r="B14" s="21" t="s">
        <v>181</v>
      </c>
      <c r="C14" s="33">
        <v>122677.67328</v>
      </c>
      <c r="D14" s="28">
        <f>IF(OR(93970.63785="",122677.67328=""),"-",122677.67328/93970.63785*100)</f>
        <v>130.54894176181227</v>
      </c>
      <c r="E14" s="28">
        <f>IF(93970.63785="","-",93970.63785/902994.52425*100)</f>
        <v>10.406556775972609</v>
      </c>
      <c r="F14" s="28">
        <f>IF(122677.67328="","-",122677.67328/1459101.16692*100)</f>
        <v>8.4077565052571988</v>
      </c>
      <c r="G14" s="28">
        <f>IF(OR(824887.0263="",122430.05611="",93970.63785=""),"-",(93970.63785-122430.05611)/824887.0263*100)</f>
        <v>-3.4500989047741077</v>
      </c>
      <c r="H14" s="28">
        <f>IF(OR(902994.52425="",122677.67328="",93970.63785=""),"-",(122677.67328-93970.63785)/902994.52425*100)</f>
        <v>3.179092968901799</v>
      </c>
      <c r="I14" s="20"/>
      <c r="J14" s="21"/>
      <c r="K14" s="17"/>
    </row>
    <row r="15" spans="1:11" s="7" customFormat="1" ht="25.5" x14ac:dyDescent="0.25">
      <c r="A15" s="20" t="s">
        <v>217</v>
      </c>
      <c r="B15" s="21" t="s">
        <v>139</v>
      </c>
      <c r="C15" s="33">
        <v>10991.28002</v>
      </c>
      <c r="D15" s="28" t="s">
        <v>402</v>
      </c>
      <c r="E15" s="28">
        <f>IF(3493.28322="","-",3493.28322/902994.52425*100)</f>
        <v>0.38685541564068904</v>
      </c>
      <c r="F15" s="28">
        <f>IF(10991.28002="","-",10991.28002/1459101.16692*100)</f>
        <v>0.75329115411519876</v>
      </c>
      <c r="G15" s="28">
        <f>IF(OR(824887.0263="",8177.53627="",3493.28322=""),"-",(3493.28322-8177.53627)/824887.0263*100)</f>
        <v>-0.56786601081738941</v>
      </c>
      <c r="H15" s="28">
        <f>IF(OR(902994.52425="",10991.28002="",3493.28322=""),"-",(10991.28002-3493.28322)/902994.52425*100)</f>
        <v>0.83034798092796958</v>
      </c>
      <c r="I15" s="20"/>
      <c r="J15" s="21"/>
      <c r="K15" s="17"/>
    </row>
    <row r="16" spans="1:11" s="7" customFormat="1" ht="25.5" x14ac:dyDescent="0.25">
      <c r="A16" s="20" t="s">
        <v>218</v>
      </c>
      <c r="B16" s="21" t="s">
        <v>182</v>
      </c>
      <c r="C16" s="33">
        <v>3788.8574400000002</v>
      </c>
      <c r="D16" s="28">
        <f>IF(OR(3465.07127="",3788.85744=""),"-",3788.85744/3465.07127*100)</f>
        <v>109.34428601233361</v>
      </c>
      <c r="E16" s="28">
        <f>IF(3465.07127="","-",3465.07127/902994.52425*100)</f>
        <v>0.38373114974069011</v>
      </c>
      <c r="F16" s="28">
        <f>IF(3788.85744="","-",3788.85744/1459101.16692*100)</f>
        <v>0.25967064696397002</v>
      </c>
      <c r="G16" s="28">
        <f>IF(OR(824887.0263="",3181.25989="",3465.07127=""),"-",(3465.07127-3181.25989)/824887.0263*100)</f>
        <v>3.4406090888957901E-2</v>
      </c>
      <c r="H16" s="28">
        <f>IF(OR(902994.52425="",3788.85744="",3465.07127=""),"-",(3788.85744-3465.07127)/902994.52425*100)</f>
        <v>3.5856936150186217E-2</v>
      </c>
      <c r="I16" s="20"/>
      <c r="J16" s="21"/>
      <c r="K16" s="17"/>
    </row>
    <row r="17" spans="1:11" s="7" customFormat="1" ht="25.5" x14ac:dyDescent="0.25">
      <c r="A17" s="20" t="s">
        <v>219</v>
      </c>
      <c r="B17" s="21" t="s">
        <v>140</v>
      </c>
      <c r="C17" s="33">
        <v>22150.801029999999</v>
      </c>
      <c r="D17" s="28" t="s">
        <v>358</v>
      </c>
      <c r="E17" s="28">
        <f>IF(6519.60936="","-",6519.60936/902994.52425*100)</f>
        <v>0.7219987701935392</v>
      </c>
      <c r="F17" s="28">
        <f>IF(22150.80103="","-",22150.80103/1459101.16692*100)</f>
        <v>1.5181127623081732</v>
      </c>
      <c r="G17" s="28">
        <f>IF(OR(824887.0263="",11530.11749="",6519.60936=""),"-",(6519.60936-11530.11749)/824887.0263*100)</f>
        <v>-0.60741749721467286</v>
      </c>
      <c r="H17" s="28">
        <f>IF(OR(902994.52425="",22150.80103="",6519.60936=""),"-",(22150.80103-6519.60936)/902994.52425*100)</f>
        <v>1.7310394747944671</v>
      </c>
      <c r="I17" s="20"/>
      <c r="J17" s="21"/>
      <c r="K17" s="17"/>
    </row>
    <row r="18" spans="1:11" s="7" customFormat="1" ht="25.5" x14ac:dyDescent="0.25">
      <c r="A18" s="20" t="s">
        <v>220</v>
      </c>
      <c r="B18" s="21" t="s">
        <v>183</v>
      </c>
      <c r="C18" s="33">
        <v>2302.5846299999998</v>
      </c>
      <c r="D18" s="28">
        <f>IF(OR(1606.32814="",2302.58463=""),"-",2302.58463/1606.32814*100)</f>
        <v>143.34459894352594</v>
      </c>
      <c r="E18" s="28">
        <f>IF(1606.32814="","-",1606.32814/902994.52425*100)</f>
        <v>0.17788902333977802</v>
      </c>
      <c r="F18" s="28">
        <f>IF(2302.58463="","-",2302.58463/1459101.16692*100)</f>
        <v>0.15780842906599132</v>
      </c>
      <c r="G18" s="28">
        <f>IF(OR(824887.0263="",1024.95961="",1606.32814=""),"-",(1606.32814-1024.95961)/824887.0263*100)</f>
        <v>7.0478563908042871E-2</v>
      </c>
      <c r="H18" s="28">
        <f>IF(OR(902994.52425="",2302.58463="",1606.32814=""),"-",(2302.58463-1606.32814)/902994.52425*100)</f>
        <v>7.7105283731182014E-2</v>
      </c>
      <c r="I18" s="20"/>
      <c r="J18" s="21"/>
      <c r="K18" s="17"/>
    </row>
    <row r="19" spans="1:11" s="7" customFormat="1" x14ac:dyDescent="0.25">
      <c r="A19" s="18" t="s">
        <v>221</v>
      </c>
      <c r="B19" s="19" t="s">
        <v>184</v>
      </c>
      <c r="C19" s="55">
        <v>50335.765359999998</v>
      </c>
      <c r="D19" s="26">
        <f>IF(66254.15461="","-",50335.76536/66254.15461*100)</f>
        <v>75.973749353980324</v>
      </c>
      <c r="E19" s="26">
        <f>IF(66254.15461="","-",66254.15461/902994.52425*100)</f>
        <v>7.3371601743685764</v>
      </c>
      <c r="F19" s="26">
        <f>IF(50335.76536="","-",50335.76536/1459101.16692*100)</f>
        <v>3.4497789804563852</v>
      </c>
      <c r="G19" s="26">
        <f>IF(824887.0263="","-",(66254.15461-59300.15056)/824887.0263*100)</f>
        <v>0.84302502382561673</v>
      </c>
      <c r="H19" s="26">
        <f>IF(902994.52425="","-",(50335.76536-66254.15461)/902994.52425*100)</f>
        <v>-1.7628444937937287</v>
      </c>
      <c r="I19" s="20"/>
      <c r="J19" s="21"/>
      <c r="K19" s="17"/>
    </row>
    <row r="20" spans="1:11" s="7" customFormat="1" x14ac:dyDescent="0.25">
      <c r="A20" s="20" t="s">
        <v>222</v>
      </c>
      <c r="B20" s="21" t="s">
        <v>185</v>
      </c>
      <c r="C20" s="33">
        <v>46647.196179999999</v>
      </c>
      <c r="D20" s="28">
        <f>IF(OR(61926.60829="",46647.19618=""),"-",46647.19618/61926.60829*100)</f>
        <v>75.326580072903269</v>
      </c>
      <c r="E20" s="28">
        <f>IF(61926.60829="","-",61926.60829/902994.52425*100)</f>
        <v>6.8579162582889817</v>
      </c>
      <c r="F20" s="28">
        <f>IF(46647.19618="","-",46647.19618/1459101.16692*100)</f>
        <v>3.1969816238627944</v>
      </c>
      <c r="G20" s="28">
        <f>IF(OR(824887.0263="",54732.51155="",61926.60829=""),"-",(61926.60829-54732.51155)/824887.0263*100)</f>
        <v>0.87213115379797479</v>
      </c>
      <c r="H20" s="28">
        <f>IF(OR(902994.52425="",46647.19618="",61926.60829=""),"-",(46647.19618-61926.60829)/902994.52425*100)</f>
        <v>-1.6920824766562803</v>
      </c>
      <c r="I20" s="18"/>
      <c r="J20" s="19"/>
      <c r="K20" s="16"/>
    </row>
    <row r="21" spans="1:11" s="7" customFormat="1" x14ac:dyDescent="0.25">
      <c r="A21" s="20" t="s">
        <v>223</v>
      </c>
      <c r="B21" s="21" t="s">
        <v>186</v>
      </c>
      <c r="C21" s="33">
        <v>3688.56918</v>
      </c>
      <c r="D21" s="28">
        <f>IF(OR(4327.54632="",3688.56918=""),"-",3688.56918/4327.54632*100)</f>
        <v>85.234655096655317</v>
      </c>
      <c r="E21" s="28">
        <f>IF(4327.54632="","-",4327.54632/902994.52425*100)</f>
        <v>0.47924391607959416</v>
      </c>
      <c r="F21" s="28">
        <f>IF(3688.56918="","-",3688.56918/1459101.16692*100)</f>
        <v>0.25279735659359104</v>
      </c>
      <c r="G21" s="28">
        <f>IF(OR(824887.0263="",4567.63901="",4327.54632=""),"-",(4327.54632-4567.63901)/824887.0263*100)</f>
        <v>-2.910612997235831E-2</v>
      </c>
      <c r="H21" s="28">
        <f>IF(OR(902994.52425="",3688.56918="",4327.54632=""),"-",(3688.56918-4327.54632)/902994.52425*100)</f>
        <v>-7.0762017137447814E-2</v>
      </c>
      <c r="I21" s="20"/>
      <c r="J21" s="21"/>
      <c r="K21" s="17"/>
    </row>
    <row r="22" spans="1:11" s="7" customFormat="1" ht="25.5" x14ac:dyDescent="0.25">
      <c r="A22" s="18" t="s">
        <v>224</v>
      </c>
      <c r="B22" s="19" t="s">
        <v>22</v>
      </c>
      <c r="C22" s="55">
        <v>211062.54005000001</v>
      </c>
      <c r="D22" s="26" t="s">
        <v>91</v>
      </c>
      <c r="E22" s="26">
        <f>IF(100050.98228="","-",100050.98228/902994.52425*100)</f>
        <v>11.079910186952608</v>
      </c>
      <c r="F22" s="26">
        <f>IF(211062.54005="","-",211062.54005/1459101.16692*100)</f>
        <v>14.465243729160296</v>
      </c>
      <c r="G22" s="26">
        <f>IF(824887.0263="","-",(100050.98228-80350.93954)/824887.0263*100)</f>
        <v>2.3882110048892145</v>
      </c>
      <c r="H22" s="26">
        <f>IF(902994.52425="","-",(211062.54005-100050.98228)/902994.52425*100)</f>
        <v>12.293713282724816</v>
      </c>
      <c r="I22" s="20"/>
      <c r="J22" s="21"/>
      <c r="K22" s="17"/>
    </row>
    <row r="23" spans="1:11" s="7" customFormat="1" ht="15" customHeight="1" x14ac:dyDescent="0.25">
      <c r="A23" s="20" t="s">
        <v>225</v>
      </c>
      <c r="B23" s="21" t="s">
        <v>193</v>
      </c>
      <c r="C23" s="33">
        <v>513.21825999999999</v>
      </c>
      <c r="D23" s="28">
        <f>IF(OR(511.21309="",513.21826=""),"-",513.21826/511.21309*100)</f>
        <v>100.39223760878266</v>
      </c>
      <c r="E23" s="28">
        <f>IF(511.21309="","-",511.21309/902994.52425*100)</f>
        <v>5.6613088592602286E-2</v>
      </c>
      <c r="F23" s="28">
        <f>IF(513.21826="","-",513.21826/1459101.16692*100)</f>
        <v>3.5173589853494981E-2</v>
      </c>
      <c r="G23" s="28">
        <f>IF(OR(824887.0263="",575.68205="",511.21309=""),"-",(511.21309-575.68205)/824887.0263*100)</f>
        <v>-7.8154896300373523E-3</v>
      </c>
      <c r="H23" s="28">
        <f>IF(OR(902994.52425="",513.21826="",511.21309=""),"-",(513.21826-511.21309)/902994.52425*100)</f>
        <v>2.2205782495363389E-4</v>
      </c>
      <c r="I23" s="18"/>
      <c r="J23" s="19"/>
      <c r="K23" s="16"/>
    </row>
    <row r="24" spans="1:11" s="7" customFormat="1" ht="15" customHeight="1" x14ac:dyDescent="0.25">
      <c r="A24" s="20" t="s">
        <v>226</v>
      </c>
      <c r="B24" s="21" t="s">
        <v>187</v>
      </c>
      <c r="C24" s="33">
        <v>175828.27775000001</v>
      </c>
      <c r="D24" s="28" t="s">
        <v>204</v>
      </c>
      <c r="E24" s="28">
        <f>IF(70435.53449="","-",70435.53449/902994.52425*100)</f>
        <v>7.8002172326018959</v>
      </c>
      <c r="F24" s="28">
        <f>IF(175828.27775="","-",175828.27775/1459101.16692*100)</f>
        <v>12.0504514516395</v>
      </c>
      <c r="G24" s="28">
        <f>IF(OR(824887.0263="",71151.09386="",70435.53449=""),"-",(70435.53449-71151.09386)/824887.0263*100)</f>
        <v>-8.6746347946530689E-2</v>
      </c>
      <c r="H24" s="28">
        <f>IF(OR(902994.52425="",175828.27775="",70435.53449=""),"-",(175828.27775-70435.53449)/902994.52425*100)</f>
        <v>11.671470914791653</v>
      </c>
      <c r="I24" s="20"/>
      <c r="J24" s="21"/>
      <c r="K24" s="17"/>
    </row>
    <row r="25" spans="1:11" s="7" customFormat="1" ht="15" customHeight="1" x14ac:dyDescent="0.25">
      <c r="A25" s="20" t="s">
        <v>280</v>
      </c>
      <c r="B25" s="21" t="s">
        <v>188</v>
      </c>
      <c r="C25" s="33">
        <v>4.5550600000000001</v>
      </c>
      <c r="D25" s="28" t="s">
        <v>403</v>
      </c>
      <c r="E25" s="28">
        <f>IF(0.10557="","-",0.10557/902994.52425*100)</f>
        <v>1.1691100794623672E-5</v>
      </c>
      <c r="F25" s="28">
        <f>IF(4.55506="","-",4.55506/1459101.16692*100)</f>
        <v>3.1218260277422874E-4</v>
      </c>
      <c r="G25" s="28">
        <f>IF(OR(824887.0263="",0.11619="",0.10557=""),"-",(0.10557-0.11619)/824887.0263*100)</f>
        <v>-1.2874490277336059E-6</v>
      </c>
      <c r="H25" s="28">
        <f>IF(OR(902994.52425="",4.55506="",0.10557=""),"-",(4.55506-0.10557)/902994.52425*100)</f>
        <v>4.92748281468884E-4</v>
      </c>
      <c r="I25" s="20"/>
      <c r="J25" s="21"/>
      <c r="K25" s="17"/>
    </row>
    <row r="26" spans="1:11" s="7" customFormat="1" x14ac:dyDescent="0.25">
      <c r="A26" s="20" t="s">
        <v>227</v>
      </c>
      <c r="B26" s="21" t="s">
        <v>189</v>
      </c>
      <c r="C26" s="33">
        <v>1103.1681599999999</v>
      </c>
      <c r="D26" s="28" t="s">
        <v>18</v>
      </c>
      <c r="E26" s="28">
        <f>IF(559.62351="","-",559.62351/902994.52425*100)</f>
        <v>6.1974186439813284E-2</v>
      </c>
      <c r="F26" s="28">
        <f>IF(1103.16816="","-",1103.16816/1459101.16692*100)</f>
        <v>7.5606009028740956E-2</v>
      </c>
      <c r="G26" s="28">
        <f>IF(OR(824887.0263="",601.02533="",559.62351=""),"-",(559.62351-601.02533)/824887.0263*100)</f>
        <v>-5.0190897274389632E-3</v>
      </c>
      <c r="H26" s="28">
        <f>IF(OR(902994.52425="",1103.16816="",559.62351=""),"-",(1103.16816-559.62351)/902994.52425*100)</f>
        <v>6.0193570991081226E-2</v>
      </c>
      <c r="I26" s="20"/>
      <c r="J26" s="21"/>
      <c r="K26" s="17"/>
    </row>
    <row r="27" spans="1:11" s="7" customFormat="1" ht="14.25" customHeight="1" x14ac:dyDescent="0.25">
      <c r="A27" s="20" t="s">
        <v>228</v>
      </c>
      <c r="B27" s="21" t="s">
        <v>141</v>
      </c>
      <c r="C27" s="33">
        <v>1313.6265599999999</v>
      </c>
      <c r="D27" s="28">
        <f>IF(OR(1331.10106="",1313.62656=""),"-",1313.62656/1331.10106*100)</f>
        <v>98.687214628166544</v>
      </c>
      <c r="E27" s="28">
        <f>IF(1331.10106="","-",1331.10106/902994.52425*100)</f>
        <v>0.14740964914549978</v>
      </c>
      <c r="F27" s="28">
        <f>IF(1313.62656="","-",1313.62656/1459101.16692*100)</f>
        <v>9.0029847811918293E-2</v>
      </c>
      <c r="G27" s="28">
        <f>IF(OR(824887.0263="",562.2545="",1331.10106=""),"-",(1331.10106-562.2545)/824887.0263*100)</f>
        <v>9.3206285889672974E-2</v>
      </c>
      <c r="H27" s="28">
        <f>IF(OR(902994.52425="",1313.62656="",1331.10106=""),"-",(1313.62656-1331.10106)/902994.52425*100)</f>
        <v>-1.9351723106531377E-3</v>
      </c>
      <c r="I27" s="20"/>
      <c r="J27" s="21"/>
      <c r="K27" s="17"/>
    </row>
    <row r="28" spans="1:11" s="7" customFormat="1" ht="38.25" x14ac:dyDescent="0.25">
      <c r="A28" s="20" t="s">
        <v>229</v>
      </c>
      <c r="B28" s="21" t="s">
        <v>142</v>
      </c>
      <c r="C28" s="33">
        <v>28.82075</v>
      </c>
      <c r="D28" s="28">
        <f>IF(OR(50.66178="",28.82075=""),"-",28.82075/50.66178*100)</f>
        <v>56.888545961077561</v>
      </c>
      <c r="E28" s="28">
        <f>IF(50.66178="","-",50.66178/902994.52425*100)</f>
        <v>5.6104194033821135E-3</v>
      </c>
      <c r="F28" s="28">
        <f>IF(28.82075="","-",28.82075/1459101.16692*100)</f>
        <v>1.9752400075751697E-3</v>
      </c>
      <c r="G28" s="28">
        <f>IF(OR(824887.0263="",12.29931="",50.66178=""),"-",(50.66178-12.29931)/824887.0263*100)</f>
        <v>4.650633211201469E-3</v>
      </c>
      <c r="H28" s="28">
        <f>IF(OR(902994.52425="",28.82075="",50.66178=""),"-",(28.82075-50.66178)/902994.52425*100)</f>
        <v>-2.4187333824798661E-3</v>
      </c>
      <c r="I28" s="20"/>
      <c r="J28" s="21"/>
      <c r="K28" s="17"/>
    </row>
    <row r="29" spans="1:11" s="7" customFormat="1" ht="38.25" x14ac:dyDescent="0.25">
      <c r="A29" s="20" t="s">
        <v>230</v>
      </c>
      <c r="B29" s="21" t="s">
        <v>143</v>
      </c>
      <c r="C29" s="33">
        <v>2060.4060899999999</v>
      </c>
      <c r="D29" s="28">
        <f>IF(OR(2063.40335="",2060.40609=""),"-",2060.40609/2063.40335*100)</f>
        <v>99.854741924306751</v>
      </c>
      <c r="E29" s="28">
        <f>IF(2063.40335="","-",2063.40335/902994.52425*100)</f>
        <v>0.22850674002855118</v>
      </c>
      <c r="F29" s="28">
        <f>IF(2060.40609="","-",2060.40609/1459101.16692*100)</f>
        <v>0.14121063958500477</v>
      </c>
      <c r="G29" s="28">
        <f>IF(OR(824887.0263="",2497.63914="",2063.40335=""),"-",(2063.40335-2497.63914)/824887.0263*100)</f>
        <v>-5.2641849872187785E-2</v>
      </c>
      <c r="H29" s="28">
        <f>IF(OR(902994.52425="",2060.40609="",2063.40335=""),"-",(2060.40609-2063.40335)/902994.52425*100)</f>
        <v>-3.3192449339485534E-4</v>
      </c>
      <c r="I29" s="20"/>
      <c r="J29" s="21"/>
      <c r="K29" s="17"/>
    </row>
    <row r="30" spans="1:11" s="7" customFormat="1" ht="25.5" x14ac:dyDescent="0.25">
      <c r="A30" s="20" t="s">
        <v>231</v>
      </c>
      <c r="B30" s="21" t="s">
        <v>144</v>
      </c>
      <c r="C30" s="33">
        <v>28753.626660000002</v>
      </c>
      <c r="D30" s="28">
        <f>IF(OR(23723.01048="",28753.62666=""),"-",28753.62666/23723.01048*100)</f>
        <v>121.20563991758604</v>
      </c>
      <c r="E30" s="28">
        <f>IF(23723.01048="","-",23723.01048/902994.52425*100)</f>
        <v>2.6271488744301763</v>
      </c>
      <c r="F30" s="28">
        <f>IF(28753.62666="","-",28753.62666/1459101.16692*100)</f>
        <v>1.970639686396503</v>
      </c>
      <c r="G30" s="28">
        <f>IF(OR(824887.0263="",2811.0545="",23723.01048=""),"-",(23723.01048-2811.0545)/824887.0263*100)</f>
        <v>2.5351296981599769</v>
      </c>
      <c r="H30" s="28">
        <f>IF(OR(902994.52425="",28753.62666="",23723.01048=""),"-",(28753.62666-23723.01048)/902994.52425*100)</f>
        <v>0.55710373041057792</v>
      </c>
      <c r="I30" s="20"/>
      <c r="J30" s="21"/>
      <c r="K30" s="17"/>
    </row>
    <row r="31" spans="1:11" s="7" customFormat="1" ht="25.5" x14ac:dyDescent="0.25">
      <c r="A31" s="20" t="s">
        <v>232</v>
      </c>
      <c r="B31" s="21" t="s">
        <v>145</v>
      </c>
      <c r="C31" s="33">
        <v>1456.84076</v>
      </c>
      <c r="D31" s="28">
        <f>IF(OR(1376.32895="",1456.84076=""),"-",1456.84076/1376.32895*100)</f>
        <v>105.84975052657288</v>
      </c>
      <c r="E31" s="28">
        <f>IF(1376.32895="","-",1376.32895/902994.52425*100)</f>
        <v>0.15241830520989452</v>
      </c>
      <c r="F31" s="28">
        <f>IF(1456.84076="","-",1456.84076/1459101.16692*100)</f>
        <v>9.9845082234786262E-2</v>
      </c>
      <c r="G31" s="28">
        <f>IF(OR(824887.0263="",2139.77466="",1376.32895=""),"-",(1376.32895-2139.77466)/824887.0263*100)</f>
        <v>-9.255154774641168E-2</v>
      </c>
      <c r="H31" s="28">
        <f>IF(OR(902994.52425="",1456.84076="",1376.32895=""),"-",(1456.84076-1376.32895)/902994.52425*100)</f>
        <v>8.9160906116092613E-3</v>
      </c>
      <c r="I31" s="20"/>
      <c r="J31" s="21"/>
      <c r="K31" s="17"/>
    </row>
    <row r="32" spans="1:11" s="7" customFormat="1" ht="25.5" x14ac:dyDescent="0.25">
      <c r="A32" s="18" t="s">
        <v>233</v>
      </c>
      <c r="B32" s="19" t="s">
        <v>146</v>
      </c>
      <c r="C32" s="55">
        <v>57186.527829999999</v>
      </c>
      <c r="D32" s="26" t="s">
        <v>348</v>
      </c>
      <c r="E32" s="26">
        <f>IF(12546.15264="","-",12546.15264/902994.52425*100)</f>
        <v>1.3893940996398018</v>
      </c>
      <c r="F32" s="26">
        <f>IF(57186.52783="","-",57186.52783/1459101.16692*100)</f>
        <v>3.9192983410954563</v>
      </c>
      <c r="G32" s="26">
        <f>IF(824887.0263="","-",(12546.15264-1897.15903)/824887.0263*100)</f>
        <v>1.2909638860203272</v>
      </c>
      <c r="H32" s="26">
        <f>IF(902994.52425="","-",(57186.52783-12546.15264)/902994.52425*100)</f>
        <v>4.9435931216833175</v>
      </c>
      <c r="I32" s="20"/>
      <c r="J32" s="21"/>
      <c r="K32" s="17"/>
    </row>
    <row r="33" spans="1:11" s="7" customFormat="1" x14ac:dyDescent="0.25">
      <c r="A33" s="20" t="s">
        <v>234</v>
      </c>
      <c r="B33" s="21" t="s">
        <v>190</v>
      </c>
      <c r="C33" s="33">
        <v>52.80921</v>
      </c>
      <c r="D33" s="28">
        <f>IF(OR(356.14313="",52.80921=""),"-",52.80921/356.14313*100)</f>
        <v>14.82808611245709</v>
      </c>
      <c r="E33" s="28">
        <f>IF(356.14313="","-",356.14313/902994.52425*100)</f>
        <v>3.9440231411790865E-2</v>
      </c>
      <c r="F33" s="28">
        <f>IF(52.80921="","-",52.80921/1459101.16692*100)</f>
        <v>3.6192973590360679E-3</v>
      </c>
      <c r="G33" s="28">
        <f>IF(OR(824887.0263="",29.26923="",356.14313=""),"-",(356.14313-29.26923)/824887.0263*100)</f>
        <v>3.9626505155036885E-2</v>
      </c>
      <c r="H33" s="28">
        <f>IF(OR(902994.52425="",52.80921="",356.14313=""),"-",(52.80921-356.14313)/902994.52425*100)</f>
        <v>-3.3591999935098163E-2</v>
      </c>
      <c r="I33" s="18"/>
      <c r="J33" s="19"/>
      <c r="K33" s="16"/>
    </row>
    <row r="34" spans="1:11" s="7" customFormat="1" ht="25.5" x14ac:dyDescent="0.25">
      <c r="A34" s="20" t="s">
        <v>235</v>
      </c>
      <c r="B34" s="21" t="s">
        <v>147</v>
      </c>
      <c r="C34" s="33">
        <v>57131.43417</v>
      </c>
      <c r="D34" s="28" t="s">
        <v>318</v>
      </c>
      <c r="E34" s="28">
        <f>IF(12188.15904="","-",12188.15904/902994.52425*100)</f>
        <v>1.3497489422898901</v>
      </c>
      <c r="F34" s="28">
        <f>IF(57131.43417="","-",57131.43417/1459101.16692*100)</f>
        <v>3.9155224781704545</v>
      </c>
      <c r="G34" s="28">
        <f>IF(OR(824887.0263="",1865.41412="",12188.15904=""),"-",(12188.15904-1865.41412)/824887.0263*100)</f>
        <v>1.2514131742745778</v>
      </c>
      <c r="H34" s="28">
        <f>IF(OR(902994.52425="",57131.43417="",12188.15904=""),"-",(57131.43417-12188.15904)/902994.52425*100)</f>
        <v>4.9771370615263173</v>
      </c>
      <c r="I34" s="20"/>
      <c r="J34" s="21"/>
      <c r="K34" s="17"/>
    </row>
    <row r="35" spans="1:11" s="7" customFormat="1" x14ac:dyDescent="0.25">
      <c r="A35" s="20" t="s">
        <v>289</v>
      </c>
      <c r="B35" s="21" t="s">
        <v>290</v>
      </c>
      <c r="C35" s="33">
        <v>2.2844500000000001</v>
      </c>
      <c r="D35" s="28">
        <f>IF(OR(1.85047="",2.28445=""),"-",2.28445/1.85047*100)</f>
        <v>123.45242019595022</v>
      </c>
      <c r="E35" s="28">
        <f>IF(1.85047="","-",1.85047/902994.52425*100)</f>
        <v>2.0492593812093649E-4</v>
      </c>
      <c r="F35" s="28">
        <f>IF(2.28445="","-",2.28445/1459101.16692*100)</f>
        <v>1.5656556596567046E-4</v>
      </c>
      <c r="G35" s="28">
        <f>IF(OR(824887.0263="",2.47568="",1.85047=""),"-",(1.85047-2.47568)/824887.0263*100)</f>
        <v>-7.5793409287130647E-5</v>
      </c>
      <c r="H35" s="28">
        <f>IF(OR(902994.52425="",2.28445="",1.85047=""),"-",(2.28445-1.85047)/902994.52425*100)</f>
        <v>4.8060092098614959E-5</v>
      </c>
      <c r="I35" s="20"/>
      <c r="J35" s="21"/>
      <c r="K35" s="17"/>
    </row>
    <row r="36" spans="1:11" s="7" customFormat="1" ht="25.5" x14ac:dyDescent="0.25">
      <c r="A36" s="18" t="s">
        <v>236</v>
      </c>
      <c r="B36" s="19" t="s">
        <v>148</v>
      </c>
      <c r="C36" s="55">
        <v>138561.34628999999</v>
      </c>
      <c r="D36" s="26" t="s">
        <v>404</v>
      </c>
      <c r="E36" s="26">
        <f>IF(25112.95723="","-",25112.95723/902994.52425*100)</f>
        <v>2.7810752508004479</v>
      </c>
      <c r="F36" s="26">
        <f>IF(138561.34629="","-",138561.34629/1459101.16692*100)</f>
        <v>9.4963494945650382</v>
      </c>
      <c r="G36" s="26">
        <f>IF(824887.0263="","-",(25112.95723-44650.93208)/824887.0263*100)</f>
        <v>-2.3685637217058506</v>
      </c>
      <c r="H36" s="26">
        <f>IF(902994.52425="","-",(138561.34629-25112.95723)/902994.52425*100)</f>
        <v>12.563574419703908</v>
      </c>
      <c r="I36" s="20"/>
      <c r="J36" s="21"/>
      <c r="K36" s="17"/>
    </row>
    <row r="37" spans="1:11" s="7" customFormat="1" x14ac:dyDescent="0.25">
      <c r="A37" s="20" t="s">
        <v>237</v>
      </c>
      <c r="B37" s="21" t="s">
        <v>194</v>
      </c>
      <c r="C37" s="33">
        <v>1.5959399999999999</v>
      </c>
      <c r="D37" s="28">
        <f>IF(OR(4.16302="",1.59594=""),"-",1.59594/4.16302*100)</f>
        <v>38.336111765016739</v>
      </c>
      <c r="E37" s="28">
        <f>IF(4.16302="","-",4.16302/902994.52425*100)</f>
        <v>4.6102383660163158E-4</v>
      </c>
      <c r="F37" s="28">
        <f>IF(1.59594="","-",1.59594/1459101.16692*100)</f>
        <v>1.0937829645965204E-4</v>
      </c>
      <c r="G37" s="28">
        <f>IF(OR(824887.0263="",1.9874="",4.16302=""),"-",(4.16302-1.9874)/824887.0263*100)</f>
        <v>2.637476321768161E-4</v>
      </c>
      <c r="H37" s="28">
        <f>IF(OR(902994.52425="",1.59594="",4.16302=""),"-",(1.59594-4.16302)/902994.52425*100)</f>
        <v>-2.8428522333866197E-4</v>
      </c>
      <c r="I37" s="18"/>
      <c r="J37" s="19"/>
      <c r="K37" s="16"/>
    </row>
    <row r="38" spans="1:11" s="7" customFormat="1" ht="25.5" x14ac:dyDescent="0.25">
      <c r="A38" s="20" t="s">
        <v>238</v>
      </c>
      <c r="B38" s="21" t="s">
        <v>149</v>
      </c>
      <c r="C38" s="33">
        <v>138559.75034999999</v>
      </c>
      <c r="D38" s="28" t="s">
        <v>404</v>
      </c>
      <c r="E38" s="28">
        <f>IF(25105.23188="","-",25105.23188/902994.52425*100)</f>
        <v>2.7802197251253156</v>
      </c>
      <c r="F38" s="28">
        <f>IF(138559.75035="","-",138559.75035/1459101.16692*100)</f>
        <v>9.496240116268579</v>
      </c>
      <c r="G38" s="28">
        <f>IF(OR(824887.0263="",44633.44758="",25105.23188=""),"-",(25105.23188-44633.44758)/824887.0263*100)</f>
        <v>-2.3673806324234588</v>
      </c>
      <c r="H38" s="28">
        <f>IF(OR(902994.52425="",138559.75035="",25105.23188=""),"-",(138559.75035-25105.23188)/902994.52425*100)</f>
        <v>12.564253206765773</v>
      </c>
      <c r="I38" s="20"/>
      <c r="J38" s="21"/>
      <c r="K38" s="17"/>
    </row>
    <row r="39" spans="1:11" s="7" customFormat="1" ht="63.75" x14ac:dyDescent="0.25">
      <c r="A39" s="20" t="s">
        <v>239</v>
      </c>
      <c r="B39" s="21" t="s">
        <v>192</v>
      </c>
      <c r="C39" s="33" t="s">
        <v>286</v>
      </c>
      <c r="D39" s="28" t="str">
        <f>IF(OR(3.56233="",""=""),"-",""/3.56233*100)</f>
        <v>-</v>
      </c>
      <c r="E39" s="28">
        <f>IF(3.56233="","-",3.56233/902994.52425*100)</f>
        <v>3.9450183853094391E-4</v>
      </c>
      <c r="F39" s="28" t="str">
        <f>IF(""="","-",""/1459101.16692*100)</f>
        <v>-</v>
      </c>
      <c r="G39" s="28">
        <f>IF(OR(824887.0263="",15.4971="",3.56233=""),"-",(3.56233-15.4971)/824887.0263*100)</f>
        <v>-1.4468369145691339E-3</v>
      </c>
      <c r="H39" s="28" t="str">
        <f>IF(OR(902994.52425="",""="",3.56233=""),"-",(""-3.56233)/902994.52425*100)</f>
        <v>-</v>
      </c>
      <c r="I39" s="20"/>
      <c r="J39" s="21"/>
      <c r="K39" s="17"/>
    </row>
    <row r="40" spans="1:11" s="7" customFormat="1" ht="25.5" x14ac:dyDescent="0.25">
      <c r="A40" s="18" t="s">
        <v>240</v>
      </c>
      <c r="B40" s="19" t="s">
        <v>150</v>
      </c>
      <c r="C40" s="55">
        <v>49641.13493</v>
      </c>
      <c r="D40" s="26">
        <f>IF(45930.27672="","-",49641.13493/45930.27672*100)</f>
        <v>108.07932909401379</v>
      </c>
      <c r="E40" s="26">
        <f>IF(45930.27672="","-",45930.27672/902994.52425*100)</f>
        <v>5.0864402259967525</v>
      </c>
      <c r="F40" s="26">
        <f>IF(49641.13493="","-",49641.13493/1459101.16692*100)</f>
        <v>3.4021722451765908</v>
      </c>
      <c r="G40" s="26">
        <f>IF(824887.0263="","-",(45930.27672-33104.05938)/824887.0263*100)</f>
        <v>1.5549059363354909</v>
      </c>
      <c r="H40" s="26">
        <f>IF(902994.52425="","-",(49641.13493-45930.27672)/902994.52425*100)</f>
        <v>0.41095024502857591</v>
      </c>
      <c r="I40" s="18"/>
      <c r="J40" s="19"/>
      <c r="K40" s="16"/>
    </row>
    <row r="41" spans="1:11" s="7" customFormat="1" x14ac:dyDescent="0.25">
      <c r="A41" s="20" t="s">
        <v>241</v>
      </c>
      <c r="B41" s="21" t="s">
        <v>23</v>
      </c>
      <c r="C41" s="33">
        <v>18044.773290000001</v>
      </c>
      <c r="D41" s="28">
        <f>IF(OR(11665.59762="",18044.77329=""),"-",18044.77329/11665.59762*100)</f>
        <v>154.68365940432633</v>
      </c>
      <c r="E41" s="28">
        <f>IF(11665.59762="","-",11665.59762/902994.52425*100)</f>
        <v>1.2918791096423419</v>
      </c>
      <c r="F41" s="28">
        <f>IF(18044.77329="","-",18044.77329/1459101.16692*100)</f>
        <v>1.2367047398153006</v>
      </c>
      <c r="G41" s="28">
        <f>IF(OR(824887.0263="",13229.99367="",11665.59762=""),"-",(11665.59762-13229.99367)/824887.0263*100)</f>
        <v>-0.18964973385713671</v>
      </c>
      <c r="H41" s="28">
        <f>IF(OR(902994.52425="",18044.77329="",11665.59762=""),"-",(18044.77329-11665.59762)/902994.52425*100)</f>
        <v>0.70644677223246188</v>
      </c>
      <c r="I41" s="20"/>
      <c r="J41" s="21"/>
      <c r="K41" s="17"/>
    </row>
    <row r="42" spans="1:11" s="7" customFormat="1" x14ac:dyDescent="0.25">
      <c r="A42" s="20" t="s">
        <v>242</v>
      </c>
      <c r="B42" s="21" t="s">
        <v>24</v>
      </c>
      <c r="C42" s="33">
        <v>1395.1611800000001</v>
      </c>
      <c r="D42" s="28" t="s">
        <v>405</v>
      </c>
      <c r="E42" s="28">
        <f>IF(267.16589="","-",267.16589/902994.52425*100)</f>
        <v>2.9586656710006071E-2</v>
      </c>
      <c r="F42" s="28">
        <f>IF(1395.16118="","-",1395.16118/1459101.16692*100)</f>
        <v>9.5617851018859099E-2</v>
      </c>
      <c r="G42" s="28">
        <f>IF(OR(824887.0263="",412.57988="",267.16589=""),"-",(267.16589-412.57988)/824887.0263*100)</f>
        <v>-1.762835216990247E-2</v>
      </c>
      <c r="H42" s="28">
        <f>IF(OR(902994.52425="",1395.16118="",267.16589=""),"-",(1395.16118-267.16589)/902994.52425*100)</f>
        <v>0.1249171794188762</v>
      </c>
      <c r="I42" s="20"/>
      <c r="J42" s="21"/>
      <c r="K42" s="17"/>
    </row>
    <row r="43" spans="1:11" s="7" customFormat="1" x14ac:dyDescent="0.25">
      <c r="A43" s="20" t="s">
        <v>243</v>
      </c>
      <c r="B43" s="21" t="s">
        <v>151</v>
      </c>
      <c r="C43" s="33">
        <v>1009.11612</v>
      </c>
      <c r="D43" s="28" t="s">
        <v>100</v>
      </c>
      <c r="E43" s="28">
        <f>IF(625.29336="","-",625.29336/902994.52425*100)</f>
        <v>6.9246639177502192E-2</v>
      </c>
      <c r="F43" s="28">
        <f>IF(1009.11612="","-",1009.11612/1459101.16692*100)</f>
        <v>6.9160120139587847E-2</v>
      </c>
      <c r="G43" s="28">
        <f>IF(OR(824887.0263="",259.28248="",625.29336=""),"-",(625.29336-259.28248)/824887.0263*100)</f>
        <v>4.4371031223721401E-2</v>
      </c>
      <c r="H43" s="28">
        <f>IF(OR(902994.52425="",1009.11612="",625.29336=""),"-",(1009.11612-625.29336)/902994.52425*100)</f>
        <v>4.250554678820357E-2</v>
      </c>
      <c r="I43" s="20"/>
      <c r="J43" s="21"/>
      <c r="K43" s="17"/>
    </row>
    <row r="44" spans="1:11" s="7" customFormat="1" ht="16.5" customHeight="1" x14ac:dyDescent="0.25">
      <c r="A44" s="20" t="s">
        <v>244</v>
      </c>
      <c r="B44" s="21" t="s">
        <v>152</v>
      </c>
      <c r="C44" s="33">
        <v>20573.44312</v>
      </c>
      <c r="D44" s="28">
        <f>IF(OR(25483.13105="",20573.44312=""),"-",20573.44312/25483.13105*100)</f>
        <v>80.733576575159518</v>
      </c>
      <c r="E44" s="28">
        <f>IF(25483.13105="","-",25483.13105/902994.52425*100)</f>
        <v>2.8220692779023793</v>
      </c>
      <c r="F44" s="28">
        <f>IF(20573.44312="","-",20573.44312/1459101.16692*100)</f>
        <v>1.4100079957737437</v>
      </c>
      <c r="G44" s="28">
        <f>IF(OR(824887.0263="",12932.63223="",25483.13105=""),"-",(25483.13105-12932.63223)/824887.0263*100)</f>
        <v>1.5214809325217289</v>
      </c>
      <c r="H44" s="28">
        <f>IF(OR(902994.52425="",20573.44312="",25483.13105=""),"-",(20573.44312-25483.13105)/902994.52425*100)</f>
        <v>-0.54371181642301081</v>
      </c>
      <c r="I44" s="20"/>
      <c r="J44" s="21"/>
      <c r="K44" s="17"/>
    </row>
    <row r="45" spans="1:11" s="7" customFormat="1" ht="42" customHeight="1" x14ac:dyDescent="0.25">
      <c r="A45" s="20" t="s">
        <v>245</v>
      </c>
      <c r="B45" s="21" t="s">
        <v>153</v>
      </c>
      <c r="C45" s="33">
        <v>4020.3423499999999</v>
      </c>
      <c r="D45" s="28">
        <f>IF(OR(3502.28542="",4020.34235=""),"-",4020.34235/3502.28542*100)</f>
        <v>114.79196775458693</v>
      </c>
      <c r="E45" s="28">
        <f>IF(3502.28542="","-",3502.28542/902994.52425*100)</f>
        <v>0.38785234305921096</v>
      </c>
      <c r="F45" s="28">
        <f>IF(4020.34235="","-",4020.34235/1459101.16692*100)</f>
        <v>0.27553554483727094</v>
      </c>
      <c r="G45" s="28">
        <f>IF(OR(824887.0263="",4056.40219="",3502.28542=""),"-",(3502.28542-4056.40219)/824887.0263*100)</f>
        <v>-6.7174867870751914E-2</v>
      </c>
      <c r="H45" s="28">
        <f>IF(OR(902994.52425="",4020.34235="",3502.28542=""),"-",(4020.34235-3502.28542)/902994.52425*100)</f>
        <v>5.7370993520728393E-2</v>
      </c>
      <c r="I45" s="20"/>
      <c r="J45" s="21"/>
      <c r="K45" s="17"/>
    </row>
    <row r="46" spans="1:11" x14ac:dyDescent="0.25">
      <c r="A46" s="20" t="s">
        <v>246</v>
      </c>
      <c r="B46" s="21" t="s">
        <v>154</v>
      </c>
      <c r="C46" s="33">
        <v>71.217960000000005</v>
      </c>
      <c r="D46" s="28">
        <f>IF(OR(47.34034="",71.21796=""),"-",71.21796/47.34034*100)</f>
        <v>150.4382097804959</v>
      </c>
      <c r="E46" s="28">
        <f>IF(47.34034="","-",47.34034/902994.52425*100)</f>
        <v>5.2425943600620892E-3</v>
      </c>
      <c r="F46" s="28">
        <f>IF(71.21796="","-",71.21796/1459101.16692*100)</f>
        <v>4.8809473677780121E-3</v>
      </c>
      <c r="G46" s="28">
        <f>IF(OR(824887.0263="",0.12792="",47.34034=""),"-",(47.34034-0.12792)/824887.0263*100)</f>
        <v>5.7235013395433723E-3</v>
      </c>
      <c r="H46" s="28">
        <f>IF(OR(902994.52425="",71.21796="",47.34034=""),"-",(71.21796-47.34034)/902994.52425*100)</f>
        <v>2.6442707412685628E-3</v>
      </c>
      <c r="I46" s="20"/>
      <c r="J46" s="21"/>
      <c r="K46" s="17"/>
    </row>
    <row r="47" spans="1:11" x14ac:dyDescent="0.25">
      <c r="A47" s="20" t="s">
        <v>247</v>
      </c>
      <c r="B47" s="21" t="s">
        <v>25</v>
      </c>
      <c r="C47" s="33">
        <v>988.46600000000001</v>
      </c>
      <c r="D47" s="28">
        <f>IF(OR(630.64126="",988.466=""),"-",988.466/630.64126*100)</f>
        <v>156.73982384216345</v>
      </c>
      <c r="E47" s="28">
        <f>IF(630.64126="","-",630.64126/902994.52425*100)</f>
        <v>6.9838879756639896E-2</v>
      </c>
      <c r="F47" s="28">
        <f>IF(988.466="","-",988.466/1459101.16692*100)</f>
        <v>6.7744857067487757E-2</v>
      </c>
      <c r="G47" s="28">
        <f>IF(OR(824887.0263="",703.12218="",630.64126=""),"-",(630.64126-703.12218)/824887.0263*100)</f>
        <v>-8.7867693016230874E-3</v>
      </c>
      <c r="H47" s="28">
        <f>IF(OR(902994.52425="",988.466="",630.64126=""),"-",(988.466-630.64126)/902994.52425*100)</f>
        <v>3.962645734725783E-2</v>
      </c>
      <c r="I47" s="20"/>
      <c r="J47" s="21"/>
      <c r="K47" s="17"/>
    </row>
    <row r="48" spans="1:11" x14ac:dyDescent="0.25">
      <c r="A48" s="20" t="s">
        <v>248</v>
      </c>
      <c r="B48" s="21" t="s">
        <v>26</v>
      </c>
      <c r="C48" s="33">
        <v>1897.0205900000001</v>
      </c>
      <c r="D48" s="28">
        <f>IF(OR(1354.13407="",1897.02059=""),"-",1897.02059/1354.13407*100)</f>
        <v>140.09104652392358</v>
      </c>
      <c r="E48" s="28">
        <f>IF(1354.13407="","-",1354.13407/902994.52425*100)</f>
        <v>0.14996038554327923</v>
      </c>
      <c r="F48" s="28">
        <f>IF(1897.02059="","-",1897.02059/1459101.16692*100)</f>
        <v>0.13001295818331771</v>
      </c>
      <c r="G48" s="28">
        <f>IF(OR(824887.0263="",680.26862="",1354.13407=""),"-",(1354.13407-680.26862)/824887.0263*100)</f>
        <v>8.1691847309394397E-2</v>
      </c>
      <c r="H48" s="28">
        <f>IF(OR(902994.52425="",1897.02059="",1354.13407=""),"-",(1897.02059-1354.13407)/902994.52425*100)</f>
        <v>6.0120687935611254E-2</v>
      </c>
      <c r="I48" s="20"/>
      <c r="J48" s="21"/>
      <c r="K48" s="17"/>
    </row>
    <row r="49" spans="1:11" x14ac:dyDescent="0.25">
      <c r="A49" s="20" t="s">
        <v>249</v>
      </c>
      <c r="B49" s="21" t="s">
        <v>155</v>
      </c>
      <c r="C49" s="33">
        <v>1641.5943199999999</v>
      </c>
      <c r="D49" s="28">
        <f>IF(OR(2354.68771="",1641.59432=""),"-",1641.59432/2354.68771*100)</f>
        <v>69.716010026654445</v>
      </c>
      <c r="E49" s="28">
        <f>IF(2354.68771="","-",2354.68771/902994.52425*100)</f>
        <v>0.26076433984533104</v>
      </c>
      <c r="F49" s="28">
        <f>IF(1641.59432="","-",1641.59432/1459101.16692*100)</f>
        <v>0.11250723097324516</v>
      </c>
      <c r="G49" s="28">
        <f>IF(OR(824887.0263="",829.65021="",2354.68771=""),"-",(2354.68771-829.65021)/824887.0263*100)</f>
        <v>0.18487834714051682</v>
      </c>
      <c r="H49" s="28">
        <f>IF(OR(902994.52425="",1641.59432="",2354.68771=""),"-",(1641.59432-2354.68771)/902994.52425*100)</f>
        <v>-7.8969846532820784E-2</v>
      </c>
      <c r="I49" s="20"/>
      <c r="J49" s="21"/>
      <c r="K49" s="17"/>
    </row>
    <row r="50" spans="1:11" ht="25.5" x14ac:dyDescent="0.25">
      <c r="A50" s="18" t="s">
        <v>250</v>
      </c>
      <c r="B50" s="19" t="s">
        <v>320</v>
      </c>
      <c r="C50" s="55">
        <v>96656.568950000001</v>
      </c>
      <c r="D50" s="26">
        <f>IF(70438.66006="","-",96656.56895/70438.66006*100)</f>
        <v>137.22090804633061</v>
      </c>
      <c r="E50" s="26">
        <f>IF(70438.66006="","-",70438.66006/902994.52425*100)</f>
        <v>7.8005633664837797</v>
      </c>
      <c r="F50" s="26">
        <f>IF(96656.56895="","-",96656.56895/1459101.16692*100)</f>
        <v>6.6243911759752239</v>
      </c>
      <c r="G50" s="26">
        <f>IF(824887.0263="","-",(70438.66006-49967.93643)/824887.0263*100)</f>
        <v>2.4816396642605305</v>
      </c>
      <c r="H50" s="26">
        <f>IF(902994.52425="","-",(96656.56895-70438.66006)/902994.52425*100)</f>
        <v>2.9034405177346798</v>
      </c>
      <c r="I50" s="18"/>
      <c r="J50" s="19"/>
      <c r="K50" s="16"/>
    </row>
    <row r="51" spans="1:11" x14ac:dyDescent="0.25">
      <c r="A51" s="20" t="s">
        <v>251</v>
      </c>
      <c r="B51" s="21" t="s">
        <v>156</v>
      </c>
      <c r="C51" s="33">
        <v>1041.7216699999999</v>
      </c>
      <c r="D51" s="28" t="s">
        <v>279</v>
      </c>
      <c r="E51" s="28">
        <f>IF(403.30825="","-",403.30825/902994.52425*100)</f>
        <v>4.4663421445991121E-2</v>
      </c>
      <c r="F51" s="28">
        <f>IF(1041.72167="","-",1041.72167/1459101.16692*100)</f>
        <v>7.1394752716081936E-2</v>
      </c>
      <c r="G51" s="28">
        <f>IF(OR(824887.0263="",191.57852="",403.30825=""),"-",(403.30825-191.57852)/824887.0263*100)</f>
        <v>2.5667724579171259E-2</v>
      </c>
      <c r="H51" s="28">
        <f>IF(OR(902994.52425="",1041.72167="",403.30825=""),"-",(1041.72167-403.30825)/902994.52425*100)</f>
        <v>7.0699589294879364E-2</v>
      </c>
      <c r="I51" s="20"/>
      <c r="J51" s="21"/>
      <c r="K51" s="17"/>
    </row>
    <row r="52" spans="1:11" x14ac:dyDescent="0.25">
      <c r="A52" s="20" t="s">
        <v>252</v>
      </c>
      <c r="B52" s="21" t="s">
        <v>27</v>
      </c>
      <c r="C52" s="33">
        <v>217.40722</v>
      </c>
      <c r="D52" s="28">
        <f>IF(OR(664.49363="",217.40722=""),"-",217.40722/664.49363*100)</f>
        <v>32.717728234655915</v>
      </c>
      <c r="E52" s="28">
        <f>IF(664.49363="","-",664.49363/902994.52425*100)</f>
        <v>7.3587780673632364E-2</v>
      </c>
      <c r="F52" s="28">
        <f>IF(217.40722="","-",217.40722/1459101.16692*100)</f>
        <v>1.4900078550339483E-2</v>
      </c>
      <c r="G52" s="28">
        <f>IF(OR(824887.0263="",437.2302="",664.49363=""),"-",(664.49363-437.2302)/824887.0263*100)</f>
        <v>2.7550855178239582E-2</v>
      </c>
      <c r="H52" s="28">
        <f>IF(OR(902994.52425="",217.40722="",664.49363=""),"-",(217.40722-664.49363)/902994.52425*100)</f>
        <v>-4.9511530578918682E-2</v>
      </c>
      <c r="I52" s="20"/>
      <c r="J52" s="21"/>
      <c r="K52" s="17"/>
    </row>
    <row r="53" spans="1:11" x14ac:dyDescent="0.25">
      <c r="A53" s="20" t="s">
        <v>253</v>
      </c>
      <c r="B53" s="21" t="s">
        <v>157</v>
      </c>
      <c r="C53" s="33">
        <v>10021.60973</v>
      </c>
      <c r="D53" s="28">
        <f>IF(OR(7902.47457="",10021.60973=""),"-",10021.60973/7902.47457*100)</f>
        <v>126.81609591057502</v>
      </c>
      <c r="E53" s="28">
        <f>IF(7902.47457="","-",7902.47457/902994.52425*100)</f>
        <v>0.87514091810950434</v>
      </c>
      <c r="F53" s="28">
        <f>IF(10021.60973="","-",10021.60973/1459101.16692*100)</f>
        <v>0.68683446749305954</v>
      </c>
      <c r="G53" s="28">
        <f>IF(OR(824887.0263="",5472.30488="",7902.47457=""),"-",(7902.47457-5472.30488)/824887.0263*100)</f>
        <v>0.29460636578325594</v>
      </c>
      <c r="H53" s="28">
        <f>IF(OR(902994.52425="",10021.60973="",7902.47457=""),"-",(10021.60973-7902.47457)/902994.52425*100)</f>
        <v>0.23467862795293135</v>
      </c>
      <c r="I53" s="20"/>
      <c r="J53" s="21"/>
      <c r="K53" s="17"/>
    </row>
    <row r="54" spans="1:11" ht="26.25" customHeight="1" x14ac:dyDescent="0.25">
      <c r="A54" s="20" t="s">
        <v>254</v>
      </c>
      <c r="B54" s="21" t="s">
        <v>158</v>
      </c>
      <c r="C54" s="33">
        <v>5977.4726099999998</v>
      </c>
      <c r="D54" s="28" t="s">
        <v>101</v>
      </c>
      <c r="E54" s="28">
        <f>IF(3193.82095="","-",3193.82095/902994.52425*100)</f>
        <v>0.35369217245837575</v>
      </c>
      <c r="F54" s="28">
        <f>IF(5977.47261="","-",5977.47261/1459101.16692*100)</f>
        <v>0.40966813991505324</v>
      </c>
      <c r="G54" s="28">
        <f>IF(OR(824887.0263="",2792.93644="",3193.82095=""),"-",(3193.82095-2792.93644)/824887.0263*100)</f>
        <v>4.8598716820429627E-2</v>
      </c>
      <c r="H54" s="28">
        <f>IF(OR(902994.52425="",5977.47261="",3193.82095=""),"-",(5977.47261-3193.82095)/902994.52425*100)</f>
        <v>0.30826894131080329</v>
      </c>
      <c r="I54" s="20"/>
      <c r="J54" s="21"/>
      <c r="K54" s="17"/>
    </row>
    <row r="55" spans="1:11" ht="14.25" customHeight="1" x14ac:dyDescent="0.25">
      <c r="A55" s="20" t="s">
        <v>255</v>
      </c>
      <c r="B55" s="21" t="s">
        <v>159</v>
      </c>
      <c r="C55" s="33">
        <v>31168.166720000001</v>
      </c>
      <c r="D55" s="28">
        <f>IF(OR(27150.63703="",31168.16672=""),"-",31168.16672/27150.63703*100)</f>
        <v>114.79718389502554</v>
      </c>
      <c r="E55" s="28">
        <f>IF(27150.63703="","-",27150.63703/902994.52425*100)</f>
        <v>3.0067332969212077</v>
      </c>
      <c r="F55" s="28">
        <f>IF(31168.16672="","-",31168.16672/1459101.16692*100)</f>
        <v>2.1361210193390856</v>
      </c>
      <c r="G55" s="28">
        <f>IF(OR(824887.0263="",18020.27045="",27150.63703=""),"-",(27150.63703-18020.27045)/824887.0263*100)</f>
        <v>1.1068626719653867</v>
      </c>
      <c r="H55" s="28">
        <f>IF(OR(902994.52425="",31168.16672="",27150.63703=""),"-",(31168.16672-27150.63703)/902994.52425*100)</f>
        <v>0.44491185517839527</v>
      </c>
      <c r="I55" s="20"/>
      <c r="J55" s="21"/>
      <c r="K55" s="17"/>
    </row>
    <row r="56" spans="1:11" ht="15.75" customHeight="1" x14ac:dyDescent="0.25">
      <c r="A56" s="20" t="s">
        <v>256</v>
      </c>
      <c r="B56" s="21" t="s">
        <v>28</v>
      </c>
      <c r="C56" s="33">
        <v>28646.689600000002</v>
      </c>
      <c r="D56" s="28" t="s">
        <v>99</v>
      </c>
      <c r="E56" s="28">
        <f>IF(16958.40567="","-",16958.40567/902994.52425*100)</f>
        <v>1.8780186606430576</v>
      </c>
      <c r="F56" s="28">
        <f>IF(28646.6896="","-",28646.6896/1459101.16692*100)</f>
        <v>1.9633107182327851</v>
      </c>
      <c r="G56" s="28">
        <f>IF(OR(824887.0263="",14357.98444="",16958.40567=""),"-",(16958.40567-14357.98444)/824887.0263*100)</f>
        <v>0.31524574239748832</v>
      </c>
      <c r="H56" s="28">
        <f>IF(OR(902994.52425="",28646.6896="",16958.40567=""),"-",(28646.6896-16958.40567)/902994.52425*100)</f>
        <v>1.2943914515658814</v>
      </c>
      <c r="I56" s="20"/>
      <c r="J56" s="21"/>
      <c r="K56" s="17"/>
    </row>
    <row r="57" spans="1:11" x14ac:dyDescent="0.25">
      <c r="A57" s="20" t="s">
        <v>257</v>
      </c>
      <c r="B57" s="21" t="s">
        <v>160</v>
      </c>
      <c r="C57" s="33">
        <v>3925.2760800000001</v>
      </c>
      <c r="D57" s="28" t="s">
        <v>101</v>
      </c>
      <c r="E57" s="28">
        <f>IF(2098.981="","-",2098.981/902994.52425*100)</f>
        <v>0.23244670301221931</v>
      </c>
      <c r="F57" s="28">
        <f>IF(3925.27608="","-",3925.27608/1459101.16692*100)</f>
        <v>0.26902014534645469</v>
      </c>
      <c r="G57" s="28">
        <f>IF(OR(824887.0263="",490.86105="",2098.981=""),"-",(2098.981-490.86105)/824887.0263*100)</f>
        <v>0.19495032637537801</v>
      </c>
      <c r="H57" s="28">
        <f>IF(OR(902994.52425="",3925.27608="",2098.981=""),"-",(3925.27608-2098.981)/902994.52425*100)</f>
        <v>0.20224874359197975</v>
      </c>
      <c r="I57" s="20"/>
      <c r="J57" s="21"/>
      <c r="K57" s="17"/>
    </row>
    <row r="58" spans="1:11" x14ac:dyDescent="0.25">
      <c r="A58" s="20" t="s">
        <v>258</v>
      </c>
      <c r="B58" s="21" t="s">
        <v>29</v>
      </c>
      <c r="C58" s="33">
        <v>1068.8943099999999</v>
      </c>
      <c r="D58" s="28" t="s">
        <v>91</v>
      </c>
      <c r="E58" s="28">
        <f>IF(506.27263="","-",506.27263/902994.52425*100)</f>
        <v>5.6065968995824722E-2</v>
      </c>
      <c r="F58" s="28">
        <f>IF(1068.89431="","-",1068.89431/1459101.16692*100)</f>
        <v>7.3257038938315477E-2</v>
      </c>
      <c r="G58" s="28">
        <f>IF(OR(824887.0263="",648.1373="",506.27263=""),"-",(506.27263-648.1373)/824887.0263*100)</f>
        <v>-1.7198072642302144E-2</v>
      </c>
      <c r="H58" s="28">
        <f>IF(OR(902994.52425="",1068.89431="",506.27263=""),"-",(1068.89431-506.27263)/902994.52425*100)</f>
        <v>6.2306211709013022E-2</v>
      </c>
      <c r="I58" s="20"/>
      <c r="J58" s="21"/>
      <c r="K58" s="17"/>
    </row>
    <row r="59" spans="1:11" x14ac:dyDescent="0.25">
      <c r="A59" s="20" t="s">
        <v>259</v>
      </c>
      <c r="B59" s="21" t="s">
        <v>30</v>
      </c>
      <c r="C59" s="33">
        <v>14589.33101</v>
      </c>
      <c r="D59" s="28">
        <f>IF(OR(11560.26633="",14589.33101=""),"-",14589.33101/11560.26633*100)</f>
        <v>126.2023779862172</v>
      </c>
      <c r="E59" s="28">
        <f>IF(11560.26633="","-",11560.26633/902994.52425*100)</f>
        <v>1.2802144442239678</v>
      </c>
      <c r="F59" s="28">
        <f>IF(14589.33101="","-",14589.33101/1459101.16692*100)</f>
        <v>0.99988481544404839</v>
      </c>
      <c r="G59" s="28">
        <f>IF(OR(824887.0263="",7556.63315="",11560.26633=""),"-",(11560.26633-7556.63315)/824887.0263*100)</f>
        <v>0.48535533380348433</v>
      </c>
      <c r="H59" s="28">
        <f>IF(OR(902994.52425="",14589.33101="",11560.26633=""),"-",(14589.33101-11560.26633)/902994.52425*100)</f>
        <v>0.33544662770971384</v>
      </c>
      <c r="I59" s="20"/>
      <c r="J59" s="21"/>
      <c r="K59" s="17"/>
    </row>
    <row r="60" spans="1:11" ht="25.5" x14ac:dyDescent="0.25">
      <c r="A60" s="18" t="s">
        <v>260</v>
      </c>
      <c r="B60" s="19" t="s">
        <v>161</v>
      </c>
      <c r="C60" s="55">
        <v>226608.17129</v>
      </c>
      <c r="D60" s="26">
        <f>IF(235344.42195="","-",226608.17129/235344.42195*100)</f>
        <v>96.287887094321675</v>
      </c>
      <c r="E60" s="26">
        <f>IF(235344.42195="","-",235344.42195/902994.52425*100)</f>
        <v>26.062663242113231</v>
      </c>
      <c r="F60" s="26">
        <f>IF(226608.17129="","-",226608.17129/1459101.16692*100)</f>
        <v>15.530668909568801</v>
      </c>
      <c r="G60" s="26">
        <f>IF(824887.0263="","-",(235344.42195-157905.74453)/824887.0263*100)</f>
        <v>9.3877918976794046</v>
      </c>
      <c r="H60" s="26">
        <f>IF(902994.52425="","-",(226608.17129-235344.42195)/902994.52425*100)</f>
        <v>-0.96747548577396492</v>
      </c>
      <c r="I60" s="18"/>
      <c r="J60" s="19"/>
      <c r="K60" s="16"/>
    </row>
    <row r="61" spans="1:11" ht="25.5" x14ac:dyDescent="0.25">
      <c r="A61" s="20" t="s">
        <v>261</v>
      </c>
      <c r="B61" s="21" t="s">
        <v>162</v>
      </c>
      <c r="C61" s="33">
        <v>831.21139000000005</v>
      </c>
      <c r="D61" s="28">
        <f>IF(OR(577.46747="",831.21139=""),"-",831.21139/577.46747*100)</f>
        <v>143.94081626797092</v>
      </c>
      <c r="E61" s="28">
        <f>IF(577.46747="","-",577.46747/902994.52425*100)</f>
        <v>6.3950273727255105E-2</v>
      </c>
      <c r="F61" s="28">
        <f>IF(831.21139="","-",831.21139/1459101.16692*100)</f>
        <v>5.696735831927232E-2</v>
      </c>
      <c r="G61" s="28">
        <f>IF(OR(824887.0263="",668.96195="",577.46747=""),"-",(577.46747-668.96195)/824887.0263*100)</f>
        <v>-1.1091758881260993E-2</v>
      </c>
      <c r="H61" s="28">
        <f>IF(OR(902994.52425="",831.21139="",577.46747=""),"-",(831.21139-577.46747)/902994.52425*100)</f>
        <v>2.8100272281357634E-2</v>
      </c>
      <c r="I61" s="20"/>
      <c r="J61" s="21"/>
      <c r="K61" s="17"/>
    </row>
    <row r="62" spans="1:11" ht="25.5" x14ac:dyDescent="0.25">
      <c r="A62" s="20" t="s">
        <v>262</v>
      </c>
      <c r="B62" s="21" t="s">
        <v>163</v>
      </c>
      <c r="C62" s="33">
        <v>3458.5946399999998</v>
      </c>
      <c r="D62" s="28">
        <f>IF(OR(4772.01722="",3458.59464=""),"-",3458.59464/4772.01722*100)</f>
        <v>72.47657501118573</v>
      </c>
      <c r="E62" s="28">
        <f>IF(4772.01722="","-",4772.01722/902994.52425*100)</f>
        <v>0.52846579816898598</v>
      </c>
      <c r="F62" s="28">
        <f>IF(3458.59464="","-",3458.59464/1459101.16692*100)</f>
        <v>0.23703597244738744</v>
      </c>
      <c r="G62" s="28">
        <f>IF(OR(824887.0263="",2290.40597="",4772.01722=""),"-",(4772.01722-2290.40597)/824887.0263*100)</f>
        <v>0.30084256036019558</v>
      </c>
      <c r="H62" s="28">
        <f>IF(OR(902994.52425="",3458.59464="",4772.01722=""),"-",(3458.59464-4772.01722)/902994.52425*100)</f>
        <v>-0.14545188755057945</v>
      </c>
      <c r="I62" s="20"/>
      <c r="J62" s="21"/>
      <c r="K62" s="17"/>
    </row>
    <row r="63" spans="1:11" ht="25.5" x14ac:dyDescent="0.25">
      <c r="A63" s="20" t="s">
        <v>263</v>
      </c>
      <c r="B63" s="21" t="s">
        <v>164</v>
      </c>
      <c r="C63" s="33">
        <v>1233.27782</v>
      </c>
      <c r="D63" s="28">
        <f>IF(OR(1716.43941="",1233.27782=""),"-",1233.27782/1716.43941*100)</f>
        <v>71.850938216339372</v>
      </c>
      <c r="E63" s="28">
        <f>IF(1716.43941="","-",1716.43941/902994.52425*100)</f>
        <v>0.19008303637562174</v>
      </c>
      <c r="F63" s="28">
        <f>IF(1233.27782="","-",1233.27782/1459101.16692*100)</f>
        <v>8.4523119298390528E-2</v>
      </c>
      <c r="G63" s="28">
        <f>IF(OR(824887.0263="",952.0164="",1716.43941=""),"-",(1716.43941-952.0164)/824887.0263*100)</f>
        <v>9.2670024576430893E-2</v>
      </c>
      <c r="H63" s="28">
        <f>IF(OR(902994.52425="",1233.27782="",1716.43941=""),"-",(1233.27782-1716.43941)/902994.52425*100)</f>
        <v>-5.3506591349631864E-2</v>
      </c>
      <c r="I63" s="20"/>
      <c r="J63" s="21"/>
      <c r="K63" s="17"/>
    </row>
    <row r="64" spans="1:11" ht="26.25" customHeight="1" x14ac:dyDescent="0.25">
      <c r="A64" s="20" t="s">
        <v>264</v>
      </c>
      <c r="B64" s="21" t="s">
        <v>165</v>
      </c>
      <c r="C64" s="33">
        <v>9164.1643399999994</v>
      </c>
      <c r="D64" s="28">
        <f>IF(OR(8178.67601="",9164.16434=""),"-",9164.16434/8178.67601*100)</f>
        <v>112.04948488966981</v>
      </c>
      <c r="E64" s="28">
        <f>IF(8178.67601="","-",8178.67601/902994.52425*100)</f>
        <v>0.90572819550516792</v>
      </c>
      <c r="F64" s="28">
        <f>IF(9164.16434="","-",9164.16434/1459101.16692*100)</f>
        <v>0.62806915296658483</v>
      </c>
      <c r="G64" s="28">
        <f>IF(OR(824887.0263="",7079.81852="",8178.67601=""),"-",(8178.67601-7079.81852)/824887.0263*100)</f>
        <v>0.13321308918251321</v>
      </c>
      <c r="H64" s="28">
        <f>IF(OR(902994.52425="",9164.16434="",8178.67601=""),"-",(9164.16434-8178.67601)/902994.52425*100)</f>
        <v>0.10913558205887418</v>
      </c>
      <c r="I64" s="20"/>
      <c r="J64" s="21"/>
      <c r="K64" s="17"/>
    </row>
    <row r="65" spans="1:11" ht="28.5" customHeight="1" x14ac:dyDescent="0.25">
      <c r="A65" s="20" t="s">
        <v>265</v>
      </c>
      <c r="B65" s="21" t="s">
        <v>166</v>
      </c>
      <c r="C65" s="33">
        <v>850.55327999999997</v>
      </c>
      <c r="D65" s="28">
        <f>IF(OR(734.19133="",850.55328=""),"-",850.55328/734.19133*100)</f>
        <v>115.84899538380546</v>
      </c>
      <c r="E65" s="28">
        <f>IF(734.19133="","-",734.19133/902994.52425*100)</f>
        <v>8.1306288164903012E-2</v>
      </c>
      <c r="F65" s="28">
        <f>IF(850.55328="","-",850.55328/1459101.16692*100)</f>
        <v>5.8292961398654981E-2</v>
      </c>
      <c r="G65" s="28">
        <f>IF(OR(824887.0263="",424.13602="",734.19133=""),"-",(734.19133-424.13602)/824887.0263*100)</f>
        <v>3.758760898334667E-2</v>
      </c>
      <c r="H65" s="28">
        <f>IF(OR(902994.52425="",850.55328="",734.19133=""),"-",(850.55328-734.19133)/902994.52425*100)</f>
        <v>1.2886229857999049E-2</v>
      </c>
      <c r="I65" s="20"/>
      <c r="J65" s="21"/>
      <c r="K65" s="17"/>
    </row>
    <row r="66" spans="1:11" ht="39.75" customHeight="1" x14ac:dyDescent="0.25">
      <c r="A66" s="20" t="s">
        <v>266</v>
      </c>
      <c r="B66" s="21" t="s">
        <v>167</v>
      </c>
      <c r="C66" s="33">
        <v>604.63634999999999</v>
      </c>
      <c r="D66" s="28">
        <f>IF(OR(1049.89198="",604.63635=""),"-",604.63635/1049.89198*100)</f>
        <v>57.59033896039476</v>
      </c>
      <c r="E66" s="28">
        <f>IF(1049.89198="","-",1049.89198/902994.52425*100)</f>
        <v>0.11626781246231906</v>
      </c>
      <c r="F66" s="28">
        <f>IF(604.63635="","-",604.63635/1459101.16692*100)</f>
        <v>4.1438960074051609E-2</v>
      </c>
      <c r="G66" s="28">
        <f>IF(OR(824887.0263="",600.27312="",1049.89198=""),"-",(1049.89198-600.27312)/824887.0263*100)</f>
        <v>5.4506719788859903E-2</v>
      </c>
      <c r="H66" s="28">
        <f>IF(OR(902994.52425="",604.63635="",1049.89198=""),"-",(604.63635-1049.89198)/902994.52425*100)</f>
        <v>-4.9308785163433413E-2</v>
      </c>
      <c r="I66" s="20"/>
      <c r="J66" s="21"/>
      <c r="K66" s="17"/>
    </row>
    <row r="67" spans="1:11" ht="51" x14ac:dyDescent="0.25">
      <c r="A67" s="20" t="s">
        <v>267</v>
      </c>
      <c r="B67" s="21" t="s">
        <v>168</v>
      </c>
      <c r="C67" s="33">
        <v>178602.35174000001</v>
      </c>
      <c r="D67" s="28">
        <f>IF(OR(201278.70255="",178602.35174=""),"-",178602.35174/201278.70255*100)</f>
        <v>88.733854837738278</v>
      </c>
      <c r="E67" s="28">
        <f>IF(201278.70255="","-",201278.70255/902994.52425*100)</f>
        <v>22.290135448736635</v>
      </c>
      <c r="F67" s="28">
        <f>IF(178602.35174="","-",178602.35174/1459101.16692*100)</f>
        <v>12.240573566054346</v>
      </c>
      <c r="G67" s="28">
        <f>IF(OR(824887.0263="",138133.044="",201278.70255=""),"-",(201278.70255-138133.044)/824887.0263*100)</f>
        <v>7.6550674864214425</v>
      </c>
      <c r="H67" s="28">
        <f>IF(OR(902994.52425="",178602.35174="",201278.70255=""),"-",(178602.35174-201278.70255)/902994.52425*100)</f>
        <v>-2.5112390165194265</v>
      </c>
      <c r="I67" s="20"/>
      <c r="J67" s="21"/>
      <c r="K67" s="17"/>
    </row>
    <row r="68" spans="1:11" ht="25.5" x14ac:dyDescent="0.25">
      <c r="A68" s="20" t="s">
        <v>268</v>
      </c>
      <c r="B68" s="21" t="s">
        <v>169</v>
      </c>
      <c r="C68" s="33">
        <v>31463.401959999999</v>
      </c>
      <c r="D68" s="28" t="s">
        <v>101</v>
      </c>
      <c r="E68" s="28">
        <f>IF(16718.60251="","-",16718.60251/902994.52425*100)</f>
        <v>1.8514622249659785</v>
      </c>
      <c r="F68" s="28">
        <f>IF(31463.40196="","-",31463.40196/1459101.16692*100)</f>
        <v>2.1563550679913264</v>
      </c>
      <c r="G68" s="28">
        <f>IF(OR(824887.0263="",7646.51602="",16718.60251=""),"-",(16718.60251-7646.51602)/824887.0263*100)</f>
        <v>1.0997974511361279</v>
      </c>
      <c r="H68" s="28">
        <f>IF(OR(902994.52425="",31463.40196="",16718.60251=""),"-",(31463.40196-16718.60251)/902994.52425*100)</f>
        <v>1.6328780578427742</v>
      </c>
      <c r="I68" s="20"/>
      <c r="J68" s="21"/>
      <c r="K68" s="17"/>
    </row>
    <row r="69" spans="1:11" x14ac:dyDescent="0.25">
      <c r="A69" s="20" t="s">
        <v>269</v>
      </c>
      <c r="B69" s="21" t="s">
        <v>31</v>
      </c>
      <c r="C69" s="33">
        <v>399.97976999999997</v>
      </c>
      <c r="D69" s="28">
        <f>IF(OR(318.43347="",399.97977=""),"-",399.97977/318.43347*100)</f>
        <v>125.60858316809474</v>
      </c>
      <c r="E69" s="28">
        <f>IF(318.43347="","-",318.43347/902994.52425*100)</f>
        <v>3.5264164006363292E-2</v>
      </c>
      <c r="F69" s="28">
        <f>IF(399.97977="","-",399.97977/1459101.16692*100)</f>
        <v>2.7412751018787321E-2</v>
      </c>
      <c r="G69" s="28">
        <f>IF(OR(824887.0263="",110.57253="",318.43347=""),"-",(318.43347-110.57253)/824887.0263*100)</f>
        <v>2.5198716111750782E-2</v>
      </c>
      <c r="H69" s="28">
        <f>IF(OR(902994.52425="",399.97977="",318.43347=""),"-",(399.97977-318.43347)/902994.52425*100)</f>
        <v>9.0306527681028696E-3</v>
      </c>
      <c r="I69" s="20"/>
      <c r="J69" s="21"/>
      <c r="K69" s="17"/>
    </row>
    <row r="70" spans="1:11" x14ac:dyDescent="0.25">
      <c r="A70" s="18" t="s">
        <v>270</v>
      </c>
      <c r="B70" s="19" t="s">
        <v>32</v>
      </c>
      <c r="C70" s="55">
        <v>204148.17962000001</v>
      </c>
      <c r="D70" s="26">
        <f>IF(191928.27855="","-",204148.17962/191928.27855*100)</f>
        <v>106.3669101616084</v>
      </c>
      <c r="E70" s="26">
        <f>IF(191928.27855="","-",191928.27855/902994.52425*100)</f>
        <v>21.254644784187349</v>
      </c>
      <c r="F70" s="26">
        <f>IF(204148.17962="","-",204148.17962/1459101.16692*100)</f>
        <v>13.99136566047261</v>
      </c>
      <c r="G70" s="26">
        <f>IF(824887.0263="","-",(191928.27855-148173.66043)/824887.0263*100)</f>
        <v>5.3043164366712983</v>
      </c>
      <c r="H70" s="26">
        <f>IF(902994.52425="","-",(204148.17962-191928.27855)/902994.52425*100)</f>
        <v>1.3532641385781938</v>
      </c>
      <c r="I70" s="18"/>
      <c r="J70" s="19"/>
      <c r="K70" s="16"/>
    </row>
    <row r="71" spans="1:11" ht="38.25" x14ac:dyDescent="0.25">
      <c r="A71" s="20" t="s">
        <v>271</v>
      </c>
      <c r="B71" s="21" t="s">
        <v>195</v>
      </c>
      <c r="C71" s="33">
        <v>5879.9939000000004</v>
      </c>
      <c r="D71" s="28">
        <f>IF(OR(5831.90505="",5879.9939=""),"-",5879.9939/5831.90505*100)</f>
        <v>100.82458218348394</v>
      </c>
      <c r="E71" s="28">
        <f>IF(5831.90505="","-",5831.90505/902994.52425*100)</f>
        <v>0.6458405774767908</v>
      </c>
      <c r="F71" s="28">
        <f>IF(5879.9939="","-",5879.9939/1459101.16692*100)</f>
        <v>0.40298740301962832</v>
      </c>
      <c r="G71" s="28">
        <f>IF(OR(824887.0263="",3127.55794="",5831.90505=""),"-",(5831.90505-3127.55794)/824887.0263*100)</f>
        <v>0.32784454401352969</v>
      </c>
      <c r="H71" s="28">
        <f>IF(OR(902994.52425="",5879.9939="",5831.90505=""),"-",(5879.9939-5831.90505)/902994.52425*100)</f>
        <v>5.3254863355834013E-3</v>
      </c>
      <c r="I71" s="20"/>
      <c r="J71" s="21"/>
      <c r="K71" s="17"/>
    </row>
    <row r="72" spans="1:11" x14ac:dyDescent="0.25">
      <c r="A72" s="20" t="s">
        <v>272</v>
      </c>
      <c r="B72" s="21" t="s">
        <v>170</v>
      </c>
      <c r="C72" s="33">
        <v>51685.917909999996</v>
      </c>
      <c r="D72" s="28">
        <f>IF(OR(57248.36406="",51685.91791=""),"-",51685.91791/57248.36406*100)</f>
        <v>90.283659207850548</v>
      </c>
      <c r="E72" s="28">
        <f>IF(57248.36406="","-",57248.36406/902994.52425*100)</f>
        <v>6.3398351288507282</v>
      </c>
      <c r="F72" s="28">
        <f>IF(51685.91791="","-",51685.91791/1459101.16692*100)</f>
        <v>3.542312149547739</v>
      </c>
      <c r="G72" s="28">
        <f>IF(OR(824887.0263="",36397.24206="",57248.36406=""),"-",(57248.36406-36397.24206)/824887.0263*100)</f>
        <v>2.5277548725098677</v>
      </c>
      <c r="H72" s="28">
        <f>IF(OR(902994.52425="",51685.91791="",57248.36406=""),"-",(51685.91791-57248.36406)/902994.52425*100)</f>
        <v>-0.6159999867795436</v>
      </c>
      <c r="I72" s="20"/>
      <c r="J72" s="21"/>
      <c r="K72" s="17"/>
    </row>
    <row r="73" spans="1:11" x14ac:dyDescent="0.25">
      <c r="A73" s="20" t="s">
        <v>273</v>
      </c>
      <c r="B73" s="21" t="s">
        <v>171</v>
      </c>
      <c r="C73" s="33">
        <v>5075.8783400000002</v>
      </c>
      <c r="D73" s="28">
        <f>IF(OR(4997.52629="",5075.87834=""),"-",5075.87834/4997.52629*100)</f>
        <v>101.56781666475237</v>
      </c>
      <c r="E73" s="28">
        <f>IF(4997.52629="","-",4997.52629/902994.52425*100)</f>
        <v>0.55343926854382586</v>
      </c>
      <c r="F73" s="28">
        <f>IF(5075.87834="","-",5075.87834/1459101.16692*100)</f>
        <v>0.34787706672283825</v>
      </c>
      <c r="G73" s="28">
        <f>IF(OR(824887.0263="",3903.42323="",4997.52629=""),"-",(4997.52629-3903.42323)/824887.0263*100)</f>
        <v>0.13263671570973282</v>
      </c>
      <c r="H73" s="28">
        <f>IF(OR(902994.52425="",5075.87834="",4997.52629=""),"-",(5075.87834-4997.52629)/902994.52425*100)</f>
        <v>8.6769130815136739E-3</v>
      </c>
      <c r="I73" s="20"/>
      <c r="J73" s="21"/>
      <c r="K73" s="17"/>
    </row>
    <row r="74" spans="1:11" x14ac:dyDescent="0.25">
      <c r="A74" s="20" t="s">
        <v>274</v>
      </c>
      <c r="B74" s="21" t="s">
        <v>172</v>
      </c>
      <c r="C74" s="33">
        <v>95997.96299</v>
      </c>
      <c r="D74" s="28">
        <f>IF(OR(82788.86103="",95997.96299=""),"-",95997.96299/82788.86103*100)</f>
        <v>115.95516811762086</v>
      </c>
      <c r="E74" s="28">
        <f>IF(82788.86103="","-",82788.86103/902994.52425*100)</f>
        <v>9.1682572603374233</v>
      </c>
      <c r="F74" s="28">
        <f>IF(95997.96299="","-",95997.96299/1459101.16692*100)</f>
        <v>6.5792533901292805</v>
      </c>
      <c r="G74" s="28">
        <f>IF(OR(824887.0263="",68057.36377="",82788.86103=""),"-",(82788.86103-68057.36377)/824887.0263*100)</f>
        <v>1.7858805861061466</v>
      </c>
      <c r="H74" s="28">
        <f>IF(OR(902994.52425="",95997.96299="",82788.86103=""),"-",(95997.96299-82788.86103)/902994.52425*100)</f>
        <v>1.4628108593428162</v>
      </c>
      <c r="I74" s="20"/>
      <c r="J74" s="21"/>
      <c r="K74" s="17"/>
    </row>
    <row r="75" spans="1:11" x14ac:dyDescent="0.25">
      <c r="A75" s="20" t="s">
        <v>275</v>
      </c>
      <c r="B75" s="21" t="s">
        <v>173</v>
      </c>
      <c r="C75" s="33">
        <v>13406.592479999999</v>
      </c>
      <c r="D75" s="28">
        <f>IF(OR(11797.00642="",13406.59248=""),"-",13406.59248/11797.00642*100)</f>
        <v>113.64402122619173</v>
      </c>
      <c r="E75" s="28">
        <f>IF(11797.00642="","-",11797.00642/902994.52425*100)</f>
        <v>1.3064316674343333</v>
      </c>
      <c r="F75" s="28">
        <f>IF(13406.59248="","-",13406.59248/1459101.16692*100)</f>
        <v>0.9188254237572725</v>
      </c>
      <c r="G75" s="28">
        <f>IF(OR(824887.0263="",10692.12203="",11797.00642=""),"-",(11797.00642-10692.12203)/824887.0263*100)</f>
        <v>0.13394372256718803</v>
      </c>
      <c r="H75" s="28">
        <f>IF(OR(902994.52425="",13406.59248="",11797.00642=""),"-",(13406.59248-11797.00642)/902994.52425*100)</f>
        <v>0.1782498140104308</v>
      </c>
      <c r="I75" s="20"/>
      <c r="J75" s="21"/>
      <c r="K75" s="17"/>
    </row>
    <row r="76" spans="1:11" ht="25.5" x14ac:dyDescent="0.25">
      <c r="A76" s="20" t="s">
        <v>276</v>
      </c>
      <c r="B76" s="21" t="s">
        <v>196</v>
      </c>
      <c r="C76" s="33">
        <v>5014.8061900000002</v>
      </c>
      <c r="D76" s="28">
        <f>IF(OR(8804.50125="",5014.80619=""),"-",5014.80619/8804.50125*100)</f>
        <v>56.957299994704428</v>
      </c>
      <c r="E76" s="28">
        <f>IF(8804.50125="","-",8804.50125/902994.52425*100)</f>
        <v>0.97503373647949332</v>
      </c>
      <c r="F76" s="28">
        <f>IF(5014.80619="","-",5014.80619/1459101.16692*100)</f>
        <v>0.34369146593074817</v>
      </c>
      <c r="G76" s="28">
        <f>IF(OR(824887.0263="",5770.1748="",8804.50125=""),"-",(8804.50125-5770.1748)/824887.0263*100)</f>
        <v>0.36784751769104163</v>
      </c>
      <c r="H76" s="28">
        <f>IF(OR(902994.52425="",5014.80619="",8804.50125=""),"-",(5014.80619-8804.50125)/902994.52425*100)</f>
        <v>-0.41968084614329254</v>
      </c>
      <c r="I76" s="20"/>
      <c r="J76" s="21"/>
      <c r="K76" s="17"/>
    </row>
    <row r="77" spans="1:11" ht="15.75" customHeight="1" x14ac:dyDescent="0.25">
      <c r="A77" s="20" t="s">
        <v>277</v>
      </c>
      <c r="B77" s="21" t="s">
        <v>174</v>
      </c>
      <c r="C77" s="33">
        <v>1470.92606</v>
      </c>
      <c r="D77" s="28">
        <f>IF(OR(1002.855="",1470.92606=""),"-",1470.92606/1002.855*100)</f>
        <v>146.67385215210572</v>
      </c>
      <c r="E77" s="28">
        <f>IF(1002.855="","-",1002.855/902994.52425*100)</f>
        <v>0.11105881299036016</v>
      </c>
      <c r="F77" s="28">
        <f>IF(1470.92606="","-",1470.92606/1459101.16692*100)</f>
        <v>0.10081042311171343</v>
      </c>
      <c r="G77" s="28">
        <f>IF(OR(824887.0263="",1045.16714="",1002.855=""),"-",(1002.855-1045.16714)/824887.0263*100)</f>
        <v>-5.129446657658022E-3</v>
      </c>
      <c r="H77" s="28">
        <f>IF(OR(902994.52425="",1470.92606="",1002.855=""),"-",(1470.92606-1002.855)/902994.52425*100)</f>
        <v>5.1835426177004311E-2</v>
      </c>
      <c r="I77" s="20"/>
      <c r="J77" s="21"/>
      <c r="K77" s="17"/>
    </row>
    <row r="78" spans="1:11" x14ac:dyDescent="0.25">
      <c r="A78" s="20" t="s">
        <v>278</v>
      </c>
      <c r="B78" s="21" t="s">
        <v>33</v>
      </c>
      <c r="C78" s="33">
        <v>25616.101750000002</v>
      </c>
      <c r="D78" s="28">
        <f>IF(OR(19457.25945="",25616.10175=""),"-",25616.10175/19457.25945*100)</f>
        <v>131.65318484767391</v>
      </c>
      <c r="E78" s="28">
        <f>IF(19457.25945="","-",19457.25945/902994.52425*100)</f>
        <v>2.1547483320743956</v>
      </c>
      <c r="F78" s="28">
        <f>IF(25616.10175="","-",25616.10175/1459101.16692*100)</f>
        <v>1.7556083382533876</v>
      </c>
      <c r="G78" s="28">
        <f>IF(OR(824887.0263="",19180.60946="",19457.25945=""),"-",(19457.25945-19180.60946)/824887.0263*100)</f>
        <v>3.3537924731451396E-2</v>
      </c>
      <c r="H78" s="28">
        <f>IF(OR(902994.52425="",25616.10175="",19457.25945=""),"-",(25616.10175-19457.25945)/902994.52425*100)</f>
        <v>0.68204647255367901</v>
      </c>
      <c r="I78" s="20"/>
      <c r="J78" s="21"/>
      <c r="K78" s="17"/>
    </row>
    <row r="79" spans="1:11" ht="25.5" x14ac:dyDescent="0.25">
      <c r="A79" s="61" t="s">
        <v>282</v>
      </c>
      <c r="B79" s="62" t="s">
        <v>175</v>
      </c>
      <c r="C79" s="55">
        <v>1318.37535</v>
      </c>
      <c r="D79" s="26" t="str">
        <f>IF(""="","-",1318.37535/""*100)</f>
        <v>-</v>
      </c>
      <c r="E79" s="26" t="str">
        <f>IF(""="","-",""/902994.52425*100)</f>
        <v>-</v>
      </c>
      <c r="F79" s="26">
        <f>IF(1318.37535="","-",1318.37535/1459101.16692*100)</f>
        <v>9.0355307766831788E-2</v>
      </c>
      <c r="G79" s="26" t="str">
        <f t="shared" ref="G79:H79" si="0">IF(""="","-",""/902994.52425*100)</f>
        <v>-</v>
      </c>
      <c r="H79" s="26" t="str">
        <f t="shared" si="0"/>
        <v>-</v>
      </c>
      <c r="I79" s="20"/>
      <c r="J79" s="21"/>
      <c r="K79" s="17"/>
    </row>
    <row r="80" spans="1:11" x14ac:dyDescent="0.25">
      <c r="A80" s="83" t="s">
        <v>333</v>
      </c>
      <c r="B80" s="110" t="s">
        <v>334</v>
      </c>
      <c r="C80" s="33">
        <v>304.17898000000002</v>
      </c>
      <c r="D80" s="28" t="str">
        <f>IF(OR(""="",304.17898=""),"-",304.17898/""*100)</f>
        <v>-</v>
      </c>
      <c r="E80" s="28" t="str">
        <f>IF(""="","-",""/902994.52425*100)</f>
        <v>-</v>
      </c>
      <c r="F80" s="28">
        <f>IF(304.17898="","-",304.17898/1459101.16692*100)</f>
        <v>2.0847010947300383E-2</v>
      </c>
      <c r="G80" s="28" t="str">
        <f>IF(OR(824887.0263="",187.21487="",""=""),"-",(""-187.21487)/824887.0263*100)</f>
        <v>-</v>
      </c>
      <c r="H80" s="28" t="str">
        <f>IF(OR(902994.52425="",304.17898="",""=""),"-",(304.17898-"")/902994.52425*100)</f>
        <v>-</v>
      </c>
      <c r="I80" s="20"/>
      <c r="J80" s="21"/>
      <c r="K80" s="17"/>
    </row>
    <row r="81" spans="1:11" ht="25.5" x14ac:dyDescent="0.25">
      <c r="A81" s="73" t="s">
        <v>335</v>
      </c>
      <c r="B81" s="74" t="s">
        <v>344</v>
      </c>
      <c r="C81" s="81">
        <v>1014.19637</v>
      </c>
      <c r="D81" s="29" t="str">
        <f>IF(OR(""="",1014.19637=""),"-",1014.19637/""*100)</f>
        <v>-</v>
      </c>
      <c r="E81" s="29" t="str">
        <f>IF(""="","-",""/902994.52425*100)</f>
        <v>-</v>
      </c>
      <c r="F81" s="29">
        <f>IF(1014.19637="","-",1014.19637/1459101.16692*100)</f>
        <v>6.9508296819531398E-2</v>
      </c>
      <c r="G81" s="29" t="str">
        <f>IF(OR(824887.0263="",""="",""=""),"-",(""-"")/824887.0263*100)</f>
        <v>-</v>
      </c>
      <c r="H81" s="29" t="str">
        <f>IF(OR(902994.52425="",1014.19637="",""=""),"-",(1014.19637-"")/902994.52425*100)</f>
        <v>-</v>
      </c>
      <c r="I81" s="20"/>
      <c r="J81" s="21"/>
      <c r="K81" s="17"/>
    </row>
    <row r="82" spans="1:11" x14ac:dyDescent="0.25">
      <c r="A82" s="48" t="s">
        <v>285</v>
      </c>
      <c r="B82" s="49"/>
      <c r="C82" s="77"/>
      <c r="D82" s="77"/>
      <c r="E82" s="77"/>
      <c r="I82" s="1"/>
      <c r="J82" s="1"/>
      <c r="K82" s="1"/>
    </row>
    <row r="83" spans="1:11" x14ac:dyDescent="0.25">
      <c r="A83" s="77" t="s">
        <v>306</v>
      </c>
      <c r="B83" s="77"/>
    </row>
  </sheetData>
  <mergeCells count="11"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N84"/>
  <sheetViews>
    <sheetView zoomScaleNormal="100" workbookViewId="0">
      <selection activeCell="B1" sqref="B1:H1"/>
    </sheetView>
  </sheetViews>
  <sheetFormatPr defaultRowHeight="15.75" x14ac:dyDescent="0.25"/>
  <cols>
    <col min="1" max="1" width="5.25" customWidth="1"/>
    <col min="2" max="2" width="26.75" customWidth="1"/>
    <col min="3" max="3" width="11.5" customWidth="1"/>
    <col min="4" max="4" width="11.125" customWidth="1"/>
    <col min="5" max="5" width="7.625" customWidth="1"/>
    <col min="6" max="6" width="8.125" customWidth="1"/>
    <col min="7" max="7" width="8.375" customWidth="1"/>
    <col min="8" max="8" width="8.25" customWidth="1"/>
    <col min="9" max="9" width="11.375" bestFit="1" customWidth="1"/>
  </cols>
  <sheetData>
    <row r="1" spans="1:14" x14ac:dyDescent="0.25">
      <c r="B1" s="128" t="s">
        <v>129</v>
      </c>
      <c r="C1" s="128"/>
      <c r="D1" s="128"/>
      <c r="E1" s="128"/>
      <c r="F1" s="128"/>
      <c r="G1" s="128"/>
      <c r="H1" s="128"/>
    </row>
    <row r="2" spans="1:14" x14ac:dyDescent="0.25">
      <c r="B2" s="128" t="s">
        <v>284</v>
      </c>
      <c r="C2" s="128"/>
      <c r="D2" s="128"/>
      <c r="E2" s="128"/>
      <c r="F2" s="128"/>
      <c r="G2" s="128"/>
      <c r="H2" s="128"/>
    </row>
    <row r="3" spans="1:14" x14ac:dyDescent="0.25">
      <c r="B3" s="5"/>
    </row>
    <row r="4" spans="1:14" ht="57.75" customHeight="1" x14ac:dyDescent="0.25">
      <c r="A4" s="136" t="s">
        <v>209</v>
      </c>
      <c r="B4" s="139"/>
      <c r="C4" s="142" t="s">
        <v>349</v>
      </c>
      <c r="D4" s="134"/>
      <c r="E4" s="142" t="s">
        <v>0</v>
      </c>
      <c r="F4" s="134"/>
      <c r="G4" s="131" t="s">
        <v>113</v>
      </c>
      <c r="H4" s="143"/>
    </row>
    <row r="5" spans="1:14" ht="19.5" customHeight="1" x14ac:dyDescent="0.25">
      <c r="A5" s="137"/>
      <c r="B5" s="140"/>
      <c r="C5" s="144" t="s">
        <v>105</v>
      </c>
      <c r="D5" s="129" t="s">
        <v>350</v>
      </c>
      <c r="E5" s="146" t="s">
        <v>351</v>
      </c>
      <c r="F5" s="146"/>
      <c r="G5" s="146" t="s">
        <v>400</v>
      </c>
      <c r="H5" s="142"/>
    </row>
    <row r="6" spans="1:14" ht="33" customHeight="1" x14ac:dyDescent="0.25">
      <c r="A6" s="138"/>
      <c r="B6" s="141"/>
      <c r="C6" s="145"/>
      <c r="D6" s="130"/>
      <c r="E6" s="67" t="s">
        <v>323</v>
      </c>
      <c r="F6" s="67" t="s">
        <v>324</v>
      </c>
      <c r="G6" s="67" t="s">
        <v>323</v>
      </c>
      <c r="H6" s="66" t="s">
        <v>324</v>
      </c>
    </row>
    <row r="7" spans="1:14" x14ac:dyDescent="0.25">
      <c r="A7" s="86"/>
      <c r="B7" s="32" t="s">
        <v>117</v>
      </c>
      <c r="C7" s="23">
        <v>2808409.1288700001</v>
      </c>
      <c r="D7" s="88">
        <f>IF(2113068.17363="","-",2808409.12887/2113068.17363*100)</f>
        <v>132.90669765971094</v>
      </c>
      <c r="E7" s="88">
        <v>100</v>
      </c>
      <c r="F7" s="88">
        <v>100</v>
      </c>
      <c r="G7" s="88">
        <f>IF(1650717.59844="","-",(2113068.17363-1650717.59844)/1650717.59844*100)</f>
        <v>28.00906561043157</v>
      </c>
      <c r="H7" s="88">
        <f>IF(2113068.17363="","-",(2808409.12887-2113068.17363)/2113068.17363*100)</f>
        <v>32.906697659710943</v>
      </c>
      <c r="I7" s="13"/>
      <c r="J7" s="13"/>
      <c r="K7" s="13"/>
      <c r="L7" s="13"/>
      <c r="M7" s="13"/>
      <c r="N7" s="13"/>
    </row>
    <row r="8" spans="1:14" ht="12" customHeight="1" x14ac:dyDescent="0.25">
      <c r="A8" s="18" t="s">
        <v>210</v>
      </c>
      <c r="B8" s="19" t="s">
        <v>176</v>
      </c>
      <c r="C8" s="16">
        <v>318664.03039999999</v>
      </c>
      <c r="D8" s="90">
        <f>IF(262485.98645="","-",318664.0304/262485.98645*100)</f>
        <v>121.40230216088167</v>
      </c>
      <c r="E8" s="90">
        <f>IF(262485.98645="","-",262485.98645/2113068.17363*100)</f>
        <v>12.422031135847373</v>
      </c>
      <c r="F8" s="90">
        <f>IF(318664.0304="","-",318664.0304/2808409.12887*100)</f>
        <v>11.346780891864519</v>
      </c>
      <c r="G8" s="90">
        <f>IF(1650717.59844="","-",(262485.98645-227060.34481)/1650717.59844*100)</f>
        <v>2.1460752386403823</v>
      </c>
      <c r="H8" s="90">
        <f>IF(2113068.17363="","-",(318664.0304-262485.98645)/2113068.17363*100)</f>
        <v>2.658600638212858</v>
      </c>
    </row>
    <row r="9" spans="1:14" x14ac:dyDescent="0.25">
      <c r="A9" s="20" t="s">
        <v>211</v>
      </c>
      <c r="B9" s="21" t="s">
        <v>21</v>
      </c>
      <c r="C9" s="17">
        <v>2162.9935599999999</v>
      </c>
      <c r="D9" s="91">
        <f>IF(OR(1551.79807="",2162.99356=""),"-",2162.99356/1551.79807*100)</f>
        <v>139.38627723644481</v>
      </c>
      <c r="E9" s="91">
        <f>IF(1551.79807="","-",1551.79807/2113068.17363*100)</f>
        <v>7.3438145033162622E-2</v>
      </c>
      <c r="F9" s="91">
        <f>IF(2162.99356="","-",2162.99356/2808409.12887*100)</f>
        <v>7.7018463505362136E-2</v>
      </c>
      <c r="G9" s="91">
        <f>IF(OR(1650717.59844="",2618.52551="",1551.79807=""),"-",(1551.79807-2618.52551)/1650717.59844*100)</f>
        <v>-6.4622043225813039E-2</v>
      </c>
      <c r="H9" s="91">
        <f>IF(OR(2113068.17363="",2162.99356="",1551.79807=""),"-",(2162.99356-1551.79807)/2113068.17363*100)</f>
        <v>2.8924551400063853E-2</v>
      </c>
    </row>
    <row r="10" spans="1:14" ht="14.25" customHeight="1" x14ac:dyDescent="0.25">
      <c r="A10" s="20" t="s">
        <v>212</v>
      </c>
      <c r="B10" s="21" t="s">
        <v>177</v>
      </c>
      <c r="C10" s="17">
        <v>33154.725079999997</v>
      </c>
      <c r="D10" s="91" t="s">
        <v>101</v>
      </c>
      <c r="E10" s="91">
        <f>IF(17044.12298="","-",17044.12298/2113068.17363*100)</f>
        <v>0.80660544665344236</v>
      </c>
      <c r="F10" s="91">
        <f>IF(33154.72508="","-",33154.72508/2808409.12887*100)</f>
        <v>1.1805518198603859</v>
      </c>
      <c r="G10" s="91">
        <f>IF(OR(1650717.59844="",11981.8427="",17044.12298=""),"-",(17044.12298-11981.8427)/1650717.59844*100)</f>
        <v>0.30667149152490264</v>
      </c>
      <c r="H10" s="91">
        <f>IF(OR(2113068.17363="",33154.72508="",17044.12298=""),"-",(33154.72508-17044.12298)/2113068.17363*100)</f>
        <v>0.762426991284616</v>
      </c>
    </row>
    <row r="11" spans="1:14" s="7" customFormat="1" x14ac:dyDescent="0.25">
      <c r="A11" s="20" t="s">
        <v>213</v>
      </c>
      <c r="B11" s="21" t="s">
        <v>178</v>
      </c>
      <c r="C11" s="17">
        <v>39710.246800000001</v>
      </c>
      <c r="D11" s="91">
        <f>IF(OR(30401.71674="",39710.2468=""),"-",39710.2468/30401.71674*100)</f>
        <v>130.61843559562092</v>
      </c>
      <c r="E11" s="91">
        <f>IF(30401.71674="","-",30401.71674/2113068.17363*100)</f>
        <v>1.4387475576698248</v>
      </c>
      <c r="F11" s="91">
        <f>IF(39710.2468="","-",39710.2468/2808409.12887*100)</f>
        <v>1.4139765603161223</v>
      </c>
      <c r="G11" s="91">
        <f>IF(OR(1650717.59844="",27291.01089="",30401.71674=""),"-",(30401.71674-27291.01089)/1650717.59844*100)</f>
        <v>0.18844567071555735</v>
      </c>
      <c r="H11" s="91">
        <f>IF(OR(2113068.17363="",39710.2468="",30401.71674=""),"-",(39710.2468-30401.71674)/2113068.17363*100)</f>
        <v>0.44052199432870415</v>
      </c>
    </row>
    <row r="12" spans="1:14" s="7" customFormat="1" x14ac:dyDescent="0.25">
      <c r="A12" s="20" t="s">
        <v>214</v>
      </c>
      <c r="B12" s="21" t="s">
        <v>179</v>
      </c>
      <c r="C12" s="17">
        <v>25749.268670000001</v>
      </c>
      <c r="D12" s="91">
        <f>IF(OR(22776.68978="",25749.26867=""),"-",25749.26867/22776.68978*100)</f>
        <v>113.05096973577871</v>
      </c>
      <c r="E12" s="91">
        <f>IF(22776.68978="","-",22776.68978/2113068.17363*100)</f>
        <v>1.077896589624572</v>
      </c>
      <c r="F12" s="91">
        <f>IF(25749.26867="","-",25749.26867/2808409.12887*100)</f>
        <v>0.91686315947707209</v>
      </c>
      <c r="G12" s="91">
        <f>IF(OR(1650717.59844="",19320.70127="",22776.68978=""),"-",(22776.68978-19320.70127)/1650717.59844*100)</f>
        <v>0.2093627955057884</v>
      </c>
      <c r="H12" s="91">
        <f>IF(OR(2113068.17363="",25749.26867="",22776.68978=""),"-",(25749.26867-22776.68978)/2113068.17363*100)</f>
        <v>0.14067595769489363</v>
      </c>
    </row>
    <row r="13" spans="1:14" s="7" customFormat="1" ht="15" customHeight="1" x14ac:dyDescent="0.25">
      <c r="A13" s="20" t="s">
        <v>215</v>
      </c>
      <c r="B13" s="21" t="s">
        <v>180</v>
      </c>
      <c r="C13" s="17">
        <v>57748.702810000003</v>
      </c>
      <c r="D13" s="91">
        <f>IF(OR(43275.51191="",57748.70281=""),"-",57748.70281/43275.51191*100)</f>
        <v>133.44429738947946</v>
      </c>
      <c r="E13" s="91">
        <f>IF(43275.51191="","-",43275.51191/2113068.17363*100)</f>
        <v>2.0479941182237305</v>
      </c>
      <c r="F13" s="91">
        <f>IF(57748.70281="","-",57748.70281/2808409.12887*100)</f>
        <v>2.056278133280244</v>
      </c>
      <c r="G13" s="91">
        <f>IF(OR(1650717.59844="",40001.71903="",43275.51191=""),"-",(43275.51191-40001.71903)/1650717.59844*100)</f>
        <v>0.19832543634925062</v>
      </c>
      <c r="H13" s="91">
        <f>IF(OR(2113068.17363="",57748.70281="",43275.51191=""),"-",(57748.70281-43275.51191)/2113068.17363*100)</f>
        <v>0.68493724341779183</v>
      </c>
    </row>
    <row r="14" spans="1:14" s="7" customFormat="1" ht="14.25" customHeight="1" x14ac:dyDescent="0.25">
      <c r="A14" s="20" t="s">
        <v>216</v>
      </c>
      <c r="B14" s="21" t="s">
        <v>181</v>
      </c>
      <c r="C14" s="17">
        <v>75619.138789999997</v>
      </c>
      <c r="D14" s="91">
        <f>IF(OR(71563.00804="",75619.13879=""),"-",75619.13879/71563.00804*100)</f>
        <v>105.66791539524559</v>
      </c>
      <c r="E14" s="91">
        <f>IF(71563.00804="","-",71563.00804/2113068.17363*100)</f>
        <v>3.3866871373611795</v>
      </c>
      <c r="F14" s="91">
        <f>IF(75619.13879="","-",75619.13879/2808409.12887*100)</f>
        <v>2.6925969586356651</v>
      </c>
      <c r="G14" s="91">
        <f>IF(OR(1650717.59844="",65322.54181="",71563.00804=""),"-",(71563.00804-65322.54181)/1650717.59844*100)</f>
        <v>0.37804565940882379</v>
      </c>
      <c r="H14" s="91">
        <f>IF(OR(2113068.17363="",75619.13879="",71563.00804=""),"-",(75619.13879-71563.00804)/2113068.17363*100)</f>
        <v>0.19195456164729632</v>
      </c>
    </row>
    <row r="15" spans="1:14" s="7" customFormat="1" ht="25.5" x14ac:dyDescent="0.25">
      <c r="A15" s="20" t="s">
        <v>217</v>
      </c>
      <c r="B15" s="21" t="s">
        <v>139</v>
      </c>
      <c r="C15" s="17">
        <v>7569.0037700000003</v>
      </c>
      <c r="D15" s="91">
        <f>IF(OR(7537.9026="",7569.00377=""),"-",7569.00377/7537.9026*100)</f>
        <v>100.41259713278863</v>
      </c>
      <c r="E15" s="91">
        <f>IF(7537.9026="","-",7537.9026/2113068.17363*100)</f>
        <v>0.3567278469322066</v>
      </c>
      <c r="F15" s="91">
        <f>IF(7569.00377="","-",7569.00377/2808409.12887*100)</f>
        <v>0.26951214807671159</v>
      </c>
      <c r="G15" s="91">
        <f>IF(OR(1650717.59844="",6662.13522="",7537.9026=""),"-",(7537.9026-6662.13522)/1650717.59844*100)</f>
        <v>5.3053737406546009E-2</v>
      </c>
      <c r="H15" s="91">
        <f>IF(OR(2113068.17363="",7569.00377="",7537.9026=""),"-",(7569.00377-7537.9026)/2113068.17363*100)</f>
        <v>1.4718488683009123E-3</v>
      </c>
    </row>
    <row r="16" spans="1:14" s="7" customFormat="1" ht="25.5" x14ac:dyDescent="0.25">
      <c r="A16" s="20" t="s">
        <v>218</v>
      </c>
      <c r="B16" s="21" t="s">
        <v>182</v>
      </c>
      <c r="C16" s="17">
        <v>21381.15006</v>
      </c>
      <c r="D16" s="91">
        <f>IF(OR(20270.07411="",21381.15006=""),"-",21381.15006/20270.07411*100)</f>
        <v>105.48136106444655</v>
      </c>
      <c r="E16" s="91">
        <f>IF(20270.07411="","-",20270.07411/2113068.17363*100)</f>
        <v>0.95927213153650515</v>
      </c>
      <c r="F16" s="91">
        <f>IF(21381.15006="","-",21381.15006/2808409.12887*100)</f>
        <v>0.76132604185783226</v>
      </c>
      <c r="G16" s="91">
        <f>IF(OR(1650717.59844="",15948.07247="",20270.07411=""),"-",(20270.07411-15948.07247)/1650717.59844*100)</f>
        <v>0.26182562323709896</v>
      </c>
      <c r="H16" s="91">
        <f>IF(OR(2113068.17363="",21381.15006="",20270.07411=""),"-",(21381.15006-20270.07411)/2113068.17363*100)</f>
        <v>5.258116912012839E-2</v>
      </c>
    </row>
    <row r="17" spans="1:8" s="7" customFormat="1" ht="25.5" x14ac:dyDescent="0.25">
      <c r="A17" s="20" t="s">
        <v>219</v>
      </c>
      <c r="B17" s="21" t="s">
        <v>140</v>
      </c>
      <c r="C17" s="17">
        <v>17463.40654</v>
      </c>
      <c r="D17" s="91">
        <f>IF(OR(15467.04192="",17463.40654=""),"-",17463.40654/15467.04192*100)</f>
        <v>112.90721671490758</v>
      </c>
      <c r="E17" s="91">
        <f>IF(15467.04192="","-",15467.04192/2113068.17363*100)</f>
        <v>0.73197079550109634</v>
      </c>
      <c r="F17" s="91">
        <f>IF(17463.40654="","-",17463.40654/2808409.12887*100)</f>
        <v>0.62182558660983378</v>
      </c>
      <c r="G17" s="91">
        <f>IF(OR(1650717.59844="",11916.40329="",15467.04192=""),"-",(15467.04192-11916.40329)/1650717.59844*100)</f>
        <v>0.2150966727049804</v>
      </c>
      <c r="H17" s="91">
        <f>IF(OR(2113068.17363="",17463.40654="",15467.04192=""),"-",(17463.40654-15467.04192)/2113068.17363*100)</f>
        <v>9.4477056865159392E-2</v>
      </c>
    </row>
    <row r="18" spans="1:8" s="7" customFormat="1" ht="15.75" customHeight="1" x14ac:dyDescent="0.25">
      <c r="A18" s="20" t="s">
        <v>220</v>
      </c>
      <c r="B18" s="21" t="s">
        <v>183</v>
      </c>
      <c r="C18" s="17">
        <v>38105.394319999999</v>
      </c>
      <c r="D18" s="91">
        <f>IF(OR(32598.1203="",38105.39432=""),"-",38105.39432/32598.1203*100)</f>
        <v>116.89445271480882</v>
      </c>
      <c r="E18" s="91">
        <f>IF(32598.1203="","-",32598.1203/2113068.17363*100)</f>
        <v>1.542691367311652</v>
      </c>
      <c r="F18" s="91">
        <f>IF(38105.39432="","-",38105.39432/2808409.12887*100)</f>
        <v>1.356832020245291</v>
      </c>
      <c r="G18" s="91">
        <f>IF(OR(1650717.59844="",25997.39262="",32598.1203=""),"-",(32598.1203-25997.39262)/1650717.59844*100)</f>
        <v>0.399870195013246</v>
      </c>
      <c r="H18" s="91">
        <f>IF(OR(2113068.17363="",38105.39432="",32598.1203=""),"-",(38105.39432-32598.1203)/2113068.17363*100)</f>
        <v>0.26062926358590494</v>
      </c>
    </row>
    <row r="19" spans="1:8" s="7" customFormat="1" x14ac:dyDescent="0.25">
      <c r="A19" s="18" t="s">
        <v>221</v>
      </c>
      <c r="B19" s="19" t="s">
        <v>184</v>
      </c>
      <c r="C19" s="16">
        <v>31086.57474</v>
      </c>
      <c r="D19" s="90">
        <f>IF(33847.67925="","-",31086.57474/33847.67925*100)</f>
        <v>91.842558866129636</v>
      </c>
      <c r="E19" s="90">
        <f>IF(33847.67925="","-",33847.67925/2113068.17363*100)</f>
        <v>1.601826182060833</v>
      </c>
      <c r="F19" s="90">
        <f>IF(31086.57474="","-",31086.57474/2808409.12887*100)</f>
        <v>1.1069104718552203</v>
      </c>
      <c r="G19" s="90">
        <f>IF(1650717.59844="","-",(33847.67925-32110.09016)/1650717.59844*100)</f>
        <v>0.10526265011302348</v>
      </c>
      <c r="H19" s="90">
        <f>IF(2113068.17363="","-",(31086.57474-33847.67925)/2113068.17363*100)</f>
        <v>-0.13066802786853543</v>
      </c>
    </row>
    <row r="20" spans="1:8" s="7" customFormat="1" x14ac:dyDescent="0.25">
      <c r="A20" s="20" t="s">
        <v>222</v>
      </c>
      <c r="B20" s="21" t="s">
        <v>185</v>
      </c>
      <c r="C20" s="17">
        <v>20488.03558</v>
      </c>
      <c r="D20" s="91">
        <f>IF(OR(21124.70462="",20488.03558=""),"-",20488.03558/21124.70462*100)</f>
        <v>96.986139917917583</v>
      </c>
      <c r="E20" s="91">
        <f>IF(21124.70462="","-",21124.70462/2113068.17363*100)</f>
        <v>0.99971713566203924</v>
      </c>
      <c r="F20" s="91">
        <f>IF(20488.03558="","-",20488.03558/2808409.12887*100)</f>
        <v>0.72952460413927034</v>
      </c>
      <c r="G20" s="91">
        <f>IF(OR(1650717.59844="",15756.2591="",21124.70462=""),"-",(21124.70462-15756.2591)/1650717.59844*100)</f>
        <v>0.3252188941993116</v>
      </c>
      <c r="H20" s="91">
        <f>IF(OR(2113068.17363="",20488.03558="",21124.70462=""),"-",(20488.03558-21124.70462)/2113068.17363*100)</f>
        <v>-3.0130075685455945E-2</v>
      </c>
    </row>
    <row r="21" spans="1:8" s="7" customFormat="1" x14ac:dyDescent="0.25">
      <c r="A21" s="20" t="s">
        <v>223</v>
      </c>
      <c r="B21" s="21" t="s">
        <v>186</v>
      </c>
      <c r="C21" s="17">
        <v>10598.53916</v>
      </c>
      <c r="D21" s="91">
        <f>IF(OR(12722.97463="",10598.53916=""),"-",10598.53916/12722.97463*100)</f>
        <v>83.302368103519512</v>
      </c>
      <c r="E21" s="91">
        <f>IF(12722.97463="","-",12722.97463/2113068.17363*100)</f>
        <v>0.6021090463987937</v>
      </c>
      <c r="F21" s="91">
        <f>IF(10598.53916="","-",10598.53916/2808409.12887*100)</f>
        <v>0.3773858677159499</v>
      </c>
      <c r="G21" s="91">
        <f>IF(OR(1650717.59844="",16353.83106="",12722.97463=""),"-",(12722.97463-16353.83106)/1650717.59844*100)</f>
        <v>-0.21995624408628814</v>
      </c>
      <c r="H21" s="91">
        <f>IF(OR(2113068.17363="",10598.53916="",12722.97463=""),"-",(10598.53916-12722.97463)/2113068.17363*100)</f>
        <v>-0.10053795218307948</v>
      </c>
    </row>
    <row r="22" spans="1:8" s="7" customFormat="1" ht="25.5" x14ac:dyDescent="0.25">
      <c r="A22" s="18" t="s">
        <v>224</v>
      </c>
      <c r="B22" s="19" t="s">
        <v>22</v>
      </c>
      <c r="C22" s="16">
        <v>100353.80882000001</v>
      </c>
      <c r="D22" s="90">
        <f>IF(71005.33226="","-",100353.80882/71005.33226*100)</f>
        <v>141.33277829407908</v>
      </c>
      <c r="E22" s="90">
        <f>IF(71005.33226="","-",71005.33226/2113068.17363*100)</f>
        <v>3.3602953821419437</v>
      </c>
      <c r="F22" s="90">
        <f>IF(100353.80882="","-",100353.80882/2808409.12887*100)</f>
        <v>3.5733329516835268</v>
      </c>
      <c r="G22" s="90">
        <f>IF(1650717.59844="","-",(71005.33226-59265.73191)/1650717.59844*100)</f>
        <v>0.71118163161854131</v>
      </c>
      <c r="H22" s="90">
        <f>IF(2113068.17363="","-",(100353.80882-71005.33226)/2113068.17363*100)</f>
        <v>1.3889034403269069</v>
      </c>
    </row>
    <row r="23" spans="1:8" s="7" customFormat="1" ht="15.75" customHeight="1" x14ac:dyDescent="0.25">
      <c r="A23" s="20" t="s">
        <v>226</v>
      </c>
      <c r="B23" s="21" t="s">
        <v>187</v>
      </c>
      <c r="C23" s="17">
        <v>50293.476029999998</v>
      </c>
      <c r="D23" s="91" t="s">
        <v>101</v>
      </c>
      <c r="E23" s="91">
        <f>IF(25959.08944="","-",25959.08944/2113068.17363*100)</f>
        <v>1.2285022207970397</v>
      </c>
      <c r="F23" s="91">
        <f>IF(50293.47603="","-",50293.47603/2808409.12887*100)</f>
        <v>1.7908172820331285</v>
      </c>
      <c r="G23" s="91">
        <f>IF(OR(1650717.59844="",26161.84986="",25959.08944=""),"-",(25959.08944-26161.84986)/1650717.59844*100)</f>
        <v>-1.2283168253104958E-2</v>
      </c>
      <c r="H23" s="91">
        <f>IF(OR(2113068.17363="",50293.47603="",25959.08944=""),"-",(50293.47603-25959.08944)/2113068.17363*100)</f>
        <v>1.1516138898725834</v>
      </c>
    </row>
    <row r="24" spans="1:8" s="7" customFormat="1" ht="25.5" x14ac:dyDescent="0.25">
      <c r="A24" s="20" t="s">
        <v>280</v>
      </c>
      <c r="B24" s="21" t="s">
        <v>188</v>
      </c>
      <c r="C24" s="17">
        <v>1198.40831</v>
      </c>
      <c r="D24" s="91" t="s">
        <v>198</v>
      </c>
      <c r="E24" s="91">
        <f>IF(682.58008="","-",682.58008/2113068.17363*100)</f>
        <v>3.2302794984006997E-2</v>
      </c>
      <c r="F24" s="91">
        <f>IF(1198.40831="","-",1198.40831/2808409.12887*100)</f>
        <v>4.2672141237562321E-2</v>
      </c>
      <c r="G24" s="91">
        <f>IF(OR(1650717.59844="",382.18437="",682.58008=""),"-",(682.58008-382.18437)/1650717.59844*100)</f>
        <v>1.8197886197123418E-2</v>
      </c>
      <c r="H24" s="91">
        <f>IF(OR(2113068.17363="",1198.40831="",682.58008=""),"-",(1198.40831-682.58008)/2113068.17363*100)</f>
        <v>2.441133875552479E-2</v>
      </c>
    </row>
    <row r="25" spans="1:8" s="7" customFormat="1" x14ac:dyDescent="0.25">
      <c r="A25" s="20" t="s">
        <v>227</v>
      </c>
      <c r="B25" s="21" t="s">
        <v>189</v>
      </c>
      <c r="C25" s="17">
        <v>18515.106210000002</v>
      </c>
      <c r="D25" s="91" t="s">
        <v>99</v>
      </c>
      <c r="E25" s="91">
        <f>IF(10971.64822="","-",10971.64822/2113068.17363*100)</f>
        <v>0.51922831250408785</v>
      </c>
      <c r="F25" s="91">
        <f>IF(18515.10621="","-",18515.10621/2808409.12887*100)</f>
        <v>0.65927382230984966</v>
      </c>
      <c r="G25" s="91">
        <f>IF(OR(1650717.59844="",8838.87886="",10971.64822=""),"-",(10971.64822-8838.87886)/1650717.59844*100)</f>
        <v>0.12920255784608817</v>
      </c>
      <c r="H25" s="91">
        <f>IF(OR(2113068.17363="",18515.10621="",10971.64822=""),"-",(18515.10621-10971.64822)/2113068.17363*100)</f>
        <v>0.35699075326288399</v>
      </c>
    </row>
    <row r="26" spans="1:8" s="7" customFormat="1" x14ac:dyDescent="0.25">
      <c r="A26" s="20" t="s">
        <v>228</v>
      </c>
      <c r="B26" s="21" t="s">
        <v>141</v>
      </c>
      <c r="C26" s="17">
        <v>163.51580999999999</v>
      </c>
      <c r="D26" s="91">
        <f>IF(OR(140.17529="",163.51581=""),"-",163.51581/140.17529*100)</f>
        <v>116.65095181896893</v>
      </c>
      <c r="E26" s="91">
        <f>IF(140.17529="","-",140.17529/2113068.17363*100)</f>
        <v>6.6337324914224364E-3</v>
      </c>
      <c r="F26" s="91">
        <f>IF(163.51581="","-",163.51581/2808409.12887*100)</f>
        <v>5.8223642815814622E-3</v>
      </c>
      <c r="G26" s="91">
        <f>IF(OR(1650717.59844="",112.06291="",140.17529=""),"-",(140.17529-112.06291)/1650717.59844*100)</f>
        <v>1.7030399401186133E-3</v>
      </c>
      <c r="H26" s="91">
        <f>IF(OR(2113068.17363="",163.51581="",140.17529=""),"-",(163.51581-140.17529)/2113068.17363*100)</f>
        <v>1.1045796009460384E-3</v>
      </c>
    </row>
    <row r="27" spans="1:8" s="7" customFormat="1" ht="14.25" customHeight="1" x14ac:dyDescent="0.25">
      <c r="A27" s="20" t="s">
        <v>229</v>
      </c>
      <c r="B27" s="21" t="s">
        <v>142</v>
      </c>
      <c r="C27" s="17">
        <v>2687.7843200000002</v>
      </c>
      <c r="D27" s="91">
        <f>IF(OR(2961.87154="",2687.78432=""),"-",2687.78432/2961.87154*100)</f>
        <v>90.746147619893065</v>
      </c>
      <c r="E27" s="91">
        <f>IF(2961.87154="","-",2961.87154/2113068.17363*100)</f>
        <v>0.14016923717666224</v>
      </c>
      <c r="F27" s="91">
        <f>IF(2687.78432="","-",2687.78432/2808409.12887*100)</f>
        <v>9.5704870503731249E-2</v>
      </c>
      <c r="G27" s="91">
        <f>IF(OR(1650717.59844="",2162.32788="",2961.87154=""),"-",(2961.87154-2162.32788)/1650717.59844*100)</f>
        <v>4.8436126249311436E-2</v>
      </c>
      <c r="H27" s="91">
        <f>IF(OR(2113068.17363="",2687.78432="",2961.87154=""),"-",(2687.78432-2961.87154)/2113068.17363*100)</f>
        <v>-1.2971054290650293E-2</v>
      </c>
    </row>
    <row r="28" spans="1:8" s="7" customFormat="1" ht="38.25" x14ac:dyDescent="0.25">
      <c r="A28" s="20" t="s">
        <v>230</v>
      </c>
      <c r="B28" s="21" t="s">
        <v>143</v>
      </c>
      <c r="C28" s="17">
        <v>5885.9363499999999</v>
      </c>
      <c r="D28" s="91">
        <f>IF(OR(6055.00132="",5885.93635=""),"-",5885.93635/6055.00132*100)</f>
        <v>97.207845860552183</v>
      </c>
      <c r="E28" s="91">
        <f>IF(6055.00132="","-",6055.00132/2113068.17363*100)</f>
        <v>0.28655021146801085</v>
      </c>
      <c r="F28" s="91">
        <f>IF(5885.93635="","-",5885.93635/2808409.12887*100)</f>
        <v>0.20958258145131023</v>
      </c>
      <c r="G28" s="91">
        <f>IF(OR(1650717.59844="",4360.77384="",6055.00132=""),"-",(6055.00132-4360.77384)/1650717.59844*100)</f>
        <v>0.10263581618086093</v>
      </c>
      <c r="H28" s="91">
        <f>IF(OR(2113068.17363="",5885.93635="",6055.00132=""),"-",(5885.93635-6055.00132)/2113068.17363*100)</f>
        <v>-8.0009235911005575E-3</v>
      </c>
    </row>
    <row r="29" spans="1:8" s="7" customFormat="1" ht="25.5" x14ac:dyDescent="0.25">
      <c r="A29" s="20" t="s">
        <v>231</v>
      </c>
      <c r="B29" s="21" t="s">
        <v>144</v>
      </c>
      <c r="C29" s="17">
        <v>356.62813999999997</v>
      </c>
      <c r="D29" s="91">
        <f>IF(OR(383.1189="",356.62814=""),"-",356.62814/383.1189*100)</f>
        <v>93.085499044813503</v>
      </c>
      <c r="E29" s="91">
        <f>IF(383.1189="","-",383.1189/2113068.17363*100)</f>
        <v>1.813092945987858E-2</v>
      </c>
      <c r="F29" s="91">
        <f>IF(356.62814="","-",356.62814/2808409.12887*100)</f>
        <v>1.2698582137976951E-2</v>
      </c>
      <c r="G29" s="91">
        <f>IF(OR(1650717.59844="",525.5233="",383.1189=""),"-",(383.1189-525.5233)/1650717.59844*100)</f>
        <v>-8.6268178236288441E-3</v>
      </c>
      <c r="H29" s="91">
        <f>IF(OR(2113068.17363="",356.62814="",383.1189=""),"-",(356.62814-383.1189)/2113068.17363*100)</f>
        <v>-1.2536632906874957E-3</v>
      </c>
    </row>
    <row r="30" spans="1:8" s="7" customFormat="1" ht="25.5" x14ac:dyDescent="0.25">
      <c r="A30" s="20" t="s">
        <v>232</v>
      </c>
      <c r="B30" s="21" t="s">
        <v>145</v>
      </c>
      <c r="C30" s="17">
        <v>21252.953649999999</v>
      </c>
      <c r="D30" s="91">
        <f>IF(OR(23851.84747="",21252.95365=""),"-",21252.95365/23851.84747*100)</f>
        <v>89.104014591453364</v>
      </c>
      <c r="E30" s="91">
        <f>IF(23851.84747="","-",23851.84747/2113068.17363*100)</f>
        <v>1.1287779432608347</v>
      </c>
      <c r="F30" s="91">
        <f>IF(21252.95365="","-",21252.95365/2808409.12887*100)</f>
        <v>0.75676130772838646</v>
      </c>
      <c r="G30" s="91">
        <f>IF(OR(1650717.59844="",16722.13089="",23851.84747=""),"-",(23851.84747-16722.13089)/1650717.59844*100)</f>
        <v>0.43191619128177294</v>
      </c>
      <c r="H30" s="91">
        <f>IF(OR(2113068.17363="",21252.95365="",23851.84747=""),"-",(21252.95365-23851.84747)/2113068.17363*100)</f>
        <v>-0.12299147999259344</v>
      </c>
    </row>
    <row r="31" spans="1:8" s="7" customFormat="1" ht="25.5" x14ac:dyDescent="0.25">
      <c r="A31" s="18" t="s">
        <v>233</v>
      </c>
      <c r="B31" s="19" t="s">
        <v>146</v>
      </c>
      <c r="C31" s="16">
        <v>698554.1213</v>
      </c>
      <c r="D31" s="90" t="s">
        <v>315</v>
      </c>
      <c r="E31" s="90">
        <f>IF(249390.23807="","-",249390.23807/2113068.17363*100)</f>
        <v>11.802280739554995</v>
      </c>
      <c r="F31" s="90">
        <f>IF(698554.1213="","-",698554.1213/2808409.12887*100)</f>
        <v>24.873659400938934</v>
      </c>
      <c r="G31" s="90">
        <f>IF(1650717.59844="","-",(249390.23807-235009.37772)/1650717.59844*100)</f>
        <v>0.87118840700496203</v>
      </c>
      <c r="H31" s="90">
        <f>IF(2113068.17363="","-",(698554.1213-249390.23807)/2113068.17363*100)</f>
        <v>21.256478557357184</v>
      </c>
    </row>
    <row r="32" spans="1:8" s="7" customFormat="1" x14ac:dyDescent="0.25">
      <c r="A32" s="20" t="s">
        <v>234</v>
      </c>
      <c r="B32" s="21" t="s">
        <v>190</v>
      </c>
      <c r="C32" s="17">
        <v>6211.2782200000001</v>
      </c>
      <c r="D32" s="91" t="s">
        <v>204</v>
      </c>
      <c r="E32" s="91">
        <f>IF(2438.75049="","-",2438.75049/2113068.17363*100)</f>
        <v>0.11541276899791246</v>
      </c>
      <c r="F32" s="91">
        <f>IF(6211.27822="","-",6211.27822/2808409.12887*100)</f>
        <v>0.22116714249889893</v>
      </c>
      <c r="G32" s="91">
        <f>IF(OR(1650717.59844="",3293.92796="",2438.75049=""),"-",(2438.75049-3293.92796)/1650717.59844*100)</f>
        <v>-5.1806406547563313E-2</v>
      </c>
      <c r="H32" s="91">
        <f>IF(OR(2113068.17363="",6211.27822="",2438.75049=""),"-",(6211.27822-2438.75049)/2113068.17363*100)</f>
        <v>0.17853317640572125</v>
      </c>
    </row>
    <row r="33" spans="1:8" s="7" customFormat="1" ht="25.5" x14ac:dyDescent="0.25">
      <c r="A33" s="20" t="s">
        <v>235</v>
      </c>
      <c r="B33" s="21" t="s">
        <v>147</v>
      </c>
      <c r="C33" s="17">
        <v>319771.09850000002</v>
      </c>
      <c r="D33" s="91" t="s">
        <v>197</v>
      </c>
      <c r="E33" s="91">
        <f>IF(148246.27837="","-",148246.27837/2113068.17363*100)</f>
        <v>7.0156883824212128</v>
      </c>
      <c r="F33" s="91">
        <f>IF(319771.0985="","-",319771.0985/2808409.12887*100)</f>
        <v>11.386200650496535</v>
      </c>
      <c r="G33" s="91">
        <f>IF(OR(1650717.59844="",126692.64052="",148246.27837=""),"-",(148246.27837-126692.64052)/1650717.59844*100)</f>
        <v>1.305713216504697</v>
      </c>
      <c r="H33" s="91">
        <f>IF(OR(2113068.17363="",319771.0985="",148246.27837=""),"-",(319771.0985-148246.27837)/2113068.17363*100)</f>
        <v>8.1173348910622583</v>
      </c>
    </row>
    <row r="34" spans="1:8" s="7" customFormat="1" ht="25.5" x14ac:dyDescent="0.25">
      <c r="A34" s="20" t="s">
        <v>281</v>
      </c>
      <c r="B34" s="21" t="s">
        <v>191</v>
      </c>
      <c r="C34" s="17">
        <v>372570.56209000002</v>
      </c>
      <c r="D34" s="91" t="s">
        <v>364</v>
      </c>
      <c r="E34" s="91">
        <f>IF(97691.99749="","-",97691.99749/2113068.17363*100)</f>
        <v>4.6232297996413791</v>
      </c>
      <c r="F34" s="91">
        <f>IF(372570.56209="","-",372570.56209/2808409.12887*100)</f>
        <v>13.266249502611061</v>
      </c>
      <c r="G34" s="91">
        <f>IF(OR(1650717.59844="",96912.87432="",97691.99749=""),"-",(97691.99749-96912.87432)/1650717.59844*100)</f>
        <v>4.7199058805473267E-2</v>
      </c>
      <c r="H34" s="91">
        <f>IF(OR(2113068.17363="",372570.56209="",97691.99749=""),"-",(372570.56209-97691.99749)/2113068.17363*100)</f>
        <v>13.008504317576811</v>
      </c>
    </row>
    <row r="35" spans="1:8" s="7" customFormat="1" x14ac:dyDescent="0.25">
      <c r="A35" s="20" t="s">
        <v>289</v>
      </c>
      <c r="B35" s="21" t="s">
        <v>291</v>
      </c>
      <c r="C35" s="17">
        <v>1.18249</v>
      </c>
      <c r="D35" s="91">
        <f>IF(OR(1013.21172="",1.18249=""),"-",1.18249/1013.21172*100)</f>
        <v>0.116707098492702</v>
      </c>
      <c r="E35" s="91">
        <f>IF(1013.21172="","-",1013.21172/2113068.17363*100)</f>
        <v>4.7949788494491524E-2</v>
      </c>
      <c r="F35" s="91">
        <f>IF(1.18249="","-",1.18249/2808409.12887*100)</f>
        <v>4.2105332440497735E-5</v>
      </c>
      <c r="G35" s="91">
        <f>IF(OR(1650717.59844="",8109.93492="",1013.21172=""),"-",(1013.21172-8109.93492)/1650717.59844*100)</f>
        <v>-0.42991746175764478</v>
      </c>
      <c r="H35" s="91">
        <f>IF(OR(2113068.17363="",1.18249="",1013.21172=""),"-",(1.18249-1013.21172)/2113068.17363*100)</f>
        <v>-4.7893827687606215E-2</v>
      </c>
    </row>
    <row r="36" spans="1:8" s="7" customFormat="1" ht="25.5" x14ac:dyDescent="0.25">
      <c r="A36" s="18" t="s">
        <v>236</v>
      </c>
      <c r="B36" s="19" t="s">
        <v>148</v>
      </c>
      <c r="C36" s="16">
        <v>23370.75244</v>
      </c>
      <c r="D36" s="90" t="s">
        <v>318</v>
      </c>
      <c r="E36" s="90">
        <f>IF(5005.88081="","-",5005.88081/2113068.17363*100)</f>
        <v>0.23690105565314021</v>
      </c>
      <c r="F36" s="90">
        <f>IF(23370.75244="","-",23370.75244/2808409.12887*100)</f>
        <v>0.83217050534953663</v>
      </c>
      <c r="G36" s="90">
        <f>IF(1650717.59844="","-",(5005.88081-3265.23997)/1650717.59844*100)</f>
        <v>0.10544752425520761</v>
      </c>
      <c r="H36" s="90">
        <f>IF(2113068.17363="","-",(23370.75244-5005.88081)/2113068.17363*100)</f>
        <v>0.8691092819050571</v>
      </c>
    </row>
    <row r="37" spans="1:8" s="7" customFormat="1" x14ac:dyDescent="0.25">
      <c r="A37" s="20" t="s">
        <v>237</v>
      </c>
      <c r="B37" s="21" t="s">
        <v>194</v>
      </c>
      <c r="C37" s="17">
        <v>730.45065999999997</v>
      </c>
      <c r="D37" s="91">
        <f>IF(OR(527.52229="",730.45066=""),"-",730.45066/527.52229*100)</f>
        <v>138.46820766568933</v>
      </c>
      <c r="E37" s="91">
        <f>IF(527.52229="","-",527.52229/2113068.17363*100)</f>
        <v>2.496475488028289E-2</v>
      </c>
      <c r="F37" s="91">
        <f>IF(730.45066="","-",730.45066/2808409.12887*100)</f>
        <v>2.6009410541045573E-2</v>
      </c>
      <c r="G37" s="91">
        <f>IF(OR(1650717.59844="",487.48237="",527.52229=""),"-",(527.52229-487.48237)/1650717.59844*100)</f>
        <v>2.4256069019824747E-3</v>
      </c>
      <c r="H37" s="91">
        <f>IF(OR(2113068.17363="",730.45066="",527.52229=""),"-",(730.45066-527.52229)/2113068.17363*100)</f>
        <v>9.603493750577537E-3</v>
      </c>
    </row>
    <row r="38" spans="1:8" s="7" customFormat="1" ht="25.5" x14ac:dyDescent="0.25">
      <c r="A38" s="20" t="s">
        <v>238</v>
      </c>
      <c r="B38" s="21" t="s">
        <v>149</v>
      </c>
      <c r="C38" s="17">
        <v>21746.909039999999</v>
      </c>
      <c r="D38" s="91" t="s">
        <v>406</v>
      </c>
      <c r="E38" s="91">
        <f>IF(3871.33723="","-",3871.33723/2113068.17363*100)</f>
        <v>0.18320929150854148</v>
      </c>
      <c r="F38" s="91">
        <f>IF(21746.90904="","-",21746.90904/2808409.12887*100)</f>
        <v>0.77434974898939135</v>
      </c>
      <c r="G38" s="91">
        <f>IF(OR(1650717.59844="",2125.96257="",3871.33723=""),"-",(3871.33723-2125.96257)/1650717.59844*100)</f>
        <v>0.10573429771691142</v>
      </c>
      <c r="H38" s="91">
        <f>IF(OR(2113068.17363="",21746.90904="",3871.33723=""),"-",(21746.90904-3871.33723)/2113068.17363*100)</f>
        <v>0.8459533882095196</v>
      </c>
    </row>
    <row r="39" spans="1:8" s="7" customFormat="1" ht="63.75" x14ac:dyDescent="0.25">
      <c r="A39" s="20" t="s">
        <v>239</v>
      </c>
      <c r="B39" s="21" t="s">
        <v>192</v>
      </c>
      <c r="C39" s="17">
        <v>893.39274</v>
      </c>
      <c r="D39" s="91">
        <f>IF(OR(607.02129="",893.39274=""),"-",893.39274/607.02129*100)</f>
        <v>147.17650842196983</v>
      </c>
      <c r="E39" s="91">
        <f>IF(607.02129="","-",607.02129/2113068.17363*100)</f>
        <v>2.8727009264315855E-2</v>
      </c>
      <c r="F39" s="91">
        <f>IF(893.39274="","-",893.39274/2808409.12887*100)</f>
        <v>3.1811345819099661E-2</v>
      </c>
      <c r="G39" s="91">
        <f>IF(OR(1650717.59844="",651.79503="",607.02129=""),"-",(607.02129-651.79503)/1650717.59844*100)</f>
        <v>-2.7123803636862603E-3</v>
      </c>
      <c r="H39" s="91">
        <f>IF(OR(2113068.17363="",893.39274="",607.02129=""),"-",(893.39274-607.02129)/2113068.17363*100)</f>
        <v>1.3552399944960028E-2</v>
      </c>
    </row>
    <row r="40" spans="1:8" s="7" customFormat="1" ht="25.5" x14ac:dyDescent="0.25">
      <c r="A40" s="18" t="s">
        <v>240</v>
      </c>
      <c r="B40" s="19" t="s">
        <v>150</v>
      </c>
      <c r="C40" s="16">
        <v>399612.3725</v>
      </c>
      <c r="D40" s="90">
        <f>IF(339617.57307="","-",399612.3725/339617.57307*100)</f>
        <v>117.66539902151479</v>
      </c>
      <c r="E40" s="90">
        <f>IF(339617.57307="","-",339617.57307/2113068.17363*100)</f>
        <v>16.072248747496744</v>
      </c>
      <c r="F40" s="90">
        <f>IF(399612.3725="","-",399612.3725/2808409.12887*100)</f>
        <v>14.229136645086651</v>
      </c>
      <c r="G40" s="90">
        <f>IF(1650717.59844="","-",(339617.57307-293119.62694)/1650717.59844*100)</f>
        <v>2.8168322779100787</v>
      </c>
      <c r="H40" s="90">
        <f>IF(2113068.17363="","-",(399612.3725-339617.57307)/2113068.17363*100)</f>
        <v>2.8392268729757109</v>
      </c>
    </row>
    <row r="41" spans="1:8" s="7" customFormat="1" x14ac:dyDescent="0.25">
      <c r="A41" s="20" t="s">
        <v>241</v>
      </c>
      <c r="B41" s="21" t="s">
        <v>23</v>
      </c>
      <c r="C41" s="17">
        <v>5019.6717799999997</v>
      </c>
      <c r="D41" s="91">
        <f>IF(OR(3931.10849="",5019.67178=""),"-",5019.67178/3931.10849*100)</f>
        <v>127.69100096751589</v>
      </c>
      <c r="E41" s="91">
        <f>IF(3931.10849="","-",3931.10849/2113068.17363*100)</f>
        <v>0.18603793947863134</v>
      </c>
      <c r="F41" s="91">
        <f>IF(5019.67178="","-",5019.67178/2808409.12887*100)</f>
        <v>0.17873719781062419</v>
      </c>
      <c r="G41" s="91">
        <f>IF(OR(1650717.59844="",4050.09241="",3931.10849=""),"-",(3931.10849-4050.09241)/1650717.59844*100)</f>
        <v>-7.2080118436033576E-3</v>
      </c>
      <c r="H41" s="91">
        <f>IF(OR(2113068.17363="",5019.67178="",3931.10849=""),"-",(5019.67178-3931.10849)/2113068.17363*100)</f>
        <v>5.1515767620974449E-2</v>
      </c>
    </row>
    <row r="42" spans="1:8" s="7" customFormat="1" x14ac:dyDescent="0.25">
      <c r="A42" s="20" t="s">
        <v>242</v>
      </c>
      <c r="B42" s="21" t="s">
        <v>24</v>
      </c>
      <c r="C42" s="17">
        <v>8685.4127399999998</v>
      </c>
      <c r="D42" s="91" t="s">
        <v>198</v>
      </c>
      <c r="E42" s="91">
        <f>IF(4797.70036="","-",4797.70036/2113068.17363*100)</f>
        <v>0.22704900958108323</v>
      </c>
      <c r="F42" s="91">
        <f>IF(8685.41274="","-",8685.41274/2808409.12887*100)</f>
        <v>0.30926451031352004</v>
      </c>
      <c r="G42" s="91">
        <f>IF(OR(1650717.59844="",5417.96018="",4797.70036=""),"-",(4797.70036-5417.96018)/1650717.59844*100)</f>
        <v>-3.7575162498187015E-2</v>
      </c>
      <c r="H42" s="91">
        <f>IF(OR(2113068.17363="",8685.41274="",4797.70036=""),"-",(8685.41274-4797.70036)/2113068.17363*100)</f>
        <v>0.1839842381100924</v>
      </c>
    </row>
    <row r="43" spans="1:8" s="7" customFormat="1" x14ac:dyDescent="0.25">
      <c r="A43" s="20" t="s">
        <v>243</v>
      </c>
      <c r="B43" s="21" t="s">
        <v>151</v>
      </c>
      <c r="C43" s="17">
        <v>13449.95025</v>
      </c>
      <c r="D43" s="91">
        <f>IF(OR(13357.55472="",13449.95025=""),"-",13449.95025/13357.55472*100)</f>
        <v>100.691709912007</v>
      </c>
      <c r="E43" s="91">
        <f>IF(13357.55472="","-",13357.55472/2113068.17363*100)</f>
        <v>0.63214026346595842</v>
      </c>
      <c r="F43" s="91">
        <f>IF(13449.95025="","-",13449.95025/2808409.12887*100)</f>
        <v>0.47891705349255009</v>
      </c>
      <c r="G43" s="91">
        <f>IF(OR(1650717.59844="",9351.29435="",13357.55472=""),"-",(13357.55472-9351.29435)/1650717.59844*100)</f>
        <v>0.24269810740408232</v>
      </c>
      <c r="H43" s="91">
        <f>IF(OR(2113068.17363="",13449.95025="",13357.55472=""),"-",(13449.95025-13357.55472)/2113068.17363*100)</f>
        <v>4.3725768601812426E-3</v>
      </c>
    </row>
    <row r="44" spans="1:8" s="7" customFormat="1" x14ac:dyDescent="0.25">
      <c r="A44" s="20" t="s">
        <v>244</v>
      </c>
      <c r="B44" s="21" t="s">
        <v>152</v>
      </c>
      <c r="C44" s="17">
        <v>108008.09686999999</v>
      </c>
      <c r="D44" s="91">
        <f>IF(OR(101131.38259="",108008.09687=""),"-",108008.09687/101131.38259*100)</f>
        <v>106.79978272212406</v>
      </c>
      <c r="E44" s="91">
        <f>IF(101131.38259="","-",101131.38259/2113068.17363*100)</f>
        <v>4.7859971510653292</v>
      </c>
      <c r="F44" s="91">
        <f>IF(108008.09687="","-",108008.09687/2808409.12887*100)</f>
        <v>3.8458818467613529</v>
      </c>
      <c r="G44" s="91">
        <f>IF(OR(1650717.59844="",80426.24062="",101131.38259=""),"-",(101131.38259-80426.24062)/1650717.59844*100)</f>
        <v>1.2543115787683645</v>
      </c>
      <c r="H44" s="91">
        <f>IF(OR(2113068.17363="",108008.09687="",101131.38259=""),"-",(108008.09687-101131.38259)/2113068.17363*100)</f>
        <v>0.32543740735949006</v>
      </c>
    </row>
    <row r="45" spans="1:8" s="7" customFormat="1" ht="38.25" x14ac:dyDescent="0.25">
      <c r="A45" s="20" t="s">
        <v>245</v>
      </c>
      <c r="B45" s="21" t="s">
        <v>153</v>
      </c>
      <c r="C45" s="17">
        <v>46044.373890000003</v>
      </c>
      <c r="D45" s="91">
        <f>IF(OR(43179.88446="",46044.37389=""),"-",46044.37389/43179.88446*100)</f>
        <v>106.63385153949068</v>
      </c>
      <c r="E45" s="91">
        <f>IF(43179.88446="","-",43179.88446/2113068.17363*100)</f>
        <v>2.0434685922045803</v>
      </c>
      <c r="F45" s="91">
        <f>IF(46044.37389="","-",46044.37389/2808409.12887*100)</f>
        <v>1.639518025228986</v>
      </c>
      <c r="G45" s="91">
        <f>IF(OR(1650717.59844="",34937.76832="",43179.88446=""),"-",(43179.88446-34937.76832)/1650717.59844*100)</f>
        <v>0.49930503847473101</v>
      </c>
      <c r="H45" s="91">
        <f>IF(OR(2113068.17363="",46044.37389="",43179.88446=""),"-",(46044.37389-43179.88446)/2113068.17363*100)</f>
        <v>0.13556067266297184</v>
      </c>
    </row>
    <row r="46" spans="1:8" s="7" customFormat="1" x14ac:dyDescent="0.25">
      <c r="A46" s="20" t="s">
        <v>246</v>
      </c>
      <c r="B46" s="21" t="s">
        <v>154</v>
      </c>
      <c r="C46" s="17">
        <v>68070.930349999995</v>
      </c>
      <c r="D46" s="91" t="s">
        <v>197</v>
      </c>
      <c r="E46" s="91">
        <f>IF(31005.07395="","-",31005.07395/2113068.17363*100)</f>
        <v>1.4673011659977335</v>
      </c>
      <c r="F46" s="91">
        <f>IF(68070.93035="","-",68070.93035/2808409.12887*100)</f>
        <v>2.4238252771023152</v>
      </c>
      <c r="G46" s="91">
        <f>IF(OR(1650717.59844="",42595.8252="",31005.07395=""),"-",(31005.07395-42595.8252)/1650717.59844*100)</f>
        <v>-0.70216439571212907</v>
      </c>
      <c r="H46" s="91">
        <f>IF(OR(2113068.17363="",68070.93035="",31005.07395=""),"-",(68070.93035-31005.07395)/2113068.17363*100)</f>
        <v>1.7541249668402914</v>
      </c>
    </row>
    <row r="47" spans="1:8" s="7" customFormat="1" x14ac:dyDescent="0.25">
      <c r="A47" s="20" t="s">
        <v>247</v>
      </c>
      <c r="B47" s="21" t="s">
        <v>25</v>
      </c>
      <c r="C47" s="17">
        <v>23020.085569999999</v>
      </c>
      <c r="D47" s="91">
        <f>IF(OR(18122.61884="",23020.08557=""),"-",23020.08557/18122.61884*100)</f>
        <v>127.02405636425115</v>
      </c>
      <c r="E47" s="91">
        <f>IF(18122.61884="","-",18122.61884/2113068.17363*100)</f>
        <v>0.85764477768208935</v>
      </c>
      <c r="F47" s="91">
        <f>IF(23020.08557="","-",23020.08557/2808409.12887*100)</f>
        <v>0.81968418822447109</v>
      </c>
      <c r="G47" s="91">
        <f>IF(OR(1650717.59844="",14799.34235="",18122.61884=""),"-",(18122.61884-14799.34235)/1650717.59844*100)</f>
        <v>0.20132313929049034</v>
      </c>
      <c r="H47" s="91">
        <f>IF(OR(2113068.17363="",23020.08557="",18122.61884=""),"-",(23020.08557-18122.61884)/2113068.17363*100)</f>
        <v>0.23177040812586439</v>
      </c>
    </row>
    <row r="48" spans="1:8" s="7" customFormat="1" x14ac:dyDescent="0.25">
      <c r="A48" s="20" t="s">
        <v>248</v>
      </c>
      <c r="B48" s="21" t="s">
        <v>26</v>
      </c>
      <c r="C48" s="17">
        <v>45540.302179999999</v>
      </c>
      <c r="D48" s="91">
        <f>IF(OR(46006.44438="",45540.30218=""),"-",45540.30218/46006.44438*100)</f>
        <v>98.986789337272398</v>
      </c>
      <c r="E48" s="91">
        <f>IF(46006.44438="","-",46006.44438/2113068.17363*100)</f>
        <v>2.1772342678829144</v>
      </c>
      <c r="F48" s="91">
        <f>IF(45540.30218="","-",45540.30218/2808409.12887*100)</f>
        <v>1.6215693686455053</v>
      </c>
      <c r="G48" s="91">
        <f>IF(OR(1650717.59844="",30804.33608="",46006.44438=""),"-",(46006.44438-30804.33608)/1650717.59844*100)</f>
        <v>0.92093937293493777</v>
      </c>
      <c r="H48" s="91">
        <f>IF(OR(2113068.17363="",45540.30218="",46006.44438=""),"-",(45540.30218-46006.44438)/2113068.17363*100)</f>
        <v>-2.2059969754748856E-2</v>
      </c>
    </row>
    <row r="49" spans="1:8" s="7" customFormat="1" x14ac:dyDescent="0.25">
      <c r="A49" s="20" t="s">
        <v>249</v>
      </c>
      <c r="B49" s="21" t="s">
        <v>155</v>
      </c>
      <c r="C49" s="17">
        <v>81773.548869999999</v>
      </c>
      <c r="D49" s="91">
        <f>IF(OR(78085.80528="",81773.54887=""),"-",81773.54887/78085.80528*100)</f>
        <v>104.72268112850536</v>
      </c>
      <c r="E49" s="91">
        <f>IF(78085.80528="","-",78085.80528/2113068.17363*100)</f>
        <v>3.6953755801384234</v>
      </c>
      <c r="F49" s="91">
        <f>IF(81773.54887="","-",81773.54887/2808409.12887*100)</f>
        <v>2.911739177507326</v>
      </c>
      <c r="G49" s="91">
        <f>IF(OR(1650717.59844="",70736.76743="",78085.80528=""),"-",(78085.80528-70736.76743)/1650717.59844*100)</f>
        <v>0.44520261109139164</v>
      </c>
      <c r="H49" s="91">
        <f>IF(OR(2113068.17363="",81773.54887="",78085.80528=""),"-",(81773.54887-78085.80528)/2113068.17363*100)</f>
        <v>0.1745208051505926</v>
      </c>
    </row>
    <row r="50" spans="1:8" s="7" customFormat="1" ht="25.5" x14ac:dyDescent="0.25">
      <c r="A50" s="18" t="s">
        <v>250</v>
      </c>
      <c r="B50" s="19" t="s">
        <v>320</v>
      </c>
      <c r="C50" s="16">
        <v>402091.27220000001</v>
      </c>
      <c r="D50" s="90">
        <f>IF(374409.81368="","-",402091.2722/374409.81368*100)</f>
        <v>107.39335816225659</v>
      </c>
      <c r="E50" s="90">
        <f>IF(374409.81368="","-",374409.81368/2113068.17363*100)</f>
        <v>17.718775870671909</v>
      </c>
      <c r="F50" s="90">
        <f>IF(402091.2722="","-",402091.2722/2808409.12887*100)</f>
        <v>14.317403688321818</v>
      </c>
      <c r="G50" s="90">
        <f>IF(1650717.59844="","-",(374409.81368-289587.70242)/1650717.59844*100)</f>
        <v>5.1384992405824361</v>
      </c>
      <c r="H50" s="90">
        <f>IF(2113068.17363="","-",(402091.2722-374409.81368)/2113068.17363*100)</f>
        <v>1.3100125620862733</v>
      </c>
    </row>
    <row r="51" spans="1:8" s="7" customFormat="1" x14ac:dyDescent="0.25">
      <c r="A51" s="20" t="s">
        <v>251</v>
      </c>
      <c r="B51" s="21" t="s">
        <v>156</v>
      </c>
      <c r="C51" s="17">
        <v>17685.378779999999</v>
      </c>
      <c r="D51" s="91">
        <f>IF(OR(20023.73149="",17685.37878=""),"-",17685.37878/20023.73149*100)</f>
        <v>88.322093156473898</v>
      </c>
      <c r="E51" s="91">
        <f>IF(20023.73149="","-",20023.73149/2113068.17363*100)</f>
        <v>0.94761407795005514</v>
      </c>
      <c r="F51" s="91">
        <f>IF(17685.37878="","-",17685.37878/2808409.12887*100)</f>
        <v>0.6297294293127419</v>
      </c>
      <c r="G51" s="91">
        <f>IF(OR(1650717.59844="",13641.24317="",20023.73149=""),"-",(20023.73149-13641.24317)/1650717.59844*100)</f>
        <v>0.38664931700199523</v>
      </c>
      <c r="H51" s="91">
        <f>IF(OR(2113068.17363="",17685.37878="",20023.73149=""),"-",(17685.37878-20023.73149)/2113068.17363*100)</f>
        <v>-0.11066148925914621</v>
      </c>
    </row>
    <row r="52" spans="1:8" s="7" customFormat="1" x14ac:dyDescent="0.25">
      <c r="A52" s="20" t="s">
        <v>252</v>
      </c>
      <c r="B52" s="21" t="s">
        <v>27</v>
      </c>
      <c r="C52" s="17">
        <v>26321.603149999999</v>
      </c>
      <c r="D52" s="91">
        <f>IF(OR(20519.64282="",26321.60315=""),"-",26321.60315/20519.64282*100)</f>
        <v>128.27515264712582</v>
      </c>
      <c r="E52" s="91">
        <f>IF(20519.64282="","-",20519.64282/2113068.17363*100)</f>
        <v>0.97108285837979813</v>
      </c>
      <c r="F52" s="91">
        <f>IF(26321.60315="","-",26321.60315/2808409.12887*100)</f>
        <v>0.93724247223875234</v>
      </c>
      <c r="G52" s="91">
        <f>IF(OR(1650717.59844="",17816.96458="",20519.64282=""),"-",(20519.64282-17816.96458)/1650717.59844*100)</f>
        <v>0.16372747479969618</v>
      </c>
      <c r="H52" s="91">
        <f>IF(OR(2113068.17363="",26321.60315="",20519.64282=""),"-",(26321.60315-20519.64282)/2113068.17363*100)</f>
        <v>0.27457516053696079</v>
      </c>
    </row>
    <row r="53" spans="1:8" s="7" customFormat="1" x14ac:dyDescent="0.25">
      <c r="A53" s="20" t="s">
        <v>253</v>
      </c>
      <c r="B53" s="21" t="s">
        <v>157</v>
      </c>
      <c r="C53" s="17">
        <v>32036.223979999999</v>
      </c>
      <c r="D53" s="91">
        <f>IF(OR(30525.81552="",32036.22398=""),"-",32036.22398/30525.81552*100)</f>
        <v>104.94797087078773</v>
      </c>
      <c r="E53" s="91">
        <f>IF(30525.81552="","-",30525.81552/2113068.17363*100)</f>
        <v>1.4446204765632467</v>
      </c>
      <c r="F53" s="91">
        <f>IF(32036.22398="","-",32036.22398/2808409.12887*100)</f>
        <v>1.1407249624234839</v>
      </c>
      <c r="G53" s="91">
        <f>IF(OR(1650717.59844="",19693.15185="",30525.81552=""),"-",(30525.81552-19693.15185)/1650717.59844*100)</f>
        <v>0.65623966693257163</v>
      </c>
      <c r="H53" s="91">
        <f>IF(OR(2113068.17363="",32036.22398="",30525.81552=""),"-",(32036.22398-30525.81552)/2113068.17363*100)</f>
        <v>7.1479400373784266E-2</v>
      </c>
    </row>
    <row r="54" spans="1:8" s="7" customFormat="1" ht="25.5" x14ac:dyDescent="0.25">
      <c r="A54" s="20" t="s">
        <v>254</v>
      </c>
      <c r="B54" s="21" t="s">
        <v>158</v>
      </c>
      <c r="C54" s="17">
        <v>44040.10529</v>
      </c>
      <c r="D54" s="91">
        <f>IF(OR(33926.11923="",44040.10529=""),"-",44040.10529/33926.11923*100)</f>
        <v>129.81179778162326</v>
      </c>
      <c r="E54" s="91">
        <f>IF(33926.11923="","-",33926.11923/2113068.17363*100)</f>
        <v>1.6055383188001433</v>
      </c>
      <c r="F54" s="91">
        <f>IF(44040.10529="","-",44040.10529/2808409.12887*100)</f>
        <v>1.5681513365440491</v>
      </c>
      <c r="G54" s="91">
        <f>IF(OR(1650717.59844="",29510.36472="",33926.11923=""),"-",(33926.11923-29510.36472)/1650717.59844*100)</f>
        <v>0.26750514528790842</v>
      </c>
      <c r="H54" s="91">
        <f>IF(OR(2113068.17363="",44040.10529="",33926.11923=""),"-",(44040.10529-33926.11923)/2113068.17363*100)</f>
        <v>0.4786398369071726</v>
      </c>
    </row>
    <row r="55" spans="1:8" s="7" customFormat="1" ht="27.75" customHeight="1" x14ac:dyDescent="0.25">
      <c r="A55" s="20" t="s">
        <v>255</v>
      </c>
      <c r="B55" s="21" t="s">
        <v>159</v>
      </c>
      <c r="C55" s="17">
        <v>107343.49059</v>
      </c>
      <c r="D55" s="91">
        <f>IF(OR(96775.67103="",107343.49059=""),"-",107343.49059/96775.67103*100)</f>
        <v>110.91991349429551</v>
      </c>
      <c r="E55" s="91">
        <f>IF(96775.67103="","-",96775.67103/2113068.17363*100)</f>
        <v>4.5798650624580128</v>
      </c>
      <c r="F55" s="91">
        <f>IF(107343.49059="","-",107343.49059/2808409.12887*100)</f>
        <v>3.8222169799451922</v>
      </c>
      <c r="G55" s="91">
        <f>IF(OR(1650717.59844="",76159.96153="",96775.67103=""),"-",(96775.67103-76159.96153)/1650717.59844*100)</f>
        <v>1.2488937853138986</v>
      </c>
      <c r="H55" s="91">
        <f>IF(OR(2113068.17363="",107343.49059="",96775.67103=""),"-",(107343.49059-96775.67103)/2113068.17363*100)</f>
        <v>0.5001173029758782</v>
      </c>
    </row>
    <row r="56" spans="1:8" s="7" customFormat="1" ht="16.5" customHeight="1" x14ac:dyDescent="0.25">
      <c r="A56" s="20" t="s">
        <v>256</v>
      </c>
      <c r="B56" s="21" t="s">
        <v>28</v>
      </c>
      <c r="C56" s="17">
        <v>45373.426939999998</v>
      </c>
      <c r="D56" s="91">
        <f>IF(OR(44956.29091="",45373.42694=""),"-",45373.42694/44956.29091*100)</f>
        <v>100.92787020805403</v>
      </c>
      <c r="E56" s="91">
        <f>IF(44956.29091="","-",44956.29091/2113068.17363*100)</f>
        <v>2.1275362277010892</v>
      </c>
      <c r="F56" s="91">
        <f>IF(45373.42694="","-",45373.42694/2808409.12887*100)</f>
        <v>1.6156273839722415</v>
      </c>
      <c r="G56" s="91">
        <f>IF(OR(1650717.59844="",34859.87143="",44956.29091=""),"-",(44956.29091-34859.87143)/1650717.59844*100)</f>
        <v>0.6116382044718951</v>
      </c>
      <c r="H56" s="91">
        <f>IF(OR(2113068.17363="",45373.42694="",44956.29091=""),"-",(45373.42694-44956.29091)/2113068.17363*100)</f>
        <v>1.9740774822395061E-2</v>
      </c>
    </row>
    <row r="57" spans="1:8" s="7" customFormat="1" ht="16.5" customHeight="1" x14ac:dyDescent="0.25">
      <c r="A57" s="20" t="s">
        <v>257</v>
      </c>
      <c r="B57" s="21" t="s">
        <v>160</v>
      </c>
      <c r="C57" s="17">
        <v>58109.067280000003</v>
      </c>
      <c r="D57" s="91">
        <f>IF(OR(44084.62923="",58109.06728=""),"-",58109.06728/44084.62923*100)</f>
        <v>131.81253487883765</v>
      </c>
      <c r="E57" s="91">
        <f>IF(44084.62923="","-",44084.62923/2113068.17363*100)</f>
        <v>2.0862852311228486</v>
      </c>
      <c r="F57" s="91">
        <f>IF(58109.06728="","-",58109.06728/2808409.12887*100)</f>
        <v>2.0691097562192065</v>
      </c>
      <c r="G57" s="91">
        <f>IF(OR(1650717.59844="",36718.05346="",44084.62923=""),"-",(44084.62923-36718.05346)/1650717.59844*100)</f>
        <v>0.44626505326905891</v>
      </c>
      <c r="H57" s="91">
        <f>IF(OR(2113068.17363="",58109.06728="",44084.62923=""),"-",(58109.06728-44084.62923)/2113068.17363*100)</f>
        <v>0.66370021682299463</v>
      </c>
    </row>
    <row r="58" spans="1:8" s="7" customFormat="1" ht="16.5" customHeight="1" x14ac:dyDescent="0.25">
      <c r="A58" s="20" t="s">
        <v>258</v>
      </c>
      <c r="B58" s="21" t="s">
        <v>29</v>
      </c>
      <c r="C58" s="17">
        <v>10759.157160000001</v>
      </c>
      <c r="D58" s="91">
        <f>IF(OR(23945.37489="",10759.15716=""),"-",10759.15716/23945.37489*100)</f>
        <v>44.932089012702029</v>
      </c>
      <c r="E58" s="91">
        <f>IF(23945.37489="","-",23945.37489/2113068.17363*100)</f>
        <v>1.1332040863056816</v>
      </c>
      <c r="F58" s="91">
        <f>IF(10759.15716="","-",10759.15716/2808409.12887*100)</f>
        <v>0.38310504866963907</v>
      </c>
      <c r="G58" s="91">
        <f>IF(OR(1650717.59844="",20295.2286="",23945.37489=""),"-",(23945.37489-20295.2286)/1650717.59844*100)</f>
        <v>0.22112481828809163</v>
      </c>
      <c r="H58" s="91">
        <f>IF(OR(2113068.17363="",10759.15716="",23945.37489=""),"-",(10759.15716-23945.37489)/2113068.17363*100)</f>
        <v>-0.62403181755123605</v>
      </c>
    </row>
    <row r="59" spans="1:8" s="7" customFormat="1" ht="15.75" customHeight="1" x14ac:dyDescent="0.25">
      <c r="A59" s="20" t="s">
        <v>259</v>
      </c>
      <c r="B59" s="21" t="s">
        <v>30</v>
      </c>
      <c r="C59" s="17">
        <v>60422.819029999999</v>
      </c>
      <c r="D59" s="91">
        <f>IF(OR(59652.53856="",60422.81903=""),"-",60422.81903/59652.53856*100)</f>
        <v>101.29127860874728</v>
      </c>
      <c r="E59" s="91">
        <f>IF(59652.53856="","-",59652.53856/2113068.17363*100)</f>
        <v>2.8230295313910307</v>
      </c>
      <c r="F59" s="91">
        <f>IF(60422.81903="","-",60422.81903/2808409.12887*100)</f>
        <v>2.1514963189965099</v>
      </c>
      <c r="G59" s="91">
        <f>IF(OR(1650717.59844="",40892.86308="",59652.53856=""),"-",(59652.53856-40892.86308)/1650717.59844*100)</f>
        <v>1.1364557752173181</v>
      </c>
      <c r="H59" s="91">
        <f>IF(OR(2113068.17363="",60422.81903="",59652.53856=""),"-",(60422.81903-59652.53856)/2113068.17363*100)</f>
        <v>3.6453176457470725E-2</v>
      </c>
    </row>
    <row r="60" spans="1:8" s="7" customFormat="1" ht="25.5" x14ac:dyDescent="0.25">
      <c r="A60" s="18" t="s">
        <v>260</v>
      </c>
      <c r="B60" s="19" t="s">
        <v>161</v>
      </c>
      <c r="C60" s="16">
        <v>586456.65148</v>
      </c>
      <c r="D60" s="90">
        <f>IF(536274.80245="","-",586456.65148/536274.80245*100)</f>
        <v>109.35748776573905</v>
      </c>
      <c r="E60" s="90">
        <f>IF(536274.80245="","-",536274.80245/2113068.17363*100)</f>
        <v>25.378963591541087</v>
      </c>
      <c r="F60" s="90">
        <f>IF(586456.65148="","-",586456.65148/2808409.12887*100)</f>
        <v>20.882165830160524</v>
      </c>
      <c r="G60" s="90">
        <f>IF(1650717.59844="","-",(536274.80245-354055.73384)/1650717.59844*100)</f>
        <v>11.038779060828146</v>
      </c>
      <c r="H60" s="90">
        <f>IF(2113068.17363="","-",(586456.65148-536274.80245)/2113068.17363*100)</f>
        <v>2.374833413149827</v>
      </c>
    </row>
    <row r="61" spans="1:8" s="7" customFormat="1" ht="25.5" x14ac:dyDescent="0.25">
      <c r="A61" s="20" t="s">
        <v>261</v>
      </c>
      <c r="B61" s="21" t="s">
        <v>162</v>
      </c>
      <c r="C61" s="17">
        <v>9002.9079700000002</v>
      </c>
      <c r="D61" s="91">
        <f>IF(OR(9541.46854="",9002.90797=""),"-",9002.90797/9541.46854*100)</f>
        <v>94.355579880159624</v>
      </c>
      <c r="E61" s="91">
        <f>IF(9541.46854="","-",9541.46854/2113068.17363*100)</f>
        <v>0.45154570302428487</v>
      </c>
      <c r="F61" s="91">
        <f>IF(9002.90797="","-",9002.90797/2808409.12887*100)</f>
        <v>0.32056967332328951</v>
      </c>
      <c r="G61" s="91">
        <f>IF(OR(1650717.59844="",5215.56273="",9541.46854=""),"-",(9541.46854-5215.56273)/1650717.59844*100)</f>
        <v>0.26206213673908663</v>
      </c>
      <c r="H61" s="91">
        <f>IF(OR(2113068.17363="",9002.90797="",9541.46854=""),"-",(9002.90797-9541.46854)/2113068.17363*100)</f>
        <v>-2.5487136511777402E-2</v>
      </c>
    </row>
    <row r="62" spans="1:8" s="7" customFormat="1" ht="25.5" x14ac:dyDescent="0.25">
      <c r="A62" s="20" t="s">
        <v>262</v>
      </c>
      <c r="B62" s="21" t="s">
        <v>163</v>
      </c>
      <c r="C62" s="17">
        <v>98029.084090000004</v>
      </c>
      <c r="D62" s="91" t="s">
        <v>99</v>
      </c>
      <c r="E62" s="91">
        <f>IF(56556.40665="","-",56556.40665/2113068.17363*100)</f>
        <v>2.6765064826490104</v>
      </c>
      <c r="F62" s="91">
        <f>IF(98029.08409="","-",98029.08409/2808409.12887*100)</f>
        <v>3.4905556701933698</v>
      </c>
      <c r="G62" s="91">
        <f>IF(OR(1650717.59844="",51279.96061="",56556.40665=""),"-",(56556.40665-51279.96061)/1650717.59844*100)</f>
        <v>0.31964559201322301</v>
      </c>
      <c r="H62" s="91">
        <f>IF(OR(2113068.17363="",98029.08409="",56556.40665=""),"-",(98029.08409-56556.40665)/2113068.17363*100)</f>
        <v>1.9626757885787887</v>
      </c>
    </row>
    <row r="63" spans="1:8" s="7" customFormat="1" ht="27" customHeight="1" x14ac:dyDescent="0.25">
      <c r="A63" s="20" t="s">
        <v>263</v>
      </c>
      <c r="B63" s="21" t="s">
        <v>164</v>
      </c>
      <c r="C63" s="17">
        <v>3684.11285</v>
      </c>
      <c r="D63" s="91">
        <f>IF(OR(5141.71211="",3684.11285=""),"-",3684.11285/5141.71211*100)</f>
        <v>71.651480502668591</v>
      </c>
      <c r="E63" s="91">
        <f>IF(5141.71211="","-",5141.71211/2113068.17363*100)</f>
        <v>0.24332921077350522</v>
      </c>
      <c r="F63" s="91">
        <f>IF(3684.11285="","-",3684.11285/2808409.12887*100)</f>
        <v>0.13118148677583705</v>
      </c>
      <c r="G63" s="91">
        <f>IF(OR(1650717.59844="",4083.12155="",5141.71211=""),"-",(5141.71211-4083.12155)/1650717.59844*100)</f>
        <v>6.4129113362601492E-2</v>
      </c>
      <c r="H63" s="91">
        <f>IF(OR(2113068.17363="",3684.11285="",5141.71211=""),"-",(3684.11285-5141.71211)/2113068.17363*100)</f>
        <v>-6.8980228758829781E-2</v>
      </c>
    </row>
    <row r="64" spans="1:8" s="7" customFormat="1" ht="38.25" x14ac:dyDescent="0.25">
      <c r="A64" s="20" t="s">
        <v>264</v>
      </c>
      <c r="B64" s="21" t="s">
        <v>165</v>
      </c>
      <c r="C64" s="17">
        <v>73508.184720000005</v>
      </c>
      <c r="D64" s="91">
        <f>IF(OR(75098.97618="",73508.18472=""),"-",73508.18472/75098.97618*100)</f>
        <v>97.881740150242365</v>
      </c>
      <c r="E64" s="91">
        <f>IF(75098.97618="","-",75098.97618/2113068.17363*100)</f>
        <v>3.5540252376708166</v>
      </c>
      <c r="F64" s="91">
        <f>IF(73508.18472="","-",73508.18472/2808409.12887*100)</f>
        <v>2.6174314833386463</v>
      </c>
      <c r="G64" s="91">
        <f>IF(OR(1650717.59844="",54976.22906="",75098.97618=""),"-",(75098.97618-54976.22906)/1650717.59844*100)</f>
        <v>1.2190302653232068</v>
      </c>
      <c r="H64" s="91">
        <f>IF(OR(2113068.17363="",73508.18472="",75098.97618=""),"-",(73508.18472-75098.97618)/2113068.17363*100)</f>
        <v>-7.5283489659834418E-2</v>
      </c>
    </row>
    <row r="65" spans="1:8" s="7" customFormat="1" ht="27.75" customHeight="1" x14ac:dyDescent="0.25">
      <c r="A65" s="20" t="s">
        <v>265</v>
      </c>
      <c r="B65" s="21" t="s">
        <v>166</v>
      </c>
      <c r="C65" s="17">
        <v>29345.721989999998</v>
      </c>
      <c r="D65" s="91">
        <f>IF(OR(26449.75545="",29345.72199=""),"-",29345.72199/26449.75545*100)</f>
        <v>110.94893503070176</v>
      </c>
      <c r="E65" s="91">
        <f>IF(26449.75545="","-",26449.75545/2113068.17363*100)</f>
        <v>1.2517227688192598</v>
      </c>
      <c r="F65" s="91">
        <f>IF(29345.72199="","-",29345.72199/2808409.12887*100)</f>
        <v>1.0449233228994534</v>
      </c>
      <c r="G65" s="91">
        <f>IF(OR(1650717.59844="",12632.98899="",26449.75545=""),"-",(26449.75545-12632.98899)/1650717.59844*100)</f>
        <v>0.83701576048243775</v>
      </c>
      <c r="H65" s="91">
        <f>IF(OR(2113068.17363="",29345.72199="",26449.75545=""),"-",(29345.72199-26449.75545)/2113068.17363*100)</f>
        <v>0.13705031272252191</v>
      </c>
    </row>
    <row r="66" spans="1:8" s="7" customFormat="1" ht="38.25" x14ac:dyDescent="0.25">
      <c r="A66" s="20" t="s">
        <v>266</v>
      </c>
      <c r="B66" s="21" t="s">
        <v>167</v>
      </c>
      <c r="C66" s="17">
        <v>53622.780429999999</v>
      </c>
      <c r="D66" s="91">
        <f>IF(OR(56339.87667="",53622.78043=""),"-",53622.78043/56339.87667*100)</f>
        <v>95.177312410684053</v>
      </c>
      <c r="E66" s="91">
        <f>IF(56339.87667="","-",56339.87667/2113068.17363*100)</f>
        <v>2.6662592988287162</v>
      </c>
      <c r="F66" s="91">
        <f>IF(53622.78043="","-",53622.78043/2808409.12887*100)</f>
        <v>1.9093649810053075</v>
      </c>
      <c r="G66" s="91">
        <f>IF(OR(1650717.59844="",40173.45811="",56339.87667=""),"-",(56339.87667-40173.45811)/1650717.59844*100)</f>
        <v>0.97935701268817665</v>
      </c>
      <c r="H66" s="91">
        <f>IF(OR(2113068.17363="",53622.78043="",56339.87667=""),"-",(53622.78043-56339.87667)/2113068.17363*100)</f>
        <v>-0.12858535630359483</v>
      </c>
    </row>
    <row r="67" spans="1:8" s="7" customFormat="1" ht="41.25" customHeight="1" x14ac:dyDescent="0.25">
      <c r="A67" s="20" t="s">
        <v>267</v>
      </c>
      <c r="B67" s="21" t="s">
        <v>168</v>
      </c>
      <c r="C67" s="17">
        <v>168877.25703000001</v>
      </c>
      <c r="D67" s="91">
        <f>IF(OR(172436.91894="",168877.25703=""),"-",168877.25703/172436.91894*100)</f>
        <v>97.935672980077655</v>
      </c>
      <c r="E67" s="91">
        <f>IF(172436.91894="","-",172436.91894/2113068.17363*100)</f>
        <v>8.1604995566126899</v>
      </c>
      <c r="F67" s="91">
        <f>IF(168877.25703="","-",168877.25703/2808409.12887*100)</f>
        <v>6.0132711895132589</v>
      </c>
      <c r="G67" s="91">
        <f>IF(OR(1650717.59844="",106219.45487="",172436.91894=""),"-",(172436.91894-106219.45487)/1650717.59844*100)</f>
        <v>4.0114350348344496</v>
      </c>
      <c r="H67" s="91">
        <f>IF(OR(2113068.17363="",168877.25703="",172436.91894=""),"-",(168877.25703-172436.91894)/2113068.17363*100)</f>
        <v>-0.1684593973077981</v>
      </c>
    </row>
    <row r="68" spans="1:8" s="7" customFormat="1" ht="25.5" x14ac:dyDescent="0.25">
      <c r="A68" s="20" t="s">
        <v>268</v>
      </c>
      <c r="B68" s="21" t="s">
        <v>169</v>
      </c>
      <c r="C68" s="17">
        <v>147390.46507999999</v>
      </c>
      <c r="D68" s="91">
        <f>IF(OR(134188.59691="",147390.46508=""),"-",147390.46508/134188.59691*100)</f>
        <v>109.83829362107009</v>
      </c>
      <c r="E68" s="91">
        <f>IF(134188.59691="","-",134188.59691/2113068.17363*100)</f>
        <v>6.3504149361863664</v>
      </c>
      <c r="F68" s="91">
        <f>IF(147390.46508="","-",147390.46508/2808409.12887*100)</f>
        <v>5.2481835201591327</v>
      </c>
      <c r="G68" s="91">
        <f>IF(OR(1650717.59844="",76055.30714="",134188.59691=""),"-",(134188.59691-76055.30714)/1650717.59844*100)</f>
        <v>3.5216980678547607</v>
      </c>
      <c r="H68" s="91">
        <f>IF(OR(2113068.17363="",147390.46508="",134188.59691=""),"-",(147390.46508-134188.59691)/2113068.17363*100)</f>
        <v>0.62477246757830629</v>
      </c>
    </row>
    <row r="69" spans="1:8" s="7" customFormat="1" x14ac:dyDescent="0.25">
      <c r="A69" s="20" t="s">
        <v>269</v>
      </c>
      <c r="B69" s="21" t="s">
        <v>31</v>
      </c>
      <c r="C69" s="17">
        <v>2996.1373199999998</v>
      </c>
      <c r="D69" s="91" t="s">
        <v>415</v>
      </c>
      <c r="E69" s="91">
        <f>IF(521.091="","-",521.091/2113068.17363*100)</f>
        <v>2.4660396976441491E-2</v>
      </c>
      <c r="F69" s="91">
        <f>IF(2996.13732="","-",2996.13732/2808409.12887*100)</f>
        <v>0.10668450295222957</v>
      </c>
      <c r="G69" s="91">
        <f>IF(OR(1650717.59844="",3419.65078="",521.091=""),"-",(521.091-3419.65078)/1650717.59844*100)</f>
        <v>-0.17559392246979527</v>
      </c>
      <c r="H69" s="91">
        <f>IF(OR(2113068.17363="",2996.13732="",521.091=""),"-",(2996.13732-521.091)/2113068.17363*100)</f>
        <v>0.11713045281204365</v>
      </c>
    </row>
    <row r="70" spans="1:8" s="7" customFormat="1" x14ac:dyDescent="0.25">
      <c r="A70" s="18" t="s">
        <v>270</v>
      </c>
      <c r="B70" s="19" t="s">
        <v>32</v>
      </c>
      <c r="C70" s="16">
        <v>237509.99037000001</v>
      </c>
      <c r="D70" s="90">
        <f>IF(240953.49772="","-",237509.99037/240953.49772*100)</f>
        <v>98.570883019925475</v>
      </c>
      <c r="E70" s="90">
        <f>IF(240953.49772="","-",240953.49772/2113068.17363*100)</f>
        <v>11.403015800766642</v>
      </c>
      <c r="F70" s="90">
        <f>IF(237509.99037="","-",237509.99037/2808409.12887*100)</f>
        <v>8.4571007809522847</v>
      </c>
      <c r="G70" s="90">
        <f>IF(1650717.59844="","-",(240953.49772-157117.36526)/1650717.59844*100)</f>
        <v>5.0787689268733072</v>
      </c>
      <c r="H70" s="90">
        <f>IF(2113068.17363="","-",(237509.99037-240953.49772)/2113068.17363*100)</f>
        <v>-0.16296243504933697</v>
      </c>
    </row>
    <row r="71" spans="1:8" s="7" customFormat="1" ht="38.25" x14ac:dyDescent="0.25">
      <c r="A71" s="20" t="s">
        <v>271</v>
      </c>
      <c r="B71" s="21" t="s">
        <v>195</v>
      </c>
      <c r="C71" s="17">
        <v>19592.697759999999</v>
      </c>
      <c r="D71" s="91">
        <f>IF(OR(17944.96141="",19592.69776=""),"-",19592.69776/17944.96141*100)</f>
        <v>109.18216714069824</v>
      </c>
      <c r="E71" s="91">
        <f>IF(17944.96141="","-",17944.96141/2113068.17363*100)</f>
        <v>0.84923721978987021</v>
      </c>
      <c r="F71" s="91">
        <f>IF(19592.69776="","-",19592.69776/2808409.12887*100)</f>
        <v>0.69764399918053877</v>
      </c>
      <c r="G71" s="91">
        <f>IF(OR(1650717.59844="",10771.2474="",17944.96141=""),"-",(17944.96141-10771.2474)/1650717.59844*100)</f>
        <v>0.43458154300768781</v>
      </c>
      <c r="H71" s="91">
        <f>IF(OR(2113068.17363="",19592.69776="",17944.96141=""),"-",(19592.69776-17944.96141)/2113068.17363*100)</f>
        <v>7.7978380942124739E-2</v>
      </c>
    </row>
    <row r="72" spans="1:8" x14ac:dyDescent="0.25">
      <c r="A72" s="20" t="s">
        <v>272</v>
      </c>
      <c r="B72" s="21" t="s">
        <v>170</v>
      </c>
      <c r="C72" s="17">
        <v>23102.275369999999</v>
      </c>
      <c r="D72" s="91">
        <f>IF(OR(21256.28537="",23102.27537=""),"-",23102.27537/21256.28537*100)</f>
        <v>108.68444306174649</v>
      </c>
      <c r="E72" s="91">
        <f>IF(21256.28537="","-",21256.28537/2113068.17363*100)</f>
        <v>1.0059441354172793</v>
      </c>
      <c r="F72" s="91">
        <f>IF(23102.27537="","-",23102.27537/2808409.12887*100)</f>
        <v>0.82261074900064501</v>
      </c>
      <c r="G72" s="91">
        <f>IF(OR(1650717.59844="",13553.26187="",21256.28537=""),"-",(21256.28537-13553.26187)/1650717.59844*100)</f>
        <v>0.46664696052672444</v>
      </c>
      <c r="H72" s="91">
        <f>IF(OR(2113068.17363="",23102.27537="",21256.28537=""),"-",(23102.27537-21256.28537)/2113068.17363*100)</f>
        <v>8.7360645673291576E-2</v>
      </c>
    </row>
    <row r="73" spans="1:8" x14ac:dyDescent="0.25">
      <c r="A73" s="20" t="s">
        <v>273</v>
      </c>
      <c r="B73" s="21" t="s">
        <v>171</v>
      </c>
      <c r="C73" s="17">
        <v>5052.2421599999998</v>
      </c>
      <c r="D73" s="91">
        <f>IF(OR(3562.25331="",5052.24216=""),"-",5052.24216/3562.25331*100)</f>
        <v>141.82714479672981</v>
      </c>
      <c r="E73" s="91">
        <f>IF(3562.25331="","-",3562.25331/2113068.17363*100)</f>
        <v>0.16858203414613321</v>
      </c>
      <c r="F73" s="91">
        <f>IF(5052.24216="","-",5052.24216/2808409.12887*100)</f>
        <v>0.17989694265211406</v>
      </c>
      <c r="G73" s="91">
        <f>IF(OR(1650717.59844="",2644.81431="",3562.25331=""),"-",(3562.25331-2644.81431)/1650717.59844*100)</f>
        <v>5.5578192227854095E-2</v>
      </c>
      <c r="H73" s="91">
        <f>IF(OR(2113068.17363="",5052.24216="",3562.25331=""),"-",(5052.24216-3562.25331)/2113068.17363*100)</f>
        <v>7.0513051523575593E-2</v>
      </c>
    </row>
    <row r="74" spans="1:8" x14ac:dyDescent="0.25">
      <c r="A74" s="20" t="s">
        <v>274</v>
      </c>
      <c r="B74" s="21" t="s">
        <v>172</v>
      </c>
      <c r="C74" s="17">
        <v>58529.236019999997</v>
      </c>
      <c r="D74" s="91">
        <f>IF(OR(57471.91405="",58529.23602=""),"-",58529.23602/57471.91405*100)</f>
        <v>101.83971943074688</v>
      </c>
      <c r="E74" s="91">
        <f>IF(57471.91405="","-",57471.91405/2113068.17363*100)</f>
        <v>2.7198324581866227</v>
      </c>
      <c r="F74" s="91">
        <f>IF(58529.23602="","-",58529.23602/2808409.12887*100)</f>
        <v>2.0840708505868588</v>
      </c>
      <c r="G74" s="91">
        <f>IF(OR(1650717.59844="",34776.24282="",57471.91405=""),"-",(57471.91405-34776.24282)/1650717.59844*100)</f>
        <v>1.3748972720378334</v>
      </c>
      <c r="H74" s="91">
        <f>IF(OR(2113068.17363="",58529.23602="",57471.91405=""),"-",(58529.23602-57471.91405)/2113068.17363*100)</f>
        <v>5.0037286217019854E-2</v>
      </c>
    </row>
    <row r="75" spans="1:8" x14ac:dyDescent="0.25">
      <c r="A75" s="20" t="s">
        <v>275</v>
      </c>
      <c r="B75" s="21" t="s">
        <v>173</v>
      </c>
      <c r="C75" s="17">
        <v>19957.142909999999</v>
      </c>
      <c r="D75" s="91">
        <f>IF(OR(17055.54415="",19957.14291=""),"-",19957.14291/17055.54415*100)</f>
        <v>117.01264254298212</v>
      </c>
      <c r="E75" s="91">
        <f>IF(17055.54415="","-",17055.54415/2113068.17363*100)</f>
        <v>0.80714594838180742</v>
      </c>
      <c r="F75" s="91">
        <f>IF(19957.14291="","-",19957.14291/2808409.12887*100)</f>
        <v>0.71062092431062618</v>
      </c>
      <c r="G75" s="91">
        <f>IF(OR(1650717.59844="",12769.53307="",17055.54415=""),"-",(17055.54415-12769.53307)/1650717.59844*100)</f>
        <v>0.25964532540577923</v>
      </c>
      <c r="H75" s="91">
        <f>IF(OR(2113068.17363="",19957.14291="",17055.54415=""),"-",(19957.14291-17055.54415)/2113068.17363*100)</f>
        <v>0.1373168549983598</v>
      </c>
    </row>
    <row r="76" spans="1:8" ht="25.5" x14ac:dyDescent="0.25">
      <c r="A76" s="20" t="s">
        <v>276</v>
      </c>
      <c r="B76" s="21" t="s">
        <v>196</v>
      </c>
      <c r="C76" s="17">
        <v>20345.98187</v>
      </c>
      <c r="D76" s="91">
        <f>IF(OR(29700.68624="",20345.98187=""),"-",20345.98187/29700.68624*100)</f>
        <v>68.503406640479028</v>
      </c>
      <c r="E76" s="91">
        <f>IF(29700.68624="","-",29700.68624/2113068.17363*100)</f>
        <v>1.4055716048658169</v>
      </c>
      <c r="F76" s="91">
        <f>IF(20345.98187="","-",20345.98187/2808409.12887*100)</f>
        <v>0.72446644831219686</v>
      </c>
      <c r="G76" s="91">
        <f>IF(OR(1650717.59844="",16972.56599="",29700.68624=""),"-",(29700.68624-16972.56599)/1650717.59844*100)</f>
        <v>0.77106588443890267</v>
      </c>
      <c r="H76" s="91">
        <f>IF(OR(2113068.17363="",20345.98187="",29700.68624=""),"-",(20345.98187-29700.68624)/2113068.17363*100)</f>
        <v>-0.44270717276147925</v>
      </c>
    </row>
    <row r="77" spans="1:8" ht="25.5" x14ac:dyDescent="0.25">
      <c r="A77" s="20" t="s">
        <v>277</v>
      </c>
      <c r="B77" s="21" t="s">
        <v>174</v>
      </c>
      <c r="C77" s="17">
        <v>4532.2590600000003</v>
      </c>
      <c r="D77" s="91">
        <f>IF(OR(3935.88276="",4532.25906=""),"-",4532.25906/3935.88276*100)</f>
        <v>115.15228822517062</v>
      </c>
      <c r="E77" s="91">
        <f>IF(3935.88276="","-",3935.88276/2113068.17363*100)</f>
        <v>0.18626387965697391</v>
      </c>
      <c r="F77" s="91">
        <f>IF(4532.25906="","-",4532.25906/2808409.12887*100)</f>
        <v>0.16138172367441397</v>
      </c>
      <c r="G77" s="91">
        <f>IF(OR(1650717.59844="",3665.34024="",3935.88276=""),"-",(3935.88276-3665.34024)/1650717.59844*100)</f>
        <v>1.6389388485085178E-2</v>
      </c>
      <c r="H77" s="91">
        <f>IF(OR(2113068.17363="",4532.25906="",3935.88276=""),"-",(4532.25906-3935.88276)/2113068.17363*100)</f>
        <v>2.822323990500963E-2</v>
      </c>
    </row>
    <row r="78" spans="1:8" x14ac:dyDescent="0.25">
      <c r="A78" s="20" t="s">
        <v>278</v>
      </c>
      <c r="B78" s="21" t="s">
        <v>33</v>
      </c>
      <c r="C78" s="17">
        <v>86398.155220000001</v>
      </c>
      <c r="D78" s="91">
        <f>IF(OR(90025.97043="",86398.15522=""),"-",86398.15522/90025.97043*100)</f>
        <v>95.970257035084316</v>
      </c>
      <c r="E78" s="91">
        <f>IF(90025.97043="","-",90025.97043/2113068.17363*100)</f>
        <v>4.260438520322138</v>
      </c>
      <c r="F78" s="91">
        <f>IF(86398.15522="","-",86398.15522/2808409.12887*100)</f>
        <v>3.0764091432348897</v>
      </c>
      <c r="G78" s="91">
        <f>IF(OR(1650717.59844="",61964.35956="",90025.97043=""),"-",(90025.97043-61964.35956)/1650717.59844*100)</f>
        <v>1.6999643607434396</v>
      </c>
      <c r="H78" s="91">
        <f>IF(OR(2113068.17363="",86398.15522="",90025.97043=""),"-",(86398.15522-90025.97043)/2113068.17363*100)</f>
        <v>-0.17168472154723929</v>
      </c>
    </row>
    <row r="79" spans="1:8" ht="25.5" x14ac:dyDescent="0.25">
      <c r="A79" s="61" t="s">
        <v>282</v>
      </c>
      <c r="B79" s="62" t="s">
        <v>175</v>
      </c>
      <c r="C79" s="16">
        <v>10709.554620000001</v>
      </c>
      <c r="D79" s="90" t="s">
        <v>408</v>
      </c>
      <c r="E79" s="90">
        <f>IF(77.36987="","-",77.36987/2113068.17363*100)</f>
        <v>3.6614942653311446E-3</v>
      </c>
      <c r="F79" s="90">
        <f>IF(10709.55462="","-",10709.55462/2808409.12887*100)</f>
        <v>0.38133883378698208</v>
      </c>
      <c r="G79" s="90">
        <f>IF(1650717.59844="","-",(77.36987-126.38541)/1650717.59844*100)</f>
        <v>-2.9693473945102303E-3</v>
      </c>
      <c r="H79" s="90">
        <f>IF(2113068.17363="","-",(10709.55462-77.36987)/2113068.17363*100)</f>
        <v>0.50316335661500078</v>
      </c>
    </row>
    <row r="80" spans="1:8" ht="26.25" x14ac:dyDescent="0.25">
      <c r="A80" s="105" t="s">
        <v>345</v>
      </c>
      <c r="B80" s="106" t="s">
        <v>346</v>
      </c>
      <c r="C80" s="33">
        <v>333.24464999999998</v>
      </c>
      <c r="D80" s="91" t="str">
        <f>IF(OR(""="",333.24465=""),"-",333.24465/""*100)</f>
        <v>-</v>
      </c>
      <c r="E80" s="91" t="str">
        <f>IF(""="","-",""/2113068.17363*100)</f>
        <v>-</v>
      </c>
      <c r="F80" s="91">
        <f>IF(333.24465="","-",333.24465/2808409.12887*100)</f>
        <v>1.1865958081901168E-2</v>
      </c>
      <c r="G80" s="91" t="str">
        <f>IF(OR(1650717.59844="",""="",""=""),"-",(""-"")/1650717.59844*100)</f>
        <v>-</v>
      </c>
      <c r="H80" s="91" t="str">
        <f>IF(OR(2113068.17363="",333.24465="",""=""),"-",(333.24465-"")/2113068.17363*100)</f>
        <v>-</v>
      </c>
    </row>
    <row r="81" spans="1:11" x14ac:dyDescent="0.25">
      <c r="A81" s="20" t="s">
        <v>333</v>
      </c>
      <c r="B81" s="21" t="s">
        <v>334</v>
      </c>
      <c r="C81" s="33">
        <v>118.96040000000001</v>
      </c>
      <c r="D81" s="91" t="s">
        <v>409</v>
      </c>
      <c r="E81" s="91">
        <f>IF(1.39899="","-",1.39899/2113068.17363*100)</f>
        <v>6.620657191559993E-5</v>
      </c>
      <c r="F81" s="91">
        <f>IF(118.9604="","-",118.9604/2808409.12887*100)</f>
        <v>4.2358643111185604E-3</v>
      </c>
      <c r="G81" s="91" t="str">
        <f>IF(OR(1650717.59844="",""="",1.39899=""),"-",(1.39899-"")/1650717.59844*100)</f>
        <v>-</v>
      </c>
      <c r="H81" s="91">
        <f>IF(OR(2113068.17363="",118.9604="",1.39899=""),"-",(118.9604-1.39899)/2113068.17363*100)</f>
        <v>5.5635408013383434E-3</v>
      </c>
    </row>
    <row r="82" spans="1:11" ht="25.5" x14ac:dyDescent="0.25">
      <c r="A82" s="73" t="s">
        <v>335</v>
      </c>
      <c r="B82" s="74" t="s">
        <v>344</v>
      </c>
      <c r="C82" s="68">
        <v>10257.34957</v>
      </c>
      <c r="D82" s="92" t="s">
        <v>410</v>
      </c>
      <c r="E82" s="92">
        <f>IF(75.97088="","-",75.97088/2113068.17363*100)</f>
        <v>3.5952876934155441E-3</v>
      </c>
      <c r="F82" s="92">
        <f>IF(10257.34957="","-",10257.34957/2808409.12887*100)</f>
        <v>0.36523701139396231</v>
      </c>
      <c r="G82" s="92">
        <f>IF(OR(1650717.59844="",126.38541="",75.97088=""),"-",(75.97088-126.38541)/1650717.59844*100)</f>
        <v>-3.0540978085920887E-3</v>
      </c>
      <c r="H82" s="92">
        <f>IF(OR(2113068.17363="",10257.34957="",75.97088=""),"-",(10257.34957-75.97088)/2113068.17363*100)</f>
        <v>0.48182916278132193</v>
      </c>
    </row>
    <row r="83" spans="1:11" x14ac:dyDescent="0.25">
      <c r="A83" s="48" t="s">
        <v>285</v>
      </c>
      <c r="B83" s="59"/>
      <c r="I83" s="1"/>
      <c r="J83" s="1"/>
      <c r="K83" s="1"/>
    </row>
    <row r="84" spans="1:11" x14ac:dyDescent="0.25">
      <c r="A84" s="114" t="s">
        <v>306</v>
      </c>
      <c r="B84" s="114"/>
      <c r="C84" s="114"/>
      <c r="D84" s="114"/>
      <c r="E84" s="114"/>
    </row>
  </sheetData>
  <mergeCells count="12">
    <mergeCell ref="A84:E84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6"/>
  <sheetViews>
    <sheetView zoomScale="99" zoomScaleNormal="99" workbookViewId="0">
      <selection activeCell="B1" sqref="B1:E1"/>
    </sheetView>
  </sheetViews>
  <sheetFormatPr defaultRowHeight="15.75" x14ac:dyDescent="0.25"/>
  <cols>
    <col min="1" max="1" width="7" customWidth="1"/>
    <col min="2" max="2" width="38" customWidth="1"/>
    <col min="3" max="4" width="13.5" customWidth="1"/>
    <col min="5" max="5" width="14.75" customWidth="1"/>
  </cols>
  <sheetData>
    <row r="1" spans="1:5" x14ac:dyDescent="0.25">
      <c r="B1" s="128" t="s">
        <v>130</v>
      </c>
      <c r="C1" s="128"/>
      <c r="D1" s="128"/>
      <c r="E1" s="128"/>
    </row>
    <row r="2" spans="1:5" x14ac:dyDescent="0.25">
      <c r="B2" s="128" t="s">
        <v>284</v>
      </c>
      <c r="C2" s="128"/>
      <c r="D2" s="128"/>
      <c r="E2" s="128"/>
    </row>
    <row r="3" spans="1:5" x14ac:dyDescent="0.25">
      <c r="B3" s="5"/>
    </row>
    <row r="4" spans="1:5" ht="21" customHeight="1" x14ac:dyDescent="0.25">
      <c r="A4" s="129" t="s">
        <v>283</v>
      </c>
      <c r="B4" s="129"/>
      <c r="C4" s="133" t="s">
        <v>352</v>
      </c>
      <c r="D4" s="134"/>
      <c r="E4" s="131" t="s">
        <v>354</v>
      </c>
    </row>
    <row r="5" spans="1:5" ht="27" customHeight="1" x14ac:dyDescent="0.25">
      <c r="A5" s="130"/>
      <c r="B5" s="130"/>
      <c r="C5" s="65" t="s">
        <v>323</v>
      </c>
      <c r="D5" s="66" t="s">
        <v>324</v>
      </c>
      <c r="E5" s="132"/>
    </row>
    <row r="6" spans="1:5" ht="28.5" x14ac:dyDescent="0.25">
      <c r="A6" s="75"/>
      <c r="B6" s="32" t="s">
        <v>292</v>
      </c>
      <c r="C6" s="84">
        <v>-1210073.6493800001</v>
      </c>
      <c r="D6" s="76">
        <v>-1349307.9619499999</v>
      </c>
      <c r="E6" s="88">
        <f>IF(-1210073.64938="","-",-1349307.96195/-1210073.64938*100)</f>
        <v>111.50626762605225</v>
      </c>
    </row>
    <row r="7" spans="1:5" x14ac:dyDescent="0.25">
      <c r="A7" s="75"/>
      <c r="B7" s="22" t="s">
        <v>120</v>
      </c>
      <c r="C7" s="87"/>
      <c r="D7" s="87"/>
      <c r="E7" s="87"/>
    </row>
    <row r="8" spans="1:5" x14ac:dyDescent="0.25">
      <c r="A8" s="18" t="s">
        <v>210</v>
      </c>
      <c r="B8" s="19" t="s">
        <v>176</v>
      </c>
      <c r="C8" s="26">
        <v>-107097.34624</v>
      </c>
      <c r="D8" s="26">
        <v>104918.52684999999</v>
      </c>
      <c r="E8" s="90" t="s">
        <v>20</v>
      </c>
    </row>
    <row r="9" spans="1:5" x14ac:dyDescent="0.25">
      <c r="A9" s="20" t="s">
        <v>211</v>
      </c>
      <c r="B9" s="21" t="s">
        <v>21</v>
      </c>
      <c r="C9" s="28">
        <v>2347.34942</v>
      </c>
      <c r="D9" s="28">
        <v>1880.7751000000001</v>
      </c>
      <c r="E9" s="91">
        <f>IF(OR(2347.34942="",1880.7751="",2347.34942=0,1880.7751=0),"-",1880.7751/2347.34942*100)</f>
        <v>80.123354621827033</v>
      </c>
    </row>
    <row r="10" spans="1:5" x14ac:dyDescent="0.25">
      <c r="A10" s="20" t="s">
        <v>212</v>
      </c>
      <c r="B10" s="21" t="s">
        <v>177</v>
      </c>
      <c r="C10" s="28">
        <v>-15210.10844</v>
      </c>
      <c r="D10" s="28">
        <v>-32724.16099</v>
      </c>
      <c r="E10" s="91" t="s">
        <v>197</v>
      </c>
    </row>
    <row r="11" spans="1:5" x14ac:dyDescent="0.25">
      <c r="A11" s="20" t="s">
        <v>213</v>
      </c>
      <c r="B11" s="21" t="s">
        <v>178</v>
      </c>
      <c r="C11" s="28">
        <v>-27528.584299999999</v>
      </c>
      <c r="D11" s="28">
        <v>-35438.316279999999</v>
      </c>
      <c r="E11" s="91">
        <f>IF(OR(-27528.5843="",-35438.31628="",-27528.5843=0,-35438.31628=0),"-",-35438.31628/-27528.5843*100)</f>
        <v>128.73279604138597</v>
      </c>
    </row>
    <row r="12" spans="1:5" x14ac:dyDescent="0.25">
      <c r="A12" s="20" t="s">
        <v>214</v>
      </c>
      <c r="B12" s="21" t="s">
        <v>179</v>
      </c>
      <c r="C12" s="28">
        <v>-22774.833330000001</v>
      </c>
      <c r="D12" s="28">
        <v>-25693.546249999999</v>
      </c>
      <c r="E12" s="91">
        <f>IF(OR(-22774.83333="",-25693.54625="",-22774.83333=0,-25693.54625=0),"-",-25693.54625/-22774.83333*100)</f>
        <v>112.81551824203844</v>
      </c>
    </row>
    <row r="13" spans="1:5" x14ac:dyDescent="0.25">
      <c r="A13" s="20" t="s">
        <v>215</v>
      </c>
      <c r="B13" s="21" t="s">
        <v>180</v>
      </c>
      <c r="C13" s="28">
        <v>-5549.9524600000004</v>
      </c>
      <c r="D13" s="28">
        <v>195120.67235000001</v>
      </c>
      <c r="E13" s="91" t="s">
        <v>20</v>
      </c>
    </row>
    <row r="14" spans="1:5" x14ac:dyDescent="0.25">
      <c r="A14" s="20" t="s">
        <v>216</v>
      </c>
      <c r="B14" s="21" t="s">
        <v>181</v>
      </c>
      <c r="C14" s="28">
        <v>22407.629809999999</v>
      </c>
      <c r="D14" s="28">
        <v>47058.534489999998</v>
      </c>
      <c r="E14" s="91" t="s">
        <v>91</v>
      </c>
    </row>
    <row r="15" spans="1:5" x14ac:dyDescent="0.25">
      <c r="A15" s="20" t="s">
        <v>217</v>
      </c>
      <c r="B15" s="21" t="s">
        <v>139</v>
      </c>
      <c r="C15" s="28">
        <v>-4044.6193800000001</v>
      </c>
      <c r="D15" s="28">
        <v>3422.2762499999999</v>
      </c>
      <c r="E15" s="91" t="s">
        <v>20</v>
      </c>
    </row>
    <row r="16" spans="1:5" ht="15.75" customHeight="1" x14ac:dyDescent="0.25">
      <c r="A16" s="20" t="s">
        <v>218</v>
      </c>
      <c r="B16" s="21" t="s">
        <v>182</v>
      </c>
      <c r="C16" s="28">
        <v>-16805.002840000001</v>
      </c>
      <c r="D16" s="28">
        <v>-17592.29262</v>
      </c>
      <c r="E16" s="91">
        <f>IF(OR(-16805.00284="",-17592.29262="",-16805.00284=0,-17592.29262=0),"-",-17592.29262/-16805.00284*100)</f>
        <v>104.68485359684712</v>
      </c>
    </row>
    <row r="17" spans="1:5" ht="25.5" x14ac:dyDescent="0.25">
      <c r="A17" s="20" t="s">
        <v>219</v>
      </c>
      <c r="B17" s="21" t="s">
        <v>140</v>
      </c>
      <c r="C17" s="28">
        <v>-8947.4325599999993</v>
      </c>
      <c r="D17" s="28">
        <v>4687.3944899999997</v>
      </c>
      <c r="E17" s="91" t="s">
        <v>20</v>
      </c>
    </row>
    <row r="18" spans="1:5" x14ac:dyDescent="0.25">
      <c r="A18" s="20" t="s">
        <v>220</v>
      </c>
      <c r="B18" s="21" t="s">
        <v>183</v>
      </c>
      <c r="C18" s="28">
        <v>-30991.792160000001</v>
      </c>
      <c r="D18" s="28">
        <v>-35802.809690000002</v>
      </c>
      <c r="E18" s="91">
        <f>IF(OR(-30991.79216="",-35802.80969="",-30991.79216=0,-35802.80969=0),"-",-35802.80969/-30991.79216*100)</f>
        <v>115.5235215348708</v>
      </c>
    </row>
    <row r="19" spans="1:5" x14ac:dyDescent="0.25">
      <c r="A19" s="18" t="s">
        <v>221</v>
      </c>
      <c r="B19" s="19" t="s">
        <v>184</v>
      </c>
      <c r="C19" s="26">
        <v>32406.47536</v>
      </c>
      <c r="D19" s="26">
        <v>19249.190620000001</v>
      </c>
      <c r="E19" s="90">
        <f>IF(32406.47536="","-",19249.19062/32406.47536*100)</f>
        <v>59.399210824882495</v>
      </c>
    </row>
    <row r="20" spans="1:5" x14ac:dyDescent="0.25">
      <c r="A20" s="20" t="s">
        <v>222</v>
      </c>
      <c r="B20" s="21" t="s">
        <v>185</v>
      </c>
      <c r="C20" s="28">
        <v>40801.90367</v>
      </c>
      <c r="D20" s="28">
        <v>26159.160599999999</v>
      </c>
      <c r="E20" s="91">
        <f>IF(OR(40801.90367="",26159.1606="",40801.90367=0,26159.1606=0),"-",26159.1606/40801.90367*100)</f>
        <v>64.11259830318599</v>
      </c>
    </row>
    <row r="21" spans="1:5" x14ac:dyDescent="0.25">
      <c r="A21" s="20" t="s">
        <v>223</v>
      </c>
      <c r="B21" s="21" t="s">
        <v>186</v>
      </c>
      <c r="C21" s="28">
        <v>-8395.4283099999993</v>
      </c>
      <c r="D21" s="28">
        <v>-6909.9699799999999</v>
      </c>
      <c r="E21" s="91">
        <f>IF(OR(-8395.42831="",-6909.96998="",-8395.42831=0,-6909.96998=0),"-",-6909.96998/-8395.42831*100)</f>
        <v>82.306342509879642</v>
      </c>
    </row>
    <row r="22" spans="1:5" ht="16.5" customHeight="1" x14ac:dyDescent="0.25">
      <c r="A22" s="18" t="s">
        <v>224</v>
      </c>
      <c r="B22" s="19" t="s">
        <v>22</v>
      </c>
      <c r="C22" s="26">
        <v>29045.650020000001</v>
      </c>
      <c r="D22" s="26">
        <v>110708.73123</v>
      </c>
      <c r="E22" s="90" t="s">
        <v>364</v>
      </c>
    </row>
    <row r="23" spans="1:5" x14ac:dyDescent="0.25">
      <c r="A23" s="20" t="s">
        <v>225</v>
      </c>
      <c r="B23" s="21" t="s">
        <v>193</v>
      </c>
      <c r="C23" s="28">
        <v>511.21309000000002</v>
      </c>
      <c r="D23" s="28">
        <v>513.21825999999999</v>
      </c>
      <c r="E23" s="91">
        <f>IF(OR(511.21309="",513.21826="",511.21309=0,513.21826=0),"-",513.21826/511.21309*100)</f>
        <v>100.39223760878266</v>
      </c>
    </row>
    <row r="24" spans="1:5" x14ac:dyDescent="0.25">
      <c r="A24" s="20" t="s">
        <v>226</v>
      </c>
      <c r="B24" s="21" t="s">
        <v>187</v>
      </c>
      <c r="C24" s="28">
        <v>44476.445050000002</v>
      </c>
      <c r="D24" s="28">
        <v>125534.80172</v>
      </c>
      <c r="E24" s="91" t="s">
        <v>315</v>
      </c>
    </row>
    <row r="25" spans="1:5" ht="17.25" customHeight="1" x14ac:dyDescent="0.25">
      <c r="A25" s="20" t="s">
        <v>280</v>
      </c>
      <c r="B25" s="21" t="s">
        <v>188</v>
      </c>
      <c r="C25" s="28">
        <v>-682.47451000000001</v>
      </c>
      <c r="D25" s="28">
        <v>-1193.8532499999999</v>
      </c>
      <c r="E25" s="91" t="s">
        <v>99</v>
      </c>
    </row>
    <row r="26" spans="1:5" x14ac:dyDescent="0.25">
      <c r="A26" s="20" t="s">
        <v>227</v>
      </c>
      <c r="B26" s="21" t="s">
        <v>189</v>
      </c>
      <c r="C26" s="28">
        <v>-10412.02471</v>
      </c>
      <c r="D26" s="28">
        <v>-17411.938050000001</v>
      </c>
      <c r="E26" s="91" t="s">
        <v>99</v>
      </c>
    </row>
    <row r="27" spans="1:5" x14ac:dyDescent="0.25">
      <c r="A27" s="20" t="s">
        <v>228</v>
      </c>
      <c r="B27" s="21" t="s">
        <v>141</v>
      </c>
      <c r="C27" s="28">
        <v>1190.9257700000001</v>
      </c>
      <c r="D27" s="28">
        <v>1150.1107500000001</v>
      </c>
      <c r="E27" s="91">
        <f>IF(OR(1190.92577="",1150.11075="",1190.92577=0,1150.11075=0),"-",1150.11075/1190.92577*100)</f>
        <v>96.572832578809681</v>
      </c>
    </row>
    <row r="28" spans="1:5" ht="38.25" x14ac:dyDescent="0.25">
      <c r="A28" s="20" t="s">
        <v>229</v>
      </c>
      <c r="B28" s="21" t="s">
        <v>142</v>
      </c>
      <c r="C28" s="28">
        <v>-2911.2097600000002</v>
      </c>
      <c r="D28" s="28">
        <v>-2658.9635699999999</v>
      </c>
      <c r="E28" s="91">
        <f>IF(OR(-2911.20976="",-2658.96357="",-2911.20976=0,-2658.96357=0),"-",-2658.96357/-2911.20976*100)</f>
        <v>91.33534816124002</v>
      </c>
    </row>
    <row r="29" spans="1:5" ht="25.5" x14ac:dyDescent="0.25">
      <c r="A29" s="20" t="s">
        <v>230</v>
      </c>
      <c r="B29" s="21" t="s">
        <v>143</v>
      </c>
      <c r="C29" s="28">
        <v>-3991.5979699999998</v>
      </c>
      <c r="D29" s="28">
        <v>-3825.53026</v>
      </c>
      <c r="E29" s="91">
        <f>IF(OR(-3991.59797="",-3825.53026="",-3991.59797=0,-3825.53026=0),"-",-3825.53026/-3991.59797*100)</f>
        <v>95.839568231867801</v>
      </c>
    </row>
    <row r="30" spans="1:5" x14ac:dyDescent="0.25">
      <c r="A30" s="20" t="s">
        <v>231</v>
      </c>
      <c r="B30" s="21" t="s">
        <v>144</v>
      </c>
      <c r="C30" s="28">
        <v>23339.89158</v>
      </c>
      <c r="D30" s="28">
        <v>28396.998520000001</v>
      </c>
      <c r="E30" s="91">
        <f>IF(OR(23339.89158="",28396.99852="",23339.89158=0,28396.99852=0),"-",28396.99852/23339.89158*100)</f>
        <v>121.66722549959678</v>
      </c>
    </row>
    <row r="31" spans="1:5" x14ac:dyDescent="0.25">
      <c r="A31" s="20" t="s">
        <v>232</v>
      </c>
      <c r="B31" s="21" t="s">
        <v>145</v>
      </c>
      <c r="C31" s="28">
        <v>-22475.518520000001</v>
      </c>
      <c r="D31" s="28">
        <v>-19796.11289</v>
      </c>
      <c r="E31" s="91">
        <f>IF(OR(-22475.51852="",-19796.11289="",-22475.51852=0,-19796.11289=0),"-",-19796.11289/-22475.51852*100)</f>
        <v>88.078559221600557</v>
      </c>
    </row>
    <row r="32" spans="1:5" ht="15.75" customHeight="1" x14ac:dyDescent="0.25">
      <c r="A32" s="18" t="s">
        <v>233</v>
      </c>
      <c r="B32" s="19" t="s">
        <v>146</v>
      </c>
      <c r="C32" s="26">
        <v>-236844.08543000001</v>
      </c>
      <c r="D32" s="26">
        <v>-641367.59346999996</v>
      </c>
      <c r="E32" s="90" t="s">
        <v>287</v>
      </c>
    </row>
    <row r="33" spans="1:5" x14ac:dyDescent="0.25">
      <c r="A33" s="20" t="s">
        <v>234</v>
      </c>
      <c r="B33" s="21" t="s">
        <v>190</v>
      </c>
      <c r="C33" s="28">
        <v>-2082.60736</v>
      </c>
      <c r="D33" s="28">
        <v>-6158.4690099999998</v>
      </c>
      <c r="E33" s="91" t="s">
        <v>296</v>
      </c>
    </row>
    <row r="34" spans="1:5" x14ac:dyDescent="0.25">
      <c r="A34" s="20" t="s">
        <v>235</v>
      </c>
      <c r="B34" s="21" t="s">
        <v>147</v>
      </c>
      <c r="C34" s="28">
        <v>-136058.11932999999</v>
      </c>
      <c r="D34" s="28">
        <v>-262639.66433</v>
      </c>
      <c r="E34" s="91" t="s">
        <v>101</v>
      </c>
    </row>
    <row r="35" spans="1:5" x14ac:dyDescent="0.25">
      <c r="A35" s="20" t="s">
        <v>281</v>
      </c>
      <c r="B35" s="21" t="s">
        <v>191</v>
      </c>
      <c r="C35" s="28">
        <v>-97691.997489999994</v>
      </c>
      <c r="D35" s="28">
        <v>-372570.56209000002</v>
      </c>
      <c r="E35" s="91" t="s">
        <v>364</v>
      </c>
    </row>
    <row r="36" spans="1:5" x14ac:dyDescent="0.25">
      <c r="A36" s="20" t="s">
        <v>289</v>
      </c>
      <c r="B36" s="21" t="s">
        <v>291</v>
      </c>
      <c r="C36" s="28">
        <v>-1011.36125</v>
      </c>
      <c r="D36" s="28">
        <v>1.1019600000000001</v>
      </c>
      <c r="E36" s="91" t="s">
        <v>20</v>
      </c>
    </row>
    <row r="37" spans="1:5" ht="25.5" x14ac:dyDescent="0.25">
      <c r="A37" s="18" t="s">
        <v>236</v>
      </c>
      <c r="B37" s="19" t="s">
        <v>148</v>
      </c>
      <c r="C37" s="26">
        <v>20107.076420000001</v>
      </c>
      <c r="D37" s="26">
        <v>115190.59385</v>
      </c>
      <c r="E37" s="90" t="s">
        <v>407</v>
      </c>
    </row>
    <row r="38" spans="1:5" x14ac:dyDescent="0.25">
      <c r="A38" s="20" t="s">
        <v>237</v>
      </c>
      <c r="B38" s="21" t="s">
        <v>194</v>
      </c>
      <c r="C38" s="28">
        <v>-523.35927000000004</v>
      </c>
      <c r="D38" s="28">
        <v>-728.85472000000004</v>
      </c>
      <c r="E38" s="91">
        <f>IF(OR(-523.35927="",-728.85472="",-523.35927=0,-728.85472=0),"-",-728.85472/-523.35927*100)</f>
        <v>139.26470051825009</v>
      </c>
    </row>
    <row r="39" spans="1:5" ht="14.25" customHeight="1" x14ac:dyDescent="0.25">
      <c r="A39" s="20" t="s">
        <v>238</v>
      </c>
      <c r="B39" s="21" t="s">
        <v>149</v>
      </c>
      <c r="C39" s="28">
        <v>21233.894649999998</v>
      </c>
      <c r="D39" s="28">
        <v>116812.84131</v>
      </c>
      <c r="E39" s="91" t="s">
        <v>404</v>
      </c>
    </row>
    <row r="40" spans="1:5" ht="40.5" customHeight="1" x14ac:dyDescent="0.25">
      <c r="A40" s="20" t="s">
        <v>239</v>
      </c>
      <c r="B40" s="21" t="s">
        <v>192</v>
      </c>
      <c r="C40" s="28">
        <v>-603.45896000000005</v>
      </c>
      <c r="D40" s="28">
        <v>-893.39274</v>
      </c>
      <c r="E40" s="91">
        <f>IF(OR(-603.45896="",-893.39274="",-603.45896=0,-893.39274=0),"-",-893.39274/-603.45896*100)</f>
        <v>148.04531860791329</v>
      </c>
    </row>
    <row r="41" spans="1:5" ht="15" customHeight="1" x14ac:dyDescent="0.25">
      <c r="A41" s="18" t="s">
        <v>240</v>
      </c>
      <c r="B41" s="19" t="s">
        <v>150</v>
      </c>
      <c r="C41" s="26">
        <v>-293687.29635000002</v>
      </c>
      <c r="D41" s="26">
        <v>-349971.23757</v>
      </c>
      <c r="E41" s="90">
        <f>IF(-293687.29635="","-",-349971.23757/-293687.29635*100)</f>
        <v>119.16458148496962</v>
      </c>
    </row>
    <row r="42" spans="1:5" x14ac:dyDescent="0.25">
      <c r="A42" s="20" t="s">
        <v>241</v>
      </c>
      <c r="B42" s="21" t="s">
        <v>23</v>
      </c>
      <c r="C42" s="28">
        <v>7734.4891299999999</v>
      </c>
      <c r="D42" s="28">
        <v>13025.10151</v>
      </c>
      <c r="E42" s="91" t="s">
        <v>99</v>
      </c>
    </row>
    <row r="43" spans="1:5" x14ac:dyDescent="0.25">
      <c r="A43" s="20" t="s">
        <v>242</v>
      </c>
      <c r="B43" s="21" t="s">
        <v>24</v>
      </c>
      <c r="C43" s="28">
        <v>-4530.5344699999996</v>
      </c>
      <c r="D43" s="28">
        <v>-7290.2515599999997</v>
      </c>
      <c r="E43" s="91" t="s">
        <v>100</v>
      </c>
    </row>
    <row r="44" spans="1:5" x14ac:dyDescent="0.25">
      <c r="A44" s="20" t="s">
        <v>243</v>
      </c>
      <c r="B44" s="21" t="s">
        <v>151</v>
      </c>
      <c r="C44" s="28">
        <v>-12732.26136</v>
      </c>
      <c r="D44" s="28">
        <v>-12440.834129999999</v>
      </c>
      <c r="E44" s="91">
        <f>IF(OR(-12732.26136="",-12440.83413="",-12732.26136=0,-12440.83413=0),"-",-12440.83413/-12732.26136*100)</f>
        <v>97.711111783209574</v>
      </c>
    </row>
    <row r="45" spans="1:5" x14ac:dyDescent="0.25">
      <c r="A45" s="20" t="s">
        <v>244</v>
      </c>
      <c r="B45" s="21" t="s">
        <v>152</v>
      </c>
      <c r="C45" s="28">
        <v>-75648.251539999997</v>
      </c>
      <c r="D45" s="28">
        <v>-87434.653749999998</v>
      </c>
      <c r="E45" s="91">
        <f>IF(OR(-75648.25154="",-87434.65375="",-75648.25154=0,-87434.65375=0),"-",-87434.65375/-75648.25154*100)</f>
        <v>115.58053487035029</v>
      </c>
    </row>
    <row r="46" spans="1:5" ht="28.5" customHeight="1" x14ac:dyDescent="0.25">
      <c r="A46" s="20" t="s">
        <v>245</v>
      </c>
      <c r="B46" s="21" t="s">
        <v>153</v>
      </c>
      <c r="C46" s="28">
        <v>-39677.599040000001</v>
      </c>
      <c r="D46" s="28">
        <v>-42024.031540000004</v>
      </c>
      <c r="E46" s="91">
        <f>IF(OR(-39677.59904="",-42024.03154="",-39677.59904=0,-42024.03154=0),"-",-42024.03154/-39677.59904*100)</f>
        <v>105.91374618619061</v>
      </c>
    </row>
    <row r="47" spans="1:5" x14ac:dyDescent="0.25">
      <c r="A47" s="20" t="s">
        <v>246</v>
      </c>
      <c r="B47" s="21" t="s">
        <v>154</v>
      </c>
      <c r="C47" s="28">
        <v>-30957.733609999999</v>
      </c>
      <c r="D47" s="28">
        <v>-67999.712390000001</v>
      </c>
      <c r="E47" s="91" t="s">
        <v>197</v>
      </c>
    </row>
    <row r="48" spans="1:5" x14ac:dyDescent="0.25">
      <c r="A48" s="20" t="s">
        <v>247</v>
      </c>
      <c r="B48" s="21" t="s">
        <v>25</v>
      </c>
      <c r="C48" s="28">
        <v>-17491.977579999999</v>
      </c>
      <c r="D48" s="28">
        <v>-22031.619569999999</v>
      </c>
      <c r="E48" s="91">
        <f>IF(OR(-17491.97758="",-22031.61957="",-17491.97758=0,-22031.61957=0),"-",-22031.61957/-17491.97758*100)</f>
        <v>125.95270871596898</v>
      </c>
    </row>
    <row r="49" spans="1:5" x14ac:dyDescent="0.25">
      <c r="A49" s="20" t="s">
        <v>248</v>
      </c>
      <c r="B49" s="21" t="s">
        <v>26</v>
      </c>
      <c r="C49" s="28">
        <v>-44652.310310000001</v>
      </c>
      <c r="D49" s="28">
        <v>-43643.281589999999</v>
      </c>
      <c r="E49" s="91">
        <f>IF(OR(-44652.31031="",-43643.28159="",-44652.31031=0,-43643.28159=0),"-",-43643.28159/-44652.31031*100)</f>
        <v>97.740254170512586</v>
      </c>
    </row>
    <row r="50" spans="1:5" x14ac:dyDescent="0.25">
      <c r="A50" s="20" t="s">
        <v>249</v>
      </c>
      <c r="B50" s="21" t="s">
        <v>155</v>
      </c>
      <c r="C50" s="28">
        <v>-75731.117570000002</v>
      </c>
      <c r="D50" s="28">
        <v>-80131.954549999995</v>
      </c>
      <c r="E50" s="91">
        <f>IF(OR(-75731.11757="",-80131.95455="",-75731.11757=0,-80131.95455=0),"-",-80131.95455/-75731.11757*100)</f>
        <v>105.81113434108799</v>
      </c>
    </row>
    <row r="51" spans="1:5" ht="25.5" x14ac:dyDescent="0.25">
      <c r="A51" s="18" t="s">
        <v>250</v>
      </c>
      <c r="B51" s="19" t="s">
        <v>320</v>
      </c>
      <c r="C51" s="26">
        <v>-303971.15362</v>
      </c>
      <c r="D51" s="26">
        <v>-305434.70325000002</v>
      </c>
      <c r="E51" s="90">
        <f>IF(-303971.15362="","-",-305434.70325/-303971.15362*100)</f>
        <v>100.4814764863608</v>
      </c>
    </row>
    <row r="52" spans="1:5" x14ac:dyDescent="0.25">
      <c r="A52" s="20" t="s">
        <v>251</v>
      </c>
      <c r="B52" s="21" t="s">
        <v>156</v>
      </c>
      <c r="C52" s="28">
        <v>-19620.42324</v>
      </c>
      <c r="D52" s="28">
        <v>-16643.65711</v>
      </c>
      <c r="E52" s="91">
        <f>IF(OR(-19620.42324="",-16643.65711="",-19620.42324=0,-16643.65711=0),"-",-16643.65711/-19620.42324*100)</f>
        <v>84.828226722799286</v>
      </c>
    </row>
    <row r="53" spans="1:5" x14ac:dyDescent="0.25">
      <c r="A53" s="20" t="s">
        <v>252</v>
      </c>
      <c r="B53" s="21" t="s">
        <v>27</v>
      </c>
      <c r="C53" s="28">
        <v>-19855.14919</v>
      </c>
      <c r="D53" s="28">
        <v>-26104.195930000002</v>
      </c>
      <c r="E53" s="91">
        <f>IF(OR(-19855.14919="",-26104.19593="",-19855.14919=0,-26104.19593=0),"-",-26104.19593/-19855.14919*100)</f>
        <v>131.47317947702615</v>
      </c>
    </row>
    <row r="54" spans="1:5" x14ac:dyDescent="0.25">
      <c r="A54" s="20" t="s">
        <v>253</v>
      </c>
      <c r="B54" s="21" t="s">
        <v>157</v>
      </c>
      <c r="C54" s="28">
        <v>-22623.340950000002</v>
      </c>
      <c r="D54" s="28">
        <v>-22014.614249999999</v>
      </c>
      <c r="E54" s="91">
        <f>IF(OR(-22623.34095="",-22014.61425="",-22623.34095=0,-22014.61425=0),"-",-22014.61425/-22623.34095*100)</f>
        <v>97.309297944342731</v>
      </c>
    </row>
    <row r="55" spans="1:5" ht="25.5" x14ac:dyDescent="0.25">
      <c r="A55" s="20" t="s">
        <v>254</v>
      </c>
      <c r="B55" s="21" t="s">
        <v>158</v>
      </c>
      <c r="C55" s="28">
        <v>-30732.298279999999</v>
      </c>
      <c r="D55" s="28">
        <v>-38062.632680000002</v>
      </c>
      <c r="E55" s="91">
        <f>IF(OR(-30732.29828="",-38062.63268="",-30732.29828=0,-38062.63268=0),"-",-38062.63268/-30732.29828*100)</f>
        <v>123.85221675650091</v>
      </c>
    </row>
    <row r="56" spans="1:5" ht="25.5" x14ac:dyDescent="0.25">
      <c r="A56" s="20" t="s">
        <v>255</v>
      </c>
      <c r="B56" s="21" t="s">
        <v>159</v>
      </c>
      <c r="C56" s="28">
        <v>-69625.034</v>
      </c>
      <c r="D56" s="28">
        <v>-76175.323869999993</v>
      </c>
      <c r="E56" s="91">
        <f>IF(OR(-69625.034="",-76175.32387="",-69625.034=0,-76175.32387=0),"-",-76175.32387/-69625.034*100)</f>
        <v>109.40795213112571</v>
      </c>
    </row>
    <row r="57" spans="1:5" x14ac:dyDescent="0.25">
      <c r="A57" s="20" t="s">
        <v>256</v>
      </c>
      <c r="B57" s="21" t="s">
        <v>28</v>
      </c>
      <c r="C57" s="28">
        <v>-27997.88524</v>
      </c>
      <c r="D57" s="28">
        <v>-16726.73734</v>
      </c>
      <c r="E57" s="91">
        <f>IF(OR(-27997.88524="",-16726.73734="",-27997.88524=0,-16726.73734=0),"-",-16726.73734/-27997.88524*100)</f>
        <v>59.742859850367758</v>
      </c>
    </row>
    <row r="58" spans="1:5" x14ac:dyDescent="0.25">
      <c r="A58" s="20" t="s">
        <v>257</v>
      </c>
      <c r="B58" s="21" t="s">
        <v>160</v>
      </c>
      <c r="C58" s="28">
        <v>-41985.648229999999</v>
      </c>
      <c r="D58" s="28">
        <v>-54183.7912</v>
      </c>
      <c r="E58" s="91">
        <f>IF(OR(-41985.64823="",-54183.7912="",-41985.64823=0,-54183.7912=0),"-",-54183.7912/-41985.64823*100)</f>
        <v>129.05312525646337</v>
      </c>
    </row>
    <row r="59" spans="1:5" x14ac:dyDescent="0.25">
      <c r="A59" s="20" t="s">
        <v>258</v>
      </c>
      <c r="B59" s="21" t="s">
        <v>29</v>
      </c>
      <c r="C59" s="28">
        <v>-23439.10226</v>
      </c>
      <c r="D59" s="28">
        <v>-9690.2628499999992</v>
      </c>
      <c r="E59" s="91">
        <f>IF(OR(-23439.10226="",-9690.26285="",-23439.10226=0,-9690.26285=0),"-",-9690.26285/-23439.10226*100)</f>
        <v>41.34229520614754</v>
      </c>
    </row>
    <row r="60" spans="1:5" x14ac:dyDescent="0.25">
      <c r="A60" s="20" t="s">
        <v>259</v>
      </c>
      <c r="B60" s="21" t="s">
        <v>30</v>
      </c>
      <c r="C60" s="28">
        <v>-48092.272230000002</v>
      </c>
      <c r="D60" s="28">
        <v>-45833.488019999997</v>
      </c>
      <c r="E60" s="91">
        <f>IF(OR(-48092.27223="",-45833.48802="",-48092.27223=0,-45833.48802=0),"-",-45833.48802/-48092.27223*100)</f>
        <v>95.303228345715439</v>
      </c>
    </row>
    <row r="61" spans="1:5" x14ac:dyDescent="0.25">
      <c r="A61" s="18" t="s">
        <v>260</v>
      </c>
      <c r="B61" s="19" t="s">
        <v>161</v>
      </c>
      <c r="C61" s="26">
        <v>-300930.38050000003</v>
      </c>
      <c r="D61" s="26">
        <v>-359848.48018999997</v>
      </c>
      <c r="E61" s="90">
        <f>IF(-300930.3805="","-",-359848.48019/-300930.3805*100)</f>
        <v>119.57864792252171</v>
      </c>
    </row>
    <row r="62" spans="1:5" ht="16.5" customHeight="1" x14ac:dyDescent="0.25">
      <c r="A62" s="20" t="s">
        <v>261</v>
      </c>
      <c r="B62" s="21" t="s">
        <v>162</v>
      </c>
      <c r="C62" s="28">
        <v>-8964.0010700000003</v>
      </c>
      <c r="D62" s="28">
        <v>-8171.6965799999998</v>
      </c>
      <c r="E62" s="91">
        <f>IF(OR(-8964.00107="",-8171.69658="",-8964.00107=0,-8171.69658=0),"-",-8171.69658/-8964.00107*100)</f>
        <v>91.161262880125918</v>
      </c>
    </row>
    <row r="63" spans="1:5" ht="25.5" x14ac:dyDescent="0.25">
      <c r="A63" s="20" t="s">
        <v>262</v>
      </c>
      <c r="B63" s="21" t="s">
        <v>163</v>
      </c>
      <c r="C63" s="28">
        <v>-51784.389430000003</v>
      </c>
      <c r="D63" s="28">
        <v>-94570.489449999994</v>
      </c>
      <c r="E63" s="91" t="s">
        <v>198</v>
      </c>
    </row>
    <row r="64" spans="1:5" x14ac:dyDescent="0.25">
      <c r="A64" s="20" t="s">
        <v>263</v>
      </c>
      <c r="B64" s="21" t="s">
        <v>164</v>
      </c>
      <c r="C64" s="28">
        <v>-3425.2727</v>
      </c>
      <c r="D64" s="28">
        <v>-2450.8350300000002</v>
      </c>
      <c r="E64" s="91">
        <f>IF(OR(-3425.2727="",-2450.83503="",-3425.2727=0,-2450.83503=0),"-",-2450.83503/-3425.2727*100)</f>
        <v>71.551530189114587</v>
      </c>
    </row>
    <row r="65" spans="1:5" ht="25.5" x14ac:dyDescent="0.25">
      <c r="A65" s="20" t="s">
        <v>264</v>
      </c>
      <c r="B65" s="21" t="s">
        <v>165</v>
      </c>
      <c r="C65" s="28">
        <v>-66920.300170000002</v>
      </c>
      <c r="D65" s="28">
        <v>-64344.020380000002</v>
      </c>
      <c r="E65" s="91">
        <f>IF(OR(-66920.30017="",-64344.02038="",-66920.30017=0,-64344.02038=0),"-",-64344.02038/-66920.30017*100)</f>
        <v>96.150226787005749</v>
      </c>
    </row>
    <row r="66" spans="1:5" ht="27.75" customHeight="1" x14ac:dyDescent="0.25">
      <c r="A66" s="20" t="s">
        <v>265</v>
      </c>
      <c r="B66" s="21" t="s">
        <v>166</v>
      </c>
      <c r="C66" s="28">
        <v>-25715.564119999999</v>
      </c>
      <c r="D66" s="28">
        <v>-28495.168710000002</v>
      </c>
      <c r="E66" s="91">
        <f>IF(OR(-25715.56412="",-28495.16871="",-25715.56412=0,-28495.16871=0),"-",-28495.16871/-25715.56412*100)</f>
        <v>110.80903602592251</v>
      </c>
    </row>
    <row r="67" spans="1:5" ht="29.25" customHeight="1" x14ac:dyDescent="0.25">
      <c r="A67" s="20" t="s">
        <v>266</v>
      </c>
      <c r="B67" s="21" t="s">
        <v>167</v>
      </c>
      <c r="C67" s="28">
        <v>-55289.984689999997</v>
      </c>
      <c r="D67" s="28">
        <v>-53018.144079999998</v>
      </c>
      <c r="E67" s="91">
        <f>IF(OR(-55289.98469="",-53018.1440799999="",-55289.98469=0,-53018.1440799999=0),"-",-53018.1440799999/-55289.98469*100)</f>
        <v>95.891044964584722</v>
      </c>
    </row>
    <row r="68" spans="1:5" ht="15" customHeight="1" x14ac:dyDescent="0.25">
      <c r="A68" s="20" t="s">
        <v>267</v>
      </c>
      <c r="B68" s="21" t="s">
        <v>168</v>
      </c>
      <c r="C68" s="28">
        <v>28841.783609999999</v>
      </c>
      <c r="D68" s="28">
        <v>9725.0947099999994</v>
      </c>
      <c r="E68" s="91">
        <f>IF(OR(28841.78361="",9725.09471="",28841.78361=0,9725.09471=0),"-",9725.09471/28841.78361*100)</f>
        <v>33.718770106256962</v>
      </c>
    </row>
    <row r="69" spans="1:5" x14ac:dyDescent="0.25">
      <c r="A69" s="20" t="s">
        <v>268</v>
      </c>
      <c r="B69" s="21" t="s">
        <v>169</v>
      </c>
      <c r="C69" s="28">
        <v>-117469.9944</v>
      </c>
      <c r="D69" s="28">
        <v>-115927.06312000001</v>
      </c>
      <c r="E69" s="91">
        <f>IF(OR(-117469.9944="",-115927.06312="",-117469.9944=0,-115927.06312=0),"-",-115927.06312/-117469.9944*100)</f>
        <v>98.686531579506067</v>
      </c>
    </row>
    <row r="70" spans="1:5" x14ac:dyDescent="0.25">
      <c r="A70" s="20" t="s">
        <v>269</v>
      </c>
      <c r="B70" s="21" t="s">
        <v>31</v>
      </c>
      <c r="C70" s="28">
        <v>-202.65753000000001</v>
      </c>
      <c r="D70" s="28">
        <v>-2596.1575499999999</v>
      </c>
      <c r="E70" s="91" t="s">
        <v>340</v>
      </c>
    </row>
    <row r="71" spans="1:5" x14ac:dyDescent="0.25">
      <c r="A71" s="18" t="s">
        <v>270</v>
      </c>
      <c r="B71" s="19" t="s">
        <v>32</v>
      </c>
      <c r="C71" s="26">
        <v>-49025.219169999997</v>
      </c>
      <c r="D71" s="26">
        <v>-33361.810749999997</v>
      </c>
      <c r="E71" s="90">
        <f>IF(-49025.21917="","-",-33361.81075/-49025.21917*100)</f>
        <v>68.05030413900748</v>
      </c>
    </row>
    <row r="72" spans="1:5" ht="25.5" x14ac:dyDescent="0.25">
      <c r="A72" s="20" t="s">
        <v>271</v>
      </c>
      <c r="B72" s="21" t="s">
        <v>195</v>
      </c>
      <c r="C72" s="28">
        <v>-12113.05636</v>
      </c>
      <c r="D72" s="28">
        <v>-13712.70386</v>
      </c>
      <c r="E72" s="91">
        <f>IF(OR(-12113.05636="",-13712.70386="",-12113.05636=0,-13712.70386=0),"-",-13712.70386/-12113.05636*100)</f>
        <v>113.20597752093676</v>
      </c>
    </row>
    <row r="73" spans="1:5" x14ac:dyDescent="0.25">
      <c r="A73" s="20" t="s">
        <v>272</v>
      </c>
      <c r="B73" s="21" t="s">
        <v>170</v>
      </c>
      <c r="C73" s="28">
        <v>35992.078690000002</v>
      </c>
      <c r="D73" s="28">
        <v>28583.642540000001</v>
      </c>
      <c r="E73" s="91">
        <f>IF(OR(35992.07869="",28583.64254="",35992.07869=0,28583.64254=0),"-",28583.64254/35992.07869*100)</f>
        <v>79.416481571378782</v>
      </c>
    </row>
    <row r="74" spans="1:5" x14ac:dyDescent="0.25">
      <c r="A74" s="20" t="s">
        <v>273</v>
      </c>
      <c r="B74" s="21" t="s">
        <v>171</v>
      </c>
      <c r="C74" s="28">
        <v>1435.27298</v>
      </c>
      <c r="D74" s="28">
        <v>23.63618</v>
      </c>
      <c r="E74" s="91">
        <f>IF(OR(1435.27298="",23.63618="",1435.27298=0,23.63618=0),"-",23.63618/1435.27298*100)</f>
        <v>1.6468072853987679</v>
      </c>
    </row>
    <row r="75" spans="1:5" x14ac:dyDescent="0.25">
      <c r="A75" s="20" t="s">
        <v>274</v>
      </c>
      <c r="B75" s="21" t="s">
        <v>172</v>
      </c>
      <c r="C75" s="28">
        <v>25316.946980000001</v>
      </c>
      <c r="D75" s="28">
        <v>37468.726970000003</v>
      </c>
      <c r="E75" s="91">
        <f>IF(OR(25316.94698="",37468.72697="",25316.94698=0,37468.72697=0),"-",37468.72697/25316.94698*100)</f>
        <v>147.99859951359744</v>
      </c>
    </row>
    <row r="76" spans="1:5" x14ac:dyDescent="0.25">
      <c r="A76" s="20" t="s">
        <v>275</v>
      </c>
      <c r="B76" s="21" t="s">
        <v>173</v>
      </c>
      <c r="C76" s="28">
        <v>-5258.53773</v>
      </c>
      <c r="D76" s="28">
        <v>-6550.5504300000002</v>
      </c>
      <c r="E76" s="91">
        <f>IF(OR(-5258.53773="",-6550.55043="",-5258.53773=0,-6550.55043=0),"-",-6550.55043/-5258.53773*100)</f>
        <v>124.56980944776829</v>
      </c>
    </row>
    <row r="77" spans="1:5" ht="25.5" x14ac:dyDescent="0.25">
      <c r="A77" s="20" t="s">
        <v>276</v>
      </c>
      <c r="B77" s="21" t="s">
        <v>196</v>
      </c>
      <c r="C77" s="28">
        <v>-20896.184990000002</v>
      </c>
      <c r="D77" s="28">
        <v>-15331.17568</v>
      </c>
      <c r="E77" s="91">
        <f>IF(OR(-20896.18499="",-15331.17568="",-20896.18499=0,-15331.17568=0),"-",-15331.17568/-20896.18499*100)</f>
        <v>73.368299942486289</v>
      </c>
    </row>
    <row r="78" spans="1:5" ht="25.5" x14ac:dyDescent="0.25">
      <c r="A78" s="20" t="s">
        <v>277</v>
      </c>
      <c r="B78" s="21" t="s">
        <v>174</v>
      </c>
      <c r="C78" s="28">
        <v>-2933.0277599999999</v>
      </c>
      <c r="D78" s="28">
        <v>-3061.3330000000001</v>
      </c>
      <c r="E78" s="91">
        <f>IF(OR(-2933.02776="",-3061.333="",-2933.02776=0,-3061.333=0),"-",-3061.333/-2933.02776*100)</f>
        <v>104.3744979761119</v>
      </c>
    </row>
    <row r="79" spans="1:5" x14ac:dyDescent="0.25">
      <c r="A79" s="20" t="s">
        <v>278</v>
      </c>
      <c r="B79" s="21" t="s">
        <v>33</v>
      </c>
      <c r="C79" s="28">
        <v>-70568.710980000003</v>
      </c>
      <c r="D79" s="28">
        <v>-60782.053469999999</v>
      </c>
      <c r="E79" s="91">
        <f>IF(OR(-70568.71098="",-60782.05347="",-70568.71098=0,-60782.05347=0),"-",-60782.05347/-70568.71098*100)</f>
        <v>86.131732641717576</v>
      </c>
    </row>
    <row r="80" spans="1:5" x14ac:dyDescent="0.25">
      <c r="A80" s="61" t="s">
        <v>282</v>
      </c>
      <c r="B80" s="62" t="s">
        <v>175</v>
      </c>
      <c r="C80" s="44">
        <v>-77.369870000000006</v>
      </c>
      <c r="D80" s="26">
        <v>-9391.1792700000005</v>
      </c>
      <c r="E80" s="90" t="s">
        <v>411</v>
      </c>
    </row>
    <row r="81" spans="1:5" ht="26.25" x14ac:dyDescent="0.25">
      <c r="A81" s="105" t="s">
        <v>345</v>
      </c>
      <c r="B81" s="106" t="s">
        <v>346</v>
      </c>
      <c r="C81" s="107" t="s">
        <v>286</v>
      </c>
      <c r="D81" s="28">
        <v>-333.24464999999998</v>
      </c>
      <c r="E81" s="91" t="str">
        <f>IF(OR(0="",-333.24465="",0=0,-333.24465=0),"-",-333.24465/0*100)</f>
        <v>-</v>
      </c>
    </row>
    <row r="82" spans="1:5" x14ac:dyDescent="0.25">
      <c r="A82" s="20" t="s">
        <v>333</v>
      </c>
      <c r="B82" s="21" t="s">
        <v>334</v>
      </c>
      <c r="C82" s="108">
        <v>-1.39899</v>
      </c>
      <c r="D82" s="28">
        <v>185.21858</v>
      </c>
      <c r="E82" s="91" t="s">
        <v>20</v>
      </c>
    </row>
    <row r="83" spans="1:5" x14ac:dyDescent="0.25">
      <c r="A83" s="73" t="s">
        <v>335</v>
      </c>
      <c r="B83" s="74" t="s">
        <v>344</v>
      </c>
      <c r="C83" s="29">
        <v>-75.970879999999994</v>
      </c>
      <c r="D83" s="29">
        <v>-9243.1532000000007</v>
      </c>
      <c r="E83" s="92" t="s">
        <v>412</v>
      </c>
    </row>
    <row r="84" spans="1:5" x14ac:dyDescent="0.25">
      <c r="A84" s="48" t="s">
        <v>285</v>
      </c>
      <c r="B84" s="49"/>
    </row>
    <row r="85" spans="1:5" x14ac:dyDescent="0.25">
      <c r="C85" s="28"/>
      <c r="D85" s="28"/>
      <c r="E85" s="60"/>
    </row>
    <row r="86" spans="1:5" x14ac:dyDescent="0.25">
      <c r="C86" s="28"/>
      <c r="D86" s="28"/>
      <c r="E86" s="60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Corina Vicol</cp:lastModifiedBy>
  <cp:lastPrinted>2022-06-14T06:38:04Z</cp:lastPrinted>
  <dcterms:created xsi:type="dcterms:W3CDTF">2016-09-01T07:59:47Z</dcterms:created>
  <dcterms:modified xsi:type="dcterms:W3CDTF">2022-06-15T05:49:18Z</dcterms:modified>
</cp:coreProperties>
</file>