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comert\"/>
    </mc:Choice>
  </mc:AlternateContent>
  <xr:revisionPtr revIDLastSave="0" documentId="13_ncr:1_{2EC31095-D6F8-4A42-9589-D4372BEA0E60}" xr6:coauthVersionLast="37" xr6:coauthVersionMax="37" xr10:uidLastSave="{00000000-0000-0000-0000-000000000000}"/>
  <bookViews>
    <workbookView xWindow="0" yWindow="0" windowWidth="28800" windowHeight="12225" tabRatio="870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Comerciala_Tari'!$4:$5</definedName>
    <definedName name="_xlnm.Print_Titles" localSheetId="7">Balanta_Comerciala_Gr_Marf_CSCI!$5:$6</definedName>
    <definedName name="_xlnm.Print_Titles" localSheetId="5">Export_Grupe_Marfuri_CSCI!$5:$7</definedName>
    <definedName name="_xlnm.Print_Titles" localSheetId="0">Export_Tari!$4:$6</definedName>
    <definedName name="_xlnm.Print_Titles" localSheetId="6">Import_Grupe_Marfuri_CSCI!$5:$7</definedName>
    <definedName name="_xlnm.Print_Titles" localSheetId="1">Import_Tari!$4:$6</definedName>
  </definedNames>
  <calcPr calcId="179021" iterate="1"/>
</workbook>
</file>

<file path=xl/calcChain.xml><?xml version="1.0" encoding="utf-8"?>
<calcChain xmlns="http://schemas.openxmlformats.org/spreadsheetml/2006/main">
  <c r="E82" i="4" l="1"/>
  <c r="E80" i="4"/>
  <c r="E79" i="4"/>
  <c r="E78" i="4"/>
  <c r="E77" i="4"/>
  <c r="E74" i="4"/>
  <c r="E73" i="4"/>
  <c r="E72" i="4"/>
  <c r="E70" i="4"/>
  <c r="E69" i="4"/>
  <c r="E68" i="4"/>
  <c r="E67" i="4"/>
  <c r="E66" i="4"/>
  <c r="E65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7" i="4"/>
  <c r="E46" i="4"/>
  <c r="E45" i="4"/>
  <c r="E44" i="4"/>
  <c r="E42" i="4"/>
  <c r="E41" i="4"/>
  <c r="E39" i="4"/>
  <c r="E37" i="4"/>
  <c r="E32" i="4"/>
  <c r="E31" i="4"/>
  <c r="E30" i="4"/>
  <c r="E29" i="4"/>
  <c r="E28" i="4"/>
  <c r="E26" i="4"/>
  <c r="E24" i="4"/>
  <c r="E22" i="4"/>
  <c r="E21" i="4"/>
  <c r="E20" i="4"/>
  <c r="E19" i="4"/>
  <c r="E17" i="4"/>
  <c r="E13" i="4"/>
  <c r="E12" i="4"/>
  <c r="E10" i="4"/>
  <c r="E7" i="4"/>
  <c r="H83" i="6"/>
  <c r="G83" i="6"/>
  <c r="F83" i="6"/>
  <c r="E83" i="6"/>
  <c r="H82" i="6"/>
  <c r="G82" i="6"/>
  <c r="F82" i="6"/>
  <c r="E82" i="6"/>
  <c r="H81" i="6"/>
  <c r="G81" i="6"/>
  <c r="F81" i="6"/>
  <c r="E81" i="6"/>
  <c r="D81" i="6"/>
  <c r="H80" i="6"/>
  <c r="G80" i="6"/>
  <c r="F80" i="6"/>
  <c r="E80" i="6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H10" i="6"/>
  <c r="G10" i="6"/>
  <c r="F10" i="6"/>
  <c r="E10" i="6"/>
  <c r="H9" i="6"/>
  <c r="G9" i="6"/>
  <c r="F9" i="6"/>
  <c r="E9" i="6"/>
  <c r="D9" i="6"/>
  <c r="H8" i="6"/>
  <c r="G8" i="6"/>
  <c r="D8" i="6"/>
  <c r="F40" i="5" l="1"/>
  <c r="G81" i="5" l="1"/>
  <c r="F81" i="5"/>
  <c r="E81" i="5"/>
  <c r="D81" i="5"/>
  <c r="G80" i="5"/>
  <c r="F80" i="5"/>
  <c r="E80" i="5"/>
  <c r="D80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H57" i="5"/>
  <c r="G57" i="5"/>
  <c r="F57" i="5"/>
  <c r="E57" i="5"/>
  <c r="H56" i="5"/>
  <c r="G56" i="5"/>
  <c r="F56" i="5"/>
  <c r="E56" i="5"/>
  <c r="H55" i="5"/>
  <c r="G55" i="5"/>
  <c r="F55" i="5"/>
  <c r="E55" i="5"/>
  <c r="D55" i="5"/>
  <c r="H54" i="5"/>
  <c r="G54" i="5"/>
  <c r="F54" i="5"/>
  <c r="E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H46" i="5"/>
  <c r="G46" i="5"/>
  <c r="F46" i="5"/>
  <c r="E46" i="5"/>
  <c r="D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H41" i="5"/>
  <c r="G41" i="5"/>
  <c r="F41" i="5"/>
  <c r="E41" i="5"/>
  <c r="H40" i="5"/>
  <c r="G40" i="5"/>
  <c r="E40" i="5"/>
  <c r="D40" i="5"/>
  <c r="H39" i="5"/>
  <c r="G39" i="5"/>
  <c r="F39" i="5"/>
  <c r="E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D34" i="5"/>
  <c r="H33" i="5"/>
  <c r="G33" i="5"/>
  <c r="F33" i="5"/>
  <c r="E33" i="5"/>
  <c r="D33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D28" i="5"/>
  <c r="H27" i="5"/>
  <c r="G27" i="5"/>
  <c r="F27" i="5"/>
  <c r="E27" i="5"/>
  <c r="H26" i="5"/>
  <c r="G26" i="5"/>
  <c r="F26" i="5"/>
  <c r="E26" i="5"/>
  <c r="H25" i="5"/>
  <c r="G25" i="5"/>
  <c r="F25" i="5"/>
  <c r="E25" i="5"/>
  <c r="H24" i="5"/>
  <c r="G24" i="5"/>
  <c r="F24" i="5"/>
  <c r="E24" i="5"/>
  <c r="D24" i="5"/>
  <c r="H23" i="5"/>
  <c r="G23" i="5"/>
  <c r="F23" i="5"/>
  <c r="E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H17" i="5"/>
  <c r="G17" i="5"/>
  <c r="F17" i="5"/>
  <c r="E17" i="5"/>
  <c r="D17" i="5"/>
  <c r="H16" i="5"/>
  <c r="G16" i="5"/>
  <c r="F16" i="5"/>
  <c r="E16" i="5"/>
  <c r="H15" i="5"/>
  <c r="G15" i="5"/>
  <c r="F15" i="5"/>
  <c r="E15" i="5"/>
  <c r="D15" i="5"/>
  <c r="H14" i="5"/>
  <c r="G14" i="5"/>
  <c r="F14" i="5"/>
  <c r="E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H8" i="5"/>
  <c r="G8" i="5"/>
  <c r="D8" i="5"/>
  <c r="E40" i="8" l="1"/>
  <c r="D40" i="8"/>
  <c r="E39" i="8"/>
  <c r="D39" i="8"/>
  <c r="E38" i="8"/>
  <c r="D38" i="8"/>
  <c r="E37" i="8"/>
  <c r="D37" i="8"/>
  <c r="E36" i="8"/>
  <c r="E35" i="8"/>
  <c r="D35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39" i="7" l="1"/>
  <c r="D39" i="7"/>
  <c r="E38" i="7"/>
  <c r="D38" i="7"/>
  <c r="E37" i="7"/>
  <c r="D37" i="7"/>
  <c r="E36" i="7"/>
  <c r="D36" i="7"/>
  <c r="E35" i="7"/>
  <c r="D35" i="7"/>
  <c r="E33" i="7"/>
  <c r="D33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D123" i="3" l="1"/>
  <c r="D121" i="3"/>
  <c r="D113" i="3"/>
  <c r="D109" i="3"/>
  <c r="D108" i="3"/>
  <c r="D107" i="3"/>
  <c r="D103" i="3"/>
  <c r="D101" i="3"/>
  <c r="D99" i="3"/>
  <c r="D98" i="3"/>
  <c r="D97" i="3"/>
  <c r="D96" i="3"/>
  <c r="D95" i="3"/>
  <c r="B95" i="3"/>
  <c r="D91" i="3"/>
  <c r="D90" i="3"/>
  <c r="D89" i="3"/>
  <c r="D87" i="3"/>
  <c r="D84" i="3"/>
  <c r="D83" i="3"/>
  <c r="D82" i="3"/>
  <c r="D80" i="3"/>
  <c r="D77" i="3"/>
  <c r="D76" i="3"/>
  <c r="D75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6" i="3"/>
  <c r="D55" i="3"/>
  <c r="D54" i="3"/>
  <c r="D53" i="3"/>
  <c r="D52" i="3"/>
  <c r="D51" i="3"/>
  <c r="D49" i="3"/>
  <c r="D48" i="3"/>
  <c r="D47" i="3"/>
  <c r="D46" i="3"/>
  <c r="D40" i="3"/>
  <c r="D39" i="3"/>
  <c r="D30" i="3"/>
  <c r="D29" i="3"/>
  <c r="D28" i="3"/>
  <c r="D27" i="3"/>
  <c r="D25" i="3"/>
  <c r="D24" i="3"/>
  <c r="D23" i="3"/>
  <c r="D22" i="3"/>
  <c r="D21" i="3"/>
  <c r="D20" i="3"/>
  <c r="D18" i="3"/>
  <c r="D17" i="3"/>
  <c r="D15" i="3"/>
  <c r="D14" i="3"/>
  <c r="D12" i="3"/>
  <c r="D10" i="3"/>
  <c r="D9" i="3"/>
  <c r="D8" i="3"/>
  <c r="D6" i="3"/>
  <c r="G109" i="2" l="1"/>
  <c r="F109" i="2"/>
  <c r="E109" i="2"/>
  <c r="D109" i="2"/>
  <c r="G108" i="2"/>
  <c r="F108" i="2"/>
  <c r="E108" i="2"/>
  <c r="D108" i="2"/>
  <c r="C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G83" i="2"/>
  <c r="F83" i="2"/>
  <c r="E83" i="2"/>
  <c r="D83" i="2"/>
  <c r="C83" i="2"/>
  <c r="G82" i="2"/>
  <c r="F82" i="2"/>
  <c r="E82" i="2"/>
  <c r="D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G44" i="2"/>
  <c r="F44" i="2"/>
  <c r="E44" i="2"/>
  <c r="D44" i="2"/>
  <c r="C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G37" i="2"/>
  <c r="F37" i="2"/>
  <c r="E37" i="2"/>
  <c r="D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7" i="2"/>
  <c r="F7" i="2"/>
  <c r="C7" i="2"/>
  <c r="G99" i="1" l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G93" i="1"/>
  <c r="F93" i="1"/>
  <c r="E93" i="1"/>
  <c r="D93" i="1"/>
  <c r="C93" i="1"/>
  <c r="G92" i="1"/>
  <c r="F92" i="1"/>
  <c r="E92" i="1"/>
  <c r="D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G63" i="1"/>
  <c r="F63" i="1"/>
  <c r="E63" i="1"/>
  <c r="D63" i="1"/>
  <c r="C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C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G33" i="1"/>
  <c r="F33" i="1"/>
  <c r="E33" i="1"/>
  <c r="D33" i="1"/>
  <c r="C33" i="1"/>
  <c r="G32" i="1"/>
  <c r="F32" i="1"/>
  <c r="E32" i="1"/>
  <c r="D32" i="1"/>
  <c r="G31" i="1"/>
  <c r="F31" i="1"/>
  <c r="E31" i="1"/>
  <c r="D31" i="1"/>
  <c r="C31" i="1"/>
  <c r="G30" i="1"/>
  <c r="F30" i="1"/>
  <c r="E30" i="1"/>
  <c r="D30" i="1"/>
  <c r="G29" i="1"/>
  <c r="F29" i="1"/>
  <c r="E29" i="1"/>
  <c r="D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G12" i="1"/>
  <c r="F12" i="1"/>
  <c r="E12" i="1"/>
  <c r="D12" i="1"/>
  <c r="C12" i="1"/>
  <c r="G11" i="1"/>
  <c r="F11" i="1"/>
  <c r="E11" i="1"/>
  <c r="D11" i="1"/>
  <c r="G10" i="1"/>
  <c r="F10" i="1"/>
  <c r="E10" i="1"/>
  <c r="D10" i="1"/>
  <c r="G9" i="1"/>
  <c r="F9" i="1"/>
  <c r="E9" i="1"/>
  <c r="D9" i="1"/>
  <c r="G7" i="1"/>
  <c r="F7" i="1"/>
  <c r="C7" i="1"/>
</calcChain>
</file>

<file path=xl/sharedStrings.xml><?xml version="1.0" encoding="utf-8"?>
<sst xmlns="http://schemas.openxmlformats.org/spreadsheetml/2006/main" count="1117" uniqueCount="396">
  <si>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</si>
  <si>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</si>
  <si>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</si>
  <si>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</si>
  <si>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</si>
  <si>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</si>
  <si>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</si>
  <si>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</si>
  <si>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</si>
  <si>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</si>
  <si>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</si>
  <si>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</si>
  <si>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</si>
  <si>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</si>
  <si>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</si>
  <si>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</si>
  <si>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</si>
  <si>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</si>
  <si>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</si>
  <si>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</si>
  <si>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</si>
  <si>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</si>
  <si>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</si>
  <si>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</si>
  <si>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</si>
  <si>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</si>
  <si>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</si>
  <si>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</si>
  <si>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</si>
  <si>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</si>
  <si>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</si>
  <si>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</si>
  <si>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</si>
  <si>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</si>
  <si>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</si>
  <si>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</si>
  <si>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</si>
  <si>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</si>
  <si>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</si>
  <si>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</si>
  <si>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</si>
  <si>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</si>
  <si>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</si>
  <si>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</si>
  <si>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</si>
  <si>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</si>
  <si>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</si>
  <si>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</si>
  <si>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</si>
  <si>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</si>
  <si>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</si>
  <si>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</si>
  <si>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</si>
  <si>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</si>
  <si>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</si>
  <si>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</si>
  <si>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</si>
  <si>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</si>
  <si>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</si>
  <si>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</si>
  <si>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</si>
  <si>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</si>
  <si>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</si>
  <si>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</si>
  <si>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</si>
  <si>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</si>
  <si>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</si>
  <si>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</si>
  <si>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</si>
  <si>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</si>
  <si>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</si>
  <si>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</si>
  <si>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</si>
  <si>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</si>
  <si>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</si>
  <si>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</si>
  <si>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</si>
  <si>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</si>
  <si>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</si>
  <si>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</si>
  <si>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</si>
  <si>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</si>
  <si>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</si>
  <si>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</si>
  <si>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</si>
  <si>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</si>
  <si>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</si>
  <si>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</si>
  <si>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</si>
  <si>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</si>
  <si>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</si>
  <si>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</si>
  <si>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</si>
  <si>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</si>
  <si>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</si>
  <si>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</si>
  <si>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</si>
  <si>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</si>
  <si>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</si>
  <si>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</si>
  <si>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</si>
  <si>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</si>
  <si>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</si>
  <si>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</si>
  <si>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</si>
  <si>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</si>
  <si>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</si>
  <si>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</si>
  <si>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</si>
  <si>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</si>
  <si>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</si>
  <si>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</si>
  <si>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</si>
  <si>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</si>
  <si>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</si>
  <si>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</si>
  <si>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</si>
  <si>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</si>
  <si>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</si>
  <si>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</si>
  <si>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</si>
  <si>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</si>
  <si>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</si>
  <si>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</si>
  <si>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</si>
  <si>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</si>
  <si>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</si>
  <si>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</si>
  <si>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</si>
  <si>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</si>
  <si>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</si>
  <si>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</si>
  <si>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</si>
  <si>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</si>
  <si>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</si>
  <si>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</si>
  <si>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</si>
  <si>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</si>
  <si>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</si>
  <si>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</si>
  <si>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</si>
  <si>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</si>
  <si>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</si>
  <si>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</si>
  <si>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</si>
  <si>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</si>
  <si>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</si>
  <si>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</si>
  <si>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</si>
  <si>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</si>
  <si>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</si>
  <si>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</si>
  <si>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</si>
  <si>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</si>
  <si>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</si>
  <si>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</si>
  <si>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</si>
  <si>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</si>
  <si>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</si>
  <si>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</si>
  <si>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</si>
  <si>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</si>
  <si>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</si>
  <si>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</si>
  <si>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</si>
  <si>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</si>
  <si>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</si>
  <si>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</si>
  <si>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</si>
  <si>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</si>
  <si>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</si>
  <si>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</si>
  <si>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</si>
  <si>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</si>
  <si>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</si>
  <si>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</si>
  <si>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</si>
  <si>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</si>
  <si>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</si>
  <si>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</si>
  <si>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</si>
  <si>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</si>
  <si>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</si>
  <si>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</si>
  <si>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</si>
  <si>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</si>
  <si>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</si>
  <si>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</si>
  <si>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</si>
  <si>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</si>
  <si>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</si>
  <si>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</si>
  <si>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</si>
  <si>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</si>
  <si>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</si>
  <si>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</si>
  <si>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</si>
  <si>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</si>
  <si>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</si>
  <si>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</si>
  <si>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</si>
  <si>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BALANŢA COMERCIALĂ – total, mii dolari SUA</t>
  </si>
  <si>
    <t>de 2,5 ori</t>
  </si>
  <si>
    <t>Libia</t>
  </si>
  <si>
    <t>de 2,3 ori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</si>
  <si>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</si>
  <si>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</si>
  <si>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</si>
  <si>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</si>
  <si>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</si>
  <si>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</si>
  <si>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</si>
  <si>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</si>
  <si>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</si>
  <si>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</si>
  <si>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</si>
  <si>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</si>
  <si>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</si>
  <si>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</si>
  <si>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</si>
  <si>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</si>
  <si>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</si>
  <si>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</si>
  <si>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</si>
  <si>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</si>
  <si>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</si>
  <si>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</si>
  <si>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</si>
  <si>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</si>
  <si>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</si>
  <si>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</si>
  <si>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</si>
  <si>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</si>
  <si>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</si>
  <si>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</si>
  <si>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</si>
  <si>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</si>
  <si>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</si>
  <si>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</si>
  <si>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</si>
  <si>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</si>
  <si>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</si>
  <si>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</si>
  <si>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</si>
  <si>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</si>
  <si>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</si>
  <si>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</si>
  <si>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</si>
  <si>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</si>
  <si>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</si>
  <si>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</si>
  <si>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</si>
  <si>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</si>
  <si>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</si>
  <si>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</si>
  <si>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</si>
  <si>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</si>
  <si>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</si>
  <si>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</si>
  <si>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</si>
  <si>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</si>
  <si>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</si>
  <si>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</si>
  <si>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</si>
  <si>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</si>
  <si>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</si>
  <si>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</si>
  <si>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</si>
  <si>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</si>
  <si>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</si>
  <si>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</si>
  <si>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</si>
  <si>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</si>
  <si>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</si>
  <si>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</si>
  <si>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</si>
  <si>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</si>
  <si>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</si>
  <si>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</si>
  <si>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</si>
  <si>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</si>
  <si>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</si>
  <si>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</si>
  <si>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</si>
  <si>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-</t>
  </si>
  <si>
    <t>de 2,7 ori</t>
  </si>
  <si>
    <t>de 2,4 ori</t>
  </si>
  <si>
    <t>35</t>
  </si>
  <si>
    <t>Energie electrica</t>
  </si>
  <si>
    <t>Energie electrică</t>
  </si>
  <si>
    <t>BALANŢA COMERCIALĂ - total, mii dolari SUA</t>
  </si>
  <si>
    <t>de 4,2 ori</t>
  </si>
  <si>
    <t>de 3,0 ori</t>
  </si>
  <si>
    <t>Celelalte țări ale lumii</t>
  </si>
  <si>
    <t>Madagascar</t>
  </si>
  <si>
    <t>Malawi</t>
  </si>
  <si>
    <t>Coreea de Nord</t>
  </si>
  <si>
    <t>de 3,3 ori</t>
  </si>
  <si>
    <t>de 3,7 ori</t>
  </si>
  <si>
    <t>Republica Yemen</t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</si>
  <si>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</si>
  <si>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</si>
  <si>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</si>
  <si>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</si>
  <si>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</si>
  <si>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</si>
  <si>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3,2 ori</t>
  </si>
  <si>
    <t>de 2,8 ori</t>
  </si>
  <si>
    <t>Șri Lanka</t>
  </si>
  <si>
    <t>de 4,8 ori</t>
  </si>
  <si>
    <t>de 4,7 ori</t>
  </si>
  <si>
    <t>de 4,1 ori</t>
  </si>
  <si>
    <t>Mărfuri manufacturate, clasificate noiembrie ales după materia primă</t>
  </si>
  <si>
    <t>de 6,7 ori</t>
  </si>
  <si>
    <t>de 4,0 ori</t>
  </si>
  <si>
    <t>2021</t>
  </si>
  <si>
    <t>2022</t>
  </si>
  <si>
    <t>Cehia</t>
  </si>
  <si>
    <t>Kârgâzstan</t>
  </si>
  <si>
    <t>Panama</t>
  </si>
  <si>
    <t>Taiwan, provincie a Chinei</t>
  </si>
  <si>
    <t>de 3162,8 ori</t>
  </si>
  <si>
    <t>de 8,0 ori</t>
  </si>
  <si>
    <t>de 5,1 ori</t>
  </si>
  <si>
    <t>de 2,9 ori</t>
  </si>
  <si>
    <t>Insulele Feroe</t>
  </si>
  <si>
    <t>de 3,9 ori</t>
  </si>
  <si>
    <t>Ţările Uniunii Europene - total</t>
  </si>
  <si>
    <t>Insulele Folkland</t>
  </si>
  <si>
    <t>97</t>
  </si>
  <si>
    <t>Aur nemonetar</t>
  </si>
  <si>
    <t>de 4,4 ori</t>
  </si>
  <si>
    <t>de 5,3 ori</t>
  </si>
  <si>
    <t>de 7,0 ori</t>
  </si>
  <si>
    <t>99</t>
  </si>
  <si>
    <t>Operatiuni neidentificate (ajutor umanitar)</t>
  </si>
  <si>
    <t>Kuwait</t>
  </si>
  <si>
    <t>Paraguay</t>
  </si>
  <si>
    <t>Burkina Faso</t>
  </si>
  <si>
    <t>Ianuarie - martie 2022</t>
  </si>
  <si>
    <t>în % faţă de ianuarie - martie 2021 ¹</t>
  </si>
  <si>
    <t>ianuarie - martie</t>
  </si>
  <si>
    <t>Ianuarie - martie</t>
  </si>
  <si>
    <t>Ianuarie - martie 2022 în % faţă de            ianuarie - martie 2021 ¹</t>
  </si>
  <si>
    <t>de 6,8 ori</t>
  </si>
  <si>
    <t>de 8,2 ori</t>
  </si>
  <si>
    <t>de 33,9 ori</t>
  </si>
  <si>
    <t>de 4,5 ori</t>
  </si>
  <si>
    <t>de 12,8 ori</t>
  </si>
  <si>
    <t>de 4,3 ori</t>
  </si>
  <si>
    <t>de 29,6 ori</t>
  </si>
  <si>
    <t>de 26,6 ori</t>
  </si>
  <si>
    <t>de 54,3 ori</t>
  </si>
  <si>
    <t>de 45,6 ori</t>
  </si>
  <si>
    <t>de 16,1 ori</t>
  </si>
  <si>
    <t>de 120,7 ori</t>
  </si>
  <si>
    <t>de 13,9 ori</t>
  </si>
  <si>
    <t>de 18,2 ori</t>
  </si>
  <si>
    <t>de 152,3 ori</t>
  </si>
  <si>
    <t>Romănia</t>
  </si>
  <si>
    <t xml:space="preserve">Țări cu codul țării de origine a marfii "EU" </t>
  </si>
  <si>
    <t>Liechtenstein</t>
  </si>
  <si>
    <t>Ianuarie - martie 2022  în % faţă de ianuarie - martie 2021 ¹</t>
  </si>
  <si>
    <t>de 7,7 ori</t>
  </si>
  <si>
    <t>de 11,9 ori</t>
  </si>
  <si>
    <t>de 109,9 ori</t>
  </si>
  <si>
    <t>de 19,6 ori</t>
  </si>
  <si>
    <t>de 14,0 ori</t>
  </si>
  <si>
    <t>de 6,0 ori</t>
  </si>
  <si>
    <t>de 25,5 ori</t>
  </si>
  <si>
    <t>Operațiuni neidentificate (ajutor umanitar)</t>
  </si>
  <si>
    <t>de 6,1 ori</t>
  </si>
  <si>
    <t>de 997,5 ori</t>
  </si>
  <si>
    <t>96</t>
  </si>
  <si>
    <t>Monede, care nu au curs legal (cu exceptia monedelor de aur)</t>
  </si>
  <si>
    <t>de 6,6 ori</t>
  </si>
  <si>
    <t>de 108,7 ori</t>
  </si>
  <si>
    <t>de 84,0 ori</t>
  </si>
  <si>
    <t>de 105,0 ori</t>
  </si>
  <si>
    <t>de 3,5 ori</t>
  </si>
  <si>
    <t>de 4,6 ori</t>
  </si>
  <si>
    <t>de 22,5 ori</t>
  </si>
  <si>
    <t>de 103,4 ori</t>
  </si>
  <si>
    <t>de 103,6 ori</t>
  </si>
  <si>
    <r>
      <rPr>
        <b/>
        <sz val="9"/>
        <rFont val="Arial"/>
        <family val="2"/>
        <charset val="204"/>
      </rPr>
      <t xml:space="preserve">Anexa 1.  </t>
    </r>
    <r>
      <rPr>
        <b/>
        <i/>
        <sz val="9"/>
        <rFont val="Arial"/>
        <family val="2"/>
        <charset val="204"/>
      </rPr>
      <t>Exporturile structurate pe principalele ţări de destinaţie a mărfurilor şi pe grupe de ţări</t>
    </r>
  </si>
  <si>
    <r>
      <t xml:space="preserve">ianuarie - martie </t>
    </r>
    <r>
      <rPr>
        <b/>
        <vertAlign val="superscript"/>
        <sz val="9"/>
        <rFont val="Arial"/>
        <family val="2"/>
        <charset val="204"/>
      </rPr>
      <t>1,2</t>
    </r>
  </si>
  <si>
    <r>
      <t xml:space="preserve">  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Faţă de perioada corespunzătoare din anul precedent</t>
    </r>
  </si>
  <si>
    <r>
      <rPr>
        <b/>
        <sz val="9"/>
        <color indexed="8"/>
        <rFont val="Arial"/>
        <family val="2"/>
        <charset val="204"/>
      </rPr>
      <t xml:space="preserve">Anexa 8.  </t>
    </r>
    <r>
      <rPr>
        <b/>
        <i/>
        <sz val="9"/>
        <color indexed="8"/>
        <rFont val="Arial"/>
        <family val="2"/>
        <charset val="204"/>
      </rPr>
      <t xml:space="preserve">Balanţa comercială structurată pe grupe de mărfuri, </t>
    </r>
  </si>
  <si>
    <r>
      <rPr>
        <b/>
        <sz val="9"/>
        <color indexed="8"/>
        <rFont val="Arial"/>
        <family val="2"/>
        <charset val="204"/>
      </rPr>
      <t>Anexa 7.</t>
    </r>
    <r>
      <rPr>
        <b/>
        <i/>
        <sz val="9"/>
        <color indexed="8"/>
        <rFont val="Arial"/>
        <family val="2"/>
        <charset val="204"/>
      </rPr>
      <t xml:space="preserve">  Importurile structurate pe grupe de mărfuri, </t>
    </r>
  </si>
  <si>
    <r>
      <t>ianuarie - martie</t>
    </r>
    <r>
      <rPr>
        <b/>
        <vertAlign val="superscript"/>
        <sz val="9"/>
        <color indexed="8"/>
        <rFont val="Arial"/>
        <family val="2"/>
        <charset val="204"/>
      </rPr>
      <t xml:space="preserve"> 1,2</t>
    </r>
  </si>
  <si>
    <r>
      <rPr>
        <b/>
        <sz val="9"/>
        <color indexed="8"/>
        <rFont val="Arial"/>
        <family val="2"/>
        <charset val="204"/>
      </rPr>
      <t>Anexa 6.</t>
    </r>
    <r>
      <rPr>
        <b/>
        <i/>
        <sz val="9"/>
        <color indexed="8"/>
        <rFont val="Arial"/>
        <family val="2"/>
        <charset val="204"/>
      </rPr>
      <t xml:space="preserve">  Exporturile structurate pe grupe de mărfuri, </t>
    </r>
  </si>
  <si>
    <r>
      <t xml:space="preserve">ianuarie - martie </t>
    </r>
    <r>
      <rPr>
        <b/>
        <vertAlign val="superscript"/>
        <sz val="9"/>
        <color indexed="8"/>
        <rFont val="Arial"/>
        <family val="2"/>
        <charset val="204"/>
      </rPr>
      <t>1,2</t>
    </r>
  </si>
  <si>
    <r>
      <rPr>
        <b/>
        <sz val="9"/>
        <rFont val="Arial"/>
        <family val="2"/>
        <charset val="204"/>
      </rPr>
      <t>Anexa 5.</t>
    </r>
    <r>
      <rPr>
        <b/>
        <i/>
        <sz val="9"/>
        <rFont val="Arial"/>
        <family val="2"/>
        <charset val="204"/>
      </rPr>
      <t xml:space="preserve">  Importurile structurate după modul de transport al mărfurilor </t>
    </r>
  </si>
  <si>
    <r>
      <rPr>
        <b/>
        <sz val="9"/>
        <rFont val="Arial"/>
        <family val="2"/>
        <charset val="204"/>
      </rPr>
      <t xml:space="preserve">Anexa 4.  </t>
    </r>
    <r>
      <rPr>
        <b/>
        <i/>
        <sz val="9"/>
        <rFont val="Arial"/>
        <family val="2"/>
        <charset val="204"/>
      </rPr>
      <t xml:space="preserve">Exporturile structurate după modul de transport al mărfurilor </t>
    </r>
  </si>
  <si>
    <r>
      <rPr>
        <b/>
        <sz val="9"/>
        <color indexed="8"/>
        <rFont val="Arial"/>
        <family val="2"/>
        <charset val="204"/>
      </rPr>
      <t xml:space="preserve">Anexa 3.  </t>
    </r>
    <r>
      <rPr>
        <b/>
        <i/>
        <sz val="9"/>
        <color indexed="8"/>
        <rFont val="Arial"/>
        <family val="2"/>
        <charset val="204"/>
      </rPr>
      <t>Balanţa comercială structurată pe principalele ţări şi pe grupe de ţări</t>
    </r>
  </si>
  <si>
    <r>
      <rPr>
        <b/>
        <sz val="9"/>
        <color indexed="8"/>
        <rFont val="Arial"/>
        <family val="2"/>
        <charset val="204"/>
      </rPr>
      <t xml:space="preserve">Anexa 2.  </t>
    </r>
    <r>
      <rPr>
        <b/>
        <i/>
        <sz val="9"/>
        <color indexed="8"/>
        <rFont val="Arial"/>
        <family val="2"/>
        <charset val="204"/>
      </rPr>
      <t>Importurile structurate pe principalele ţări de origine a mărfurilor şi pe grupe de ţări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</si>
</sst>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indexed="8"/>
      <name val="Times New Roman"/>
      <family val="2"/>
      <charset val="238"/>
    </font>
    <font>
      <sz val="8"/>
      <name val="Times New Roman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38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</cellStyleXfs>
  <cellXfs count="116">
    <xf numFmtId="0" fontId="0" fillId="0" borderId="0" xfId="0"/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5" xfId="0" applyNumberFormat="1" applyFont="1" applyFill="1" applyBorder="1" applyAlignment="1" applyProtection="1">
      <alignment horizontal="left" vertical="top" wrapText="1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 inden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Border="1" applyAlignment="1" applyProtection="1">
      <alignment horizontal="right" vertical="top" indent="1"/>
    </xf>
    <xf numFmtId="0" fontId="7" fillId="0" borderId="0" xfId="0" applyNumberFormat="1" applyFont="1" applyFill="1" applyAlignment="1" applyProtection="1">
      <alignment horizontal="left" vertical="top" wrapText="1" indent="1"/>
    </xf>
    <xf numFmtId="4" fontId="7" fillId="0" borderId="0" xfId="0" applyNumberFormat="1" applyFont="1" applyFill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 indent="1"/>
    </xf>
    <xf numFmtId="0" fontId="12" fillId="0" borderId="0" xfId="0" applyFont="1"/>
    <xf numFmtId="0" fontId="13" fillId="0" borderId="0" xfId="0" applyFont="1"/>
    <xf numFmtId="0" fontId="9" fillId="0" borderId="0" xfId="0" applyFont="1"/>
    <xf numFmtId="4" fontId="9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Alignment="1">
      <alignment horizontal="left" vertical="top" wrapText="1" indent="1"/>
    </xf>
    <xf numFmtId="4" fontId="14" fillId="0" borderId="0" xfId="0" applyNumberFormat="1" applyFont="1" applyAlignment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0" fontId="14" fillId="0" borderId="3" xfId="0" applyFont="1" applyBorder="1" applyAlignment="1">
      <alignment horizontal="left" vertical="top" wrapText="1" indent="1"/>
    </xf>
    <xf numFmtId="4" fontId="14" fillId="0" borderId="3" xfId="0" applyNumberFormat="1" applyFont="1" applyBorder="1" applyAlignment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4" fontId="16" fillId="0" borderId="0" xfId="0" applyNumberFormat="1" applyFont="1" applyAlignment="1">
      <alignment horizontal="right" vertical="top" indent="1"/>
    </xf>
    <xf numFmtId="4" fontId="7" fillId="0" borderId="0" xfId="0" applyNumberFormat="1" applyFont="1" applyFill="1" applyBorder="1" applyAlignment="1" applyProtection="1">
      <alignment horizontal="right" vertical="top"/>
    </xf>
    <xf numFmtId="4" fontId="8" fillId="0" borderId="0" xfId="0" applyNumberFormat="1" applyFont="1" applyAlignment="1">
      <alignment horizontal="right" vertical="top"/>
    </xf>
    <xf numFmtId="38" fontId="7" fillId="0" borderId="0" xfId="0" applyNumberFormat="1" applyFont="1" applyFill="1" applyAlignment="1" applyProtection="1">
      <alignment horizontal="center" vertical="top"/>
    </xf>
    <xf numFmtId="38" fontId="7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38" fontId="7" fillId="0" borderId="0" xfId="0" applyNumberFormat="1" applyFont="1" applyFill="1" applyBorder="1" applyAlignment="1" applyProtection="1">
      <alignment horizontal="center" vertical="top"/>
    </xf>
    <xf numFmtId="38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0" xfId="0" applyNumberFormat="1" applyFont="1" applyFill="1" applyBorder="1" applyAlignment="1" applyProtection="1">
      <alignment horizontal="right" vertical="top" indent="1"/>
    </xf>
    <xf numFmtId="4" fontId="8" fillId="0" borderId="0" xfId="0" applyNumberFormat="1" applyFont="1" applyBorder="1" applyAlignment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center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164" fontId="9" fillId="0" borderId="0" xfId="0" applyNumberFormat="1" applyFont="1" applyFill="1" applyAlignment="1" applyProtection="1">
      <alignment horizontal="right" vertical="top" indent="1"/>
    </xf>
    <xf numFmtId="0" fontId="1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4" fontId="7" fillId="0" borderId="5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/>
    <xf numFmtId="4" fontId="9" fillId="0" borderId="3" xfId="0" applyNumberFormat="1" applyFont="1" applyFill="1" applyBorder="1" applyAlignment="1" applyProtection="1">
      <alignment horizontal="right" vertical="top"/>
    </xf>
    <xf numFmtId="0" fontId="8" fillId="0" borderId="0" xfId="0" applyFont="1" applyAlignment="1">
      <alignment horizontal="justify"/>
    </xf>
    <xf numFmtId="38" fontId="9" fillId="0" borderId="0" xfId="0" applyNumberFormat="1" applyFont="1" applyFill="1" applyBorder="1" applyAlignment="1" applyProtection="1">
      <alignment horizontal="center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indent="1"/>
    </xf>
    <xf numFmtId="4" fontId="7" fillId="0" borderId="0" xfId="0" applyNumberFormat="1" applyFont="1" applyAlignment="1">
      <alignment horizontal="right" vertical="top" indent="1"/>
    </xf>
    <xf numFmtId="4" fontId="7" fillId="0" borderId="5" xfId="0" applyNumberFormat="1" applyFont="1" applyFill="1" applyBorder="1" applyAlignment="1" applyProtection="1">
      <alignment horizontal="right" vertical="top" wrapText="1" indent="1"/>
    </xf>
    <xf numFmtId="0" fontId="9" fillId="0" borderId="0" xfId="0" applyFont="1" applyAlignment="1">
      <alignment horizontal="left" vertical="top" wrapText="1" indent="1"/>
    </xf>
    <xf numFmtId="4" fontId="11" fillId="0" borderId="0" xfId="0" applyNumberFormat="1" applyFont="1" applyFill="1" applyBorder="1" applyAlignment="1" applyProtection="1">
      <alignment horizontal="righ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Alignment="1">
      <alignment horizontal="right" vertical="top" indent="1"/>
    </xf>
    <xf numFmtId="4" fontId="7" fillId="0" borderId="0" xfId="0" applyNumberFormat="1" applyFont="1" applyFill="1" applyBorder="1" applyAlignment="1" applyProtection="1">
      <alignment horizontal="right" vertical="top" wrapText="1" indent="1"/>
    </xf>
    <xf numFmtId="4" fontId="7" fillId="0" borderId="0" xfId="0" applyNumberFormat="1" applyFont="1" applyBorder="1" applyAlignment="1">
      <alignment horizontal="right" vertical="top" indent="1"/>
    </xf>
    <xf numFmtId="4" fontId="14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Border="1" applyAlignment="1">
      <alignment horizontal="right" vertical="top" indent="1"/>
    </xf>
    <xf numFmtId="38" fontId="7" fillId="0" borderId="0" xfId="0" applyNumberFormat="1" applyFont="1" applyFill="1" applyBorder="1" applyAlignment="1" applyProtection="1">
      <alignment horizontal="left" wrapText="1"/>
    </xf>
    <xf numFmtId="4" fontId="7" fillId="0" borderId="0" xfId="0" applyNumberFormat="1" applyFont="1" applyFill="1" applyAlignment="1" applyProtection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0" fontId="8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 wrapText="1" indent="1"/>
    </xf>
    <xf numFmtId="4" fontId="12" fillId="0" borderId="0" xfId="0" applyNumberFormat="1" applyFont="1" applyAlignment="1">
      <alignment horizontal="right" vertical="top" indent="1"/>
    </xf>
    <xf numFmtId="38" fontId="9" fillId="0" borderId="0" xfId="0" applyNumberFormat="1" applyFont="1" applyFill="1" applyAlignment="1" applyProtection="1">
      <alignment horizontal="left" wrapText="1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0" fontId="8" fillId="0" borderId="0" xfId="0" applyFont="1" applyAlignment="1">
      <alignment horizontal="center"/>
    </xf>
    <xf numFmtId="0" fontId="7" fillId="0" borderId="5" xfId="0" applyNumberFormat="1" applyFont="1" applyFill="1" applyBorder="1" applyAlignment="1" applyProtection="1">
      <alignment horizontal="left" vertical="top" wrapText="1" indent="1"/>
    </xf>
    <xf numFmtId="38" fontId="9" fillId="0" borderId="0" xfId="4" applyNumberFormat="1" applyFont="1" applyFill="1" applyAlignment="1" applyProtection="1">
      <alignment horizontal="left" vertical="top" wrapText="1" indent="1"/>
    </xf>
    <xf numFmtId="38" fontId="9" fillId="0" borderId="0" xfId="4" applyNumberFormat="1" applyFont="1" applyFill="1" applyBorder="1" applyAlignment="1" applyProtection="1">
      <alignment horizontal="left" vertical="top" wrapText="1" inden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H101"/>
  <sheetViews>
    <sheetView tabSelected="1" zoomScale="99" zoomScaleNormal="99" workbookViewId="0">
      <selection activeCell="A2" sqref="A2:G2"/>
    </sheetView>
  </sheetViews>
  <sheetFormatPr defaultRowHeight="12" x14ac:dyDescent="0.2"/>
  <cols>
    <col min="1" max="1" width="29.75" style="33" customWidth="1"/>
    <col min="2" max="2" width="12.125" style="33" customWidth="1"/>
    <col min="3" max="3" width="10.5" style="33" customWidth="1"/>
    <col min="4" max="4" width="9" style="33" customWidth="1"/>
    <col min="5" max="5" width="8.75" style="33" customWidth="1"/>
    <col min="6" max="6" width="9.875" style="33" customWidth="1"/>
    <col min="7" max="7" width="9.625" style="33" customWidth="1"/>
    <col min="8" max="8" width="9" style="3"/>
    <col min="9" max="9" width="9.625" style="3" customWidth="1"/>
    <col min="10" max="16384" width="9" style="3"/>
  </cols>
  <sheetData>
    <row r="2" spans="1:8" x14ac:dyDescent="0.2">
      <c r="A2" s="2" t="s">
        <v>384</v>
      </c>
      <c r="B2" s="2"/>
      <c r="C2" s="2"/>
      <c r="D2" s="2"/>
      <c r="E2" s="2"/>
      <c r="F2" s="2"/>
      <c r="G2" s="2"/>
    </row>
    <row r="4" spans="1:8" ht="54" customHeight="1" x14ac:dyDescent="0.2">
      <c r="A4" s="4"/>
      <c r="B4" s="5" t="s">
        <v>339</v>
      </c>
      <c r="C4" s="6"/>
      <c r="D4" s="5" t="s">
        <v>105</v>
      </c>
      <c r="E4" s="6"/>
      <c r="F4" s="7" t="s">
        <v>1</v>
      </c>
      <c r="G4" s="8"/>
    </row>
    <row r="5" spans="1:8" ht="22.5" customHeight="1" x14ac:dyDescent="0.2">
      <c r="A5" s="9"/>
      <c r="B5" s="10" t="s">
        <v>96</v>
      </c>
      <c r="C5" s="11" t="s">
        <v>340</v>
      </c>
      <c r="D5" s="12" t="s">
        <v>341</v>
      </c>
      <c r="E5" s="12"/>
      <c r="F5" s="12" t="s">
        <v>385</v>
      </c>
      <c r="G5" s="5"/>
    </row>
    <row r="6" spans="1:8" ht="28.5" customHeight="1" x14ac:dyDescent="0.2">
      <c r="A6" s="13"/>
      <c r="B6" s="14"/>
      <c r="C6" s="15"/>
      <c r="D6" s="16" t="s">
        <v>315</v>
      </c>
      <c r="E6" s="16" t="s">
        <v>316</v>
      </c>
      <c r="F6" s="16" t="s">
        <v>315</v>
      </c>
      <c r="G6" s="17" t="s">
        <v>316</v>
      </c>
      <c r="H6" s="18"/>
    </row>
    <row r="7" spans="1:8" ht="15.75" customHeight="1" x14ac:dyDescent="0.2">
      <c r="A7" s="19" t="s">
        <v>97</v>
      </c>
      <c r="B7" s="20">
        <v>1062764.76132</v>
      </c>
      <c r="C7" s="21">
        <f>IF(684759.39703="","-",1062764.76132/684759.39703*100)</f>
        <v>155.20265452792893</v>
      </c>
      <c r="D7" s="21">
        <v>100</v>
      </c>
      <c r="E7" s="21">
        <v>100</v>
      </c>
      <c r="F7" s="21">
        <f>IF(675027.19329="","-",(684759.39703-675027.19329)/675027.19329*100)</f>
        <v>1.4417498786332525</v>
      </c>
      <c r="G7" s="21">
        <f>IF(684759.39703="","-",(1062764.76132-684759.39703)/684759.39703*100)</f>
        <v>55.202654527928921</v>
      </c>
    </row>
    <row r="8" spans="1:8" x14ac:dyDescent="0.2">
      <c r="A8" s="22" t="s">
        <v>121</v>
      </c>
      <c r="B8" s="23"/>
      <c r="C8" s="24"/>
      <c r="D8" s="24"/>
      <c r="E8" s="24"/>
      <c r="F8" s="24"/>
      <c r="G8" s="24"/>
    </row>
    <row r="9" spans="1:8" x14ac:dyDescent="0.2">
      <c r="A9" s="25" t="s">
        <v>130</v>
      </c>
      <c r="B9" s="26">
        <v>713453.91433000006</v>
      </c>
      <c r="C9" s="27" t="s">
        <v>101</v>
      </c>
      <c r="D9" s="27">
        <f>IF(439720.50079="","-",439720.50079/684759.39703*100)</f>
        <v>64.215329164841734</v>
      </c>
      <c r="E9" s="27">
        <f>IF(713453.91433="","-",713453.91433/1062764.76132*100)</f>
        <v>67.131875302664284</v>
      </c>
      <c r="F9" s="27">
        <f>IF(675027.19329="","-",(439720.50079-447439.39698)/675027.19329*100)</f>
        <v>-1.1434941090860418</v>
      </c>
      <c r="G9" s="27">
        <f>IF(684759.39703="","-",(713453.91433-439720.50079)/684759.39703*100)</f>
        <v>39.975123339272336</v>
      </c>
    </row>
    <row r="10" spans="1:8" ht="15.75" customHeight="1" x14ac:dyDescent="0.2">
      <c r="A10" s="28" t="s">
        <v>2</v>
      </c>
      <c r="B10" s="29">
        <v>337171.89318999997</v>
      </c>
      <c r="C10" s="30" t="s">
        <v>196</v>
      </c>
      <c r="D10" s="30">
        <f>IF(183119.39022="","-",183119.39022/684759.39703*100)</f>
        <v>26.742150748750859</v>
      </c>
      <c r="E10" s="30">
        <f>IF(337171.89319="","-",337171.89319/1062764.76132*100)</f>
        <v>31.725919550740262</v>
      </c>
      <c r="F10" s="30">
        <f>IF(OR(675027.19329="",178021.20428="",183119.39022=""),"-",(183119.39022-178021.20428)/675027.19329*100)</f>
        <v>0.75525637939888923</v>
      </c>
      <c r="G10" s="30">
        <f>IF(OR(684759.39703="",337171.89319="",183119.39022=""),"-",(337171.89319-183119.39022)/684759.39703*100)</f>
        <v>22.497318567393208</v>
      </c>
    </row>
    <row r="11" spans="1:8" ht="15.75" customHeight="1" x14ac:dyDescent="0.2">
      <c r="A11" s="28" t="s">
        <v>3</v>
      </c>
      <c r="B11" s="29">
        <v>117770.49475</v>
      </c>
      <c r="C11" s="30" t="s">
        <v>324</v>
      </c>
      <c r="D11" s="30">
        <f>IF(40790.95855="","-",40790.95855/684759.39703*100)</f>
        <v>5.9569768194379247</v>
      </c>
      <c r="E11" s="30">
        <f>IF(117770.49475="","-",117770.49475/1062764.76132*100)</f>
        <v>11.081520486596103</v>
      </c>
      <c r="F11" s="30">
        <f>IF(OR(675027.19329="",61335.42841="",40790.95855=""),"-",(40790.95855-61335.42841)/675027.19329*100)</f>
        <v>-3.0435025528184672</v>
      </c>
      <c r="G11" s="30">
        <f>IF(OR(684759.39703="",117770.49475="",40790.95855=""),"-",(117770.49475-40790.95855)/684759.39703*100)</f>
        <v>11.241837137815496</v>
      </c>
    </row>
    <row r="12" spans="1:8" ht="13.5" customHeight="1" x14ac:dyDescent="0.2">
      <c r="A12" s="28" t="s">
        <v>4</v>
      </c>
      <c r="B12" s="29">
        <v>63093.042370000003</v>
      </c>
      <c r="C12" s="30">
        <f>IF(OR(71513.72548="",63093.04237=""),"-",63093.04237/71513.72548*100)</f>
        <v>88.22508119458135</v>
      </c>
      <c r="D12" s="30">
        <f>IF(71513.72548="","-",71513.72548/684759.39703*100)</f>
        <v>10.443628198484863</v>
      </c>
      <c r="E12" s="30">
        <f>IF(63093.04237="","-",63093.04237/1062764.76132*100)</f>
        <v>5.9366893470983833</v>
      </c>
      <c r="F12" s="30">
        <f>IF(OR(675027.19329="",63115.10894="",71513.72548=""),"-",(71513.72548-63115.10894)/675027.19329*100)</f>
        <v>1.2441893635523282</v>
      </c>
      <c r="G12" s="30">
        <f>IF(OR(684759.39703="",63093.04237="",71513.72548=""),"-",(63093.04237-71513.72548)/684759.39703*100)</f>
        <v>-1.2297287407113995</v>
      </c>
    </row>
    <row r="13" spans="1:8" ht="15.75" customHeight="1" x14ac:dyDescent="0.2">
      <c r="A13" s="28" t="s">
        <v>6</v>
      </c>
      <c r="B13" s="29">
        <v>48733.050589999999</v>
      </c>
      <c r="C13" s="30" t="s">
        <v>291</v>
      </c>
      <c r="D13" s="30">
        <f>IF(11553.76432="","-",11553.76432/684759.39703*100)</f>
        <v>1.6872735693897776</v>
      </c>
      <c r="E13" s="30">
        <f>IF(48733.05059="","-",48733.05059/1062764.76132*100)</f>
        <v>4.5854974086148124</v>
      </c>
      <c r="F13" s="30">
        <f>IF(OR(675027.19329="",13375.19576="",11553.76432=""),"-",(11553.76432-13375.19576)/675027.19329*100)</f>
        <v>-0.26983082431428668</v>
      </c>
      <c r="G13" s="30">
        <f>IF(OR(684759.39703="",48733.05059="",11553.76432=""),"-",(48733.05059-11553.76432)/684759.39703*100)</f>
        <v>5.4295401320898025</v>
      </c>
    </row>
    <row r="14" spans="1:8" s="31" customFormat="1" x14ac:dyDescent="0.2">
      <c r="A14" s="28" t="s">
        <v>5</v>
      </c>
      <c r="B14" s="29">
        <v>29818.25894</v>
      </c>
      <c r="C14" s="30">
        <f>IF(OR(27728.77815="",29818.25894=""),"-",29818.25894/27728.77815*100)</f>
        <v>107.53542322960234</v>
      </c>
      <c r="D14" s="30">
        <f>IF(27728.77815="","-",27728.77815/684759.39703*100)</f>
        <v>4.049419149305252</v>
      </c>
      <c r="E14" s="30">
        <f>IF(29818.25894="","-",29818.25894/1062764.76132*100)</f>
        <v>2.805725220223187</v>
      </c>
      <c r="F14" s="30">
        <f>IF(OR(675027.19329="",28958.32919="",27728.77815=""),"-",(27728.77815-28958.32919)/675027.19329*100)</f>
        <v>-0.1821483715355704</v>
      </c>
      <c r="G14" s="30">
        <f>IF(OR(684759.39703="",29818.25894="",27728.77815=""),"-",(29818.25894-27728.77815)/684759.39703*100)</f>
        <v>0.30514087124071398</v>
      </c>
    </row>
    <row r="15" spans="1:8" s="31" customFormat="1" x14ac:dyDescent="0.2">
      <c r="A15" s="28" t="s">
        <v>317</v>
      </c>
      <c r="B15" s="29">
        <v>23107.61261</v>
      </c>
      <c r="C15" s="30">
        <f>IF(OR(20472.49198="",23107.61261=""),"-",23107.61261/20472.49198*100)</f>
        <v>112.87151868260253</v>
      </c>
      <c r="D15" s="30">
        <f>IF(20472.49198="","-",20472.49198/684759.39703*100)</f>
        <v>2.9897350907187445</v>
      </c>
      <c r="E15" s="30">
        <f>IF(23107.61261="","-",23107.61261/1062764.76132*100)</f>
        <v>2.1742923223479238</v>
      </c>
      <c r="F15" s="30">
        <f>IF(OR(675027.19329="",23528.61888="",20472.49198=""),"-",(20472.49198-23528.61888)/675027.19329*100)</f>
        <v>-0.45274130144369656</v>
      </c>
      <c r="G15" s="30">
        <f>IF(OR(684759.39703="",23107.61261="",20472.49198=""),"-",(23107.61261-20472.49198)/684759.39703*100)</f>
        <v>0.38482431076218643</v>
      </c>
    </row>
    <row r="16" spans="1:8" s="31" customFormat="1" x14ac:dyDescent="0.2">
      <c r="A16" s="28" t="s">
        <v>8</v>
      </c>
      <c r="B16" s="29">
        <v>15581.54153</v>
      </c>
      <c r="C16" s="30" t="s">
        <v>196</v>
      </c>
      <c r="D16" s="30">
        <f>IF(8663.72006="","-",8663.72006/684759.39703*100)</f>
        <v>1.2652210539317992</v>
      </c>
      <c r="E16" s="30">
        <f>IF(15581.54153="","-",15581.54153/1062764.76132*100)</f>
        <v>1.4661326849647374</v>
      </c>
      <c r="F16" s="30">
        <f>IF(OR(675027.19329="",12213.68945="",8663.72006=""),"-",(8663.72006-12213.68945)/675027.19329*100)</f>
        <v>-0.52590020450848551</v>
      </c>
      <c r="G16" s="30">
        <f>IF(OR(684759.39703="",15581.54153="",8663.72006=""),"-",(15581.54153-8663.72006)/684759.39703*100)</f>
        <v>1.0102557920350708</v>
      </c>
    </row>
    <row r="17" spans="1:7" s="31" customFormat="1" x14ac:dyDescent="0.2">
      <c r="A17" s="28" t="s">
        <v>41</v>
      </c>
      <c r="B17" s="29">
        <v>13407.78686</v>
      </c>
      <c r="C17" s="30">
        <f>IF(OR(11066.79888="",13407.78686=""),"-",13407.78686/11066.79888*100)</f>
        <v>121.15325312571326</v>
      </c>
      <c r="D17" s="30">
        <f>IF(11066.79888="","-",11066.79888/684759.39703*100)</f>
        <v>1.6161587453928947</v>
      </c>
      <c r="E17" s="30">
        <f>IF(13407.78686="","-",13407.78686/1062764.76132*100)</f>
        <v>1.2615949783042246</v>
      </c>
      <c r="F17" s="30">
        <f>IF(OR(675027.19329="",4596.19342="",11066.79888=""),"-",(11066.79888-4596.19342)/675027.19329*100)</f>
        <v>0.95856959902060557</v>
      </c>
      <c r="G17" s="30">
        <f>IF(OR(684759.39703="",13407.78686="",11066.79888=""),"-",(13407.78686-11066.79888)/684759.39703*100)</f>
        <v>0.34187015032631068</v>
      </c>
    </row>
    <row r="18" spans="1:7" s="31" customFormat="1" x14ac:dyDescent="0.2">
      <c r="A18" s="28" t="s">
        <v>300</v>
      </c>
      <c r="B18" s="29">
        <v>12944.20098</v>
      </c>
      <c r="C18" s="30">
        <f>IF(OR(9685.28371="",12944.20098=""),"-",12944.20098/9685.28371*100)</f>
        <v>133.64813429920682</v>
      </c>
      <c r="D18" s="30">
        <f>IF(9685.28371="","-",9685.28371/684759.39703*100)</f>
        <v>1.4144068342848426</v>
      </c>
      <c r="E18" s="30">
        <f>IF(12944.20098="","-",12944.20098/1062764.76132*100)</f>
        <v>1.2179742357963337</v>
      </c>
      <c r="F18" s="30">
        <f>IF(OR(675027.19329="",12317.34528="",9685.28371=""),"-",(9685.28371-12317.34528)/675027.19329*100)</f>
        <v>-0.38991933897827935</v>
      </c>
      <c r="G18" s="30">
        <f>IF(OR(684759.39703="",12944.20098="",9685.28371=""),"-",(12944.20098-9685.28371)/684759.39703*100)</f>
        <v>0.47592151113732339</v>
      </c>
    </row>
    <row r="19" spans="1:7" s="31" customFormat="1" x14ac:dyDescent="0.2">
      <c r="A19" s="28" t="s">
        <v>9</v>
      </c>
      <c r="B19" s="29">
        <v>11813.491260000001</v>
      </c>
      <c r="C19" s="30">
        <f>IF(OR(9915.90351="",11813.49126=""),"-",11813.49126/9915.90351*100)</f>
        <v>119.13681136657208</v>
      </c>
      <c r="D19" s="30">
        <f>IF(9915.90351="","-",9915.90351/684759.39703*100)</f>
        <v>1.4480857879436408</v>
      </c>
      <c r="E19" s="30">
        <f>IF(11813.49126="","-",11813.49126/1062764.76132*100)</f>
        <v>1.1115810092656</v>
      </c>
      <c r="F19" s="30">
        <f>IF(OR(675027.19329="",9664.45686="",9915.90351=""),"-",(9915.90351-9664.45686)/675027.19329*100)</f>
        <v>3.7249854894656854E-2</v>
      </c>
      <c r="G19" s="30">
        <f>IF(OR(684759.39703="",11813.49126="",9915.90351=""),"-",(11813.49126-9915.90351)/684759.39703*100)</f>
        <v>0.27711744566491364</v>
      </c>
    </row>
    <row r="20" spans="1:7" s="32" customFormat="1" x14ac:dyDescent="0.2">
      <c r="A20" s="28" t="s">
        <v>39</v>
      </c>
      <c r="B20" s="29">
        <v>11755.04621</v>
      </c>
      <c r="C20" s="30">
        <f>IF(OR(15302.89066="",11755.04621=""),"-",11755.04621/15302.89066*100)</f>
        <v>76.815854410607159</v>
      </c>
      <c r="D20" s="30">
        <f>IF(15302.89066="","-",15302.89066/684759.39703*100)</f>
        <v>2.2347835935327169</v>
      </c>
      <c r="E20" s="30">
        <f>IF(11755.04621="","-",11755.04621/1062764.76132*100)</f>
        <v>1.1060816690421427</v>
      </c>
      <c r="F20" s="30">
        <f>IF(OR(675027.19329="",10436.39706="",15302.89066=""),"-",(15302.89066-10436.39706)/675027.19329*100)</f>
        <v>0.72093297105281129</v>
      </c>
      <c r="G20" s="30">
        <f>IF(OR(684759.39703="",11755.04621="",15302.89066=""),"-",(11755.04621-15302.89066)/684759.39703*100)</f>
        <v>-0.51811548193249024</v>
      </c>
    </row>
    <row r="21" spans="1:7" s="31" customFormat="1" x14ac:dyDescent="0.2">
      <c r="A21" s="28" t="s">
        <v>46</v>
      </c>
      <c r="B21" s="29">
        <v>8849.3663400000005</v>
      </c>
      <c r="C21" s="30" t="s">
        <v>344</v>
      </c>
      <c r="D21" s="30">
        <f>IF(1293.5791="","-",1293.5791/684759.39703*100)</f>
        <v>0.18891001797282775</v>
      </c>
      <c r="E21" s="30">
        <f>IF(8849.36634="","-",8849.36634/1062764.76132*100)</f>
        <v>0.83267404623095542</v>
      </c>
      <c r="F21" s="30">
        <f>IF(OR(675027.19329="",6523.30974="",1293.5791=""),"-",(1293.5791-6523.30974)/675027.19329*100)</f>
        <v>-0.77474369802954635</v>
      </c>
      <c r="G21" s="30">
        <f>IF(OR(684759.39703="",8849.36634="",1293.5791=""),"-",(8849.36634-1293.5791)/684759.39703*100)</f>
        <v>1.1034222053427292</v>
      </c>
    </row>
    <row r="22" spans="1:7" s="31" customFormat="1" x14ac:dyDescent="0.2">
      <c r="A22" s="28" t="s">
        <v>7</v>
      </c>
      <c r="B22" s="29">
        <v>5412.8666499999999</v>
      </c>
      <c r="C22" s="30">
        <f>IF(OR(5574.46795="",5412.86665=""),"-",5412.86665/5574.46795*100)</f>
        <v>97.10104531141846</v>
      </c>
      <c r="D22" s="30">
        <f>IF(5574.46795="","-",5574.46795/684759.39703*100)</f>
        <v>0.81407688221265506</v>
      </c>
      <c r="E22" s="30">
        <f>IF(5412.86665="","-",5412.86665/1062764.76132*100)</f>
        <v>0.50931935711501997</v>
      </c>
      <c r="F22" s="30">
        <f>IF(OR(675027.19329="",6825.43429="",5574.46795=""),"-",(5574.46795-6825.43429)/675027.19329*100)</f>
        <v>-0.18532088076377234</v>
      </c>
      <c r="G22" s="30">
        <f>IF(OR(684759.39703="",5412.86665="",5574.46795=""),"-",(5412.86665-5574.46795)/684759.39703*100)</f>
        <v>-2.3599719945562186E-2</v>
      </c>
    </row>
    <row r="23" spans="1:7" s="31" customFormat="1" x14ac:dyDescent="0.2">
      <c r="A23" s="28" t="s">
        <v>40</v>
      </c>
      <c r="B23" s="29">
        <v>5017.4206700000004</v>
      </c>
      <c r="C23" s="30">
        <f>IF(OR(5436.71065="",5017.42067=""),"-",5017.42067/5436.71065*100)</f>
        <v>92.287800344864777</v>
      </c>
      <c r="D23" s="30">
        <f>IF(5436.71065="","-",5436.71065/684759.39703*100)</f>
        <v>0.79395926125009597</v>
      </c>
      <c r="E23" s="30">
        <f>IF(5017.42067="","-",5017.42067/1062764.76132*100)</f>
        <v>0.47211018398541421</v>
      </c>
      <c r="F23" s="30">
        <f>IF(OR(675027.19329="",2862.76423="",5436.71065=""),"-",(5436.71065-2862.76423)/675027.19329*100)</f>
        <v>0.38131003396395036</v>
      </c>
      <c r="G23" s="30">
        <f>IF(OR(684759.39703="",5017.42067="",5436.71065=""),"-",(5017.42067-5436.71065)/684759.39703*100)</f>
        <v>-6.1231723408044017E-2</v>
      </c>
    </row>
    <row r="24" spans="1:7" s="31" customFormat="1" x14ac:dyDescent="0.2">
      <c r="A24" s="28" t="s">
        <v>43</v>
      </c>
      <c r="B24" s="29">
        <v>2623.1406699999998</v>
      </c>
      <c r="C24" s="30">
        <f>IF(OR(3656.11844="",2623.14067=""),"-",2623.14067/3656.11844*100)</f>
        <v>71.746599926888578</v>
      </c>
      <c r="D24" s="30">
        <f>IF(3656.11844="","-",3656.11844/684759.39703*100)</f>
        <v>0.53392745771108008</v>
      </c>
      <c r="E24" s="30">
        <f>IF(2623.14067="","-",2623.14067/1062764.76132*100)</f>
        <v>0.24682232281976915</v>
      </c>
      <c r="F24" s="30">
        <f>IF(OR(675027.19329="",3219.2327="",3656.11844=""),"-",(3656.11844-3219.2327)/675027.19329*100)</f>
        <v>6.4721205951818392E-2</v>
      </c>
      <c r="G24" s="30">
        <f>IF(OR(684759.39703="",2623.14067="",3656.11844=""),"-",(2623.14067-3656.11844)/684759.39703*100)</f>
        <v>-0.1508526607273043</v>
      </c>
    </row>
    <row r="25" spans="1:7" s="31" customFormat="1" x14ac:dyDescent="0.2">
      <c r="A25" s="28" t="s">
        <v>42</v>
      </c>
      <c r="B25" s="29">
        <v>2526.0997499999999</v>
      </c>
      <c r="C25" s="30">
        <f>IF(OR(1664.05427="",2526.09975=""),"-",2526.09975/1664.05427*100)</f>
        <v>151.80392824568153</v>
      </c>
      <c r="D25" s="30">
        <f>IF(1664.05427="","-",1664.05427/684759.39703*100)</f>
        <v>0.24301298780527669</v>
      </c>
      <c r="E25" s="30">
        <f>IF(2526.09975="","-",2526.09975/1062764.76132*100)</f>
        <v>0.23769133508552484</v>
      </c>
      <c r="F25" s="30">
        <f>IF(OR(675027.19329="",1869.70988="",1664.05427=""),"-",(1664.05427-1869.70988)/675027.19329*100)</f>
        <v>-3.0466270402775886E-2</v>
      </c>
      <c r="G25" s="30">
        <f>IF(OR(684759.39703="",2526.09975="",1664.05427=""),"-",(2526.09975-1664.05427)/684759.39703*100)</f>
        <v>0.12589027383033236</v>
      </c>
    </row>
    <row r="26" spans="1:7" s="31" customFormat="1" x14ac:dyDescent="0.2">
      <c r="A26" s="28" t="s">
        <v>44</v>
      </c>
      <c r="B26" s="29">
        <v>1211.17102</v>
      </c>
      <c r="C26" s="30">
        <f>IF(OR(1527.07805="",1211.17102=""),"-",1211.17102/1527.07805*100)</f>
        <v>79.312974212418283</v>
      </c>
      <c r="D26" s="30">
        <f>IF(1527.07805="","-",1527.07805/684759.39703*100)</f>
        <v>0.22300943318534658</v>
      </c>
      <c r="E26" s="30">
        <f>IF(1211.17102="","-",1211.17102/1062764.76132*100)</f>
        <v>0.11396416818484581</v>
      </c>
      <c r="F26" s="30">
        <f>IF(OR(675027.19329="",1175.69137="",1527.07805=""),"-",(1527.07805-1175.69137)/675027.19329*100)</f>
        <v>5.2055188812080946E-2</v>
      </c>
      <c r="G26" s="30">
        <f>IF(OR(684759.39703="",1211.17102="",1527.07805=""),"-",(1211.17102-1527.07805)/684759.39703*100)</f>
        <v>-4.6134018951792477E-2</v>
      </c>
    </row>
    <row r="27" spans="1:7" s="33" customFormat="1" x14ac:dyDescent="0.2">
      <c r="A27" s="28" t="s">
        <v>45</v>
      </c>
      <c r="B27" s="29">
        <v>804.33033</v>
      </c>
      <c r="C27" s="30">
        <f>IF(OR(716.61697="",804.33033=""),"-",804.33033/716.61697*100)</f>
        <v>112.23992225581819</v>
      </c>
      <c r="D27" s="30">
        <f>IF(716.61697="","-",716.61697/684759.39703*100)</f>
        <v>0.10465237470389972</v>
      </c>
      <c r="E27" s="30">
        <f>IF(804.33033="","-",804.33033/1062764.76132*100)</f>
        <v>7.5682818933607357E-2</v>
      </c>
      <c r="F27" s="30">
        <f>IF(OR(675027.19329="",1782.1733="",716.61697=""),"-",(716.61697-1782.1733)/675027.19329*100)</f>
        <v>-0.15785383768120639</v>
      </c>
      <c r="G27" s="30">
        <f>IF(OR(684759.39703="",804.33033="",716.61697=""),"-",(804.33033-716.61697)/684759.39703*100)</f>
        <v>1.2809369302624869E-2</v>
      </c>
    </row>
    <row r="28" spans="1:7" s="33" customFormat="1" x14ac:dyDescent="0.2">
      <c r="A28" s="28" t="s">
        <v>47</v>
      </c>
      <c r="B28" s="29">
        <v>523.05552</v>
      </c>
      <c r="C28" s="30">
        <f>IF(OR(583.86956="",523.05552=""),"-",523.05552/583.86956*100)</f>
        <v>89.584310577862638</v>
      </c>
      <c r="D28" s="30">
        <f>IF(583.86956="","-",583.86956/684759.39703*100)</f>
        <v>8.5266381525016158E-2</v>
      </c>
      <c r="E28" s="30">
        <f>IF(523.05552="","-",523.05552/1062764.76132*100)</f>
        <v>4.9216490707721834E-2</v>
      </c>
      <c r="F28" s="30">
        <f>IF(OR(675027.19329="",319.10219="",583.86956=""),"-",(583.86956-319.10219)/675027.19329*100)</f>
        <v>3.9223215395154117E-2</v>
      </c>
      <c r="G28" s="30">
        <f>IF(OR(684759.39703="",523.05552="",583.86956=""),"-",(523.05552-583.86956)/684759.39703*100)</f>
        <v>-8.8810814811403974E-3</v>
      </c>
    </row>
    <row r="29" spans="1:7" s="31" customFormat="1" x14ac:dyDescent="0.2">
      <c r="A29" s="28" t="s">
        <v>49</v>
      </c>
      <c r="B29" s="29">
        <v>436.98122000000001</v>
      </c>
      <c r="C29" s="30" t="s">
        <v>306</v>
      </c>
      <c r="D29" s="30">
        <f>IF(138.03148="","-",138.03148/684759.39703*100)</f>
        <v>2.015766130390945E-2</v>
      </c>
      <c r="E29" s="30">
        <f>IF(436.98122="","-",436.98122/1062764.76132*100)</f>
        <v>4.1117398309034103E-2</v>
      </c>
      <c r="F29" s="30">
        <f>IF(OR(675027.19329="",108.71315="",138.03148=""),"-",(138.03148-108.71315)/675027.19329*100)</f>
        <v>4.3432813213207062E-3</v>
      </c>
      <c r="G29" s="30">
        <f>IF(OR(684759.39703="",436.98122="",138.03148=""),"-",(436.98122-138.03148)/684759.39703*100)</f>
        <v>4.3657632344533237E-2</v>
      </c>
    </row>
    <row r="30" spans="1:7" s="31" customFormat="1" x14ac:dyDescent="0.2">
      <c r="A30" s="28" t="s">
        <v>301</v>
      </c>
      <c r="B30" s="29">
        <v>290.07740999999999</v>
      </c>
      <c r="C30" s="30" t="s">
        <v>202</v>
      </c>
      <c r="D30" s="30">
        <f>IF(117.0098="","-",117.0098/684759.39703*100)</f>
        <v>1.7087724609184687E-2</v>
      </c>
      <c r="E30" s="30">
        <f>IF(290.07741="","-",290.07741/1062764.76132*100)</f>
        <v>2.7294601830767443E-2</v>
      </c>
      <c r="F30" s="30">
        <f>IF(OR(675027.19329="",153.94229="",117.0098=""),"-",(117.0098-153.94229)/675027.19329*100)</f>
        <v>-5.4712595828911095E-3</v>
      </c>
      <c r="G30" s="30">
        <f>IF(OR(684759.39703="",290.07741="",117.0098=""),"-",(290.07741-117.0098)/684759.39703*100)</f>
        <v>2.527422197499507E-2</v>
      </c>
    </row>
    <row r="31" spans="1:7" s="33" customFormat="1" x14ac:dyDescent="0.2">
      <c r="A31" s="28" t="s">
        <v>50</v>
      </c>
      <c r="B31" s="29">
        <v>267.20749000000001</v>
      </c>
      <c r="C31" s="30">
        <f>IF(OR(8688.65692="",267.20749=""),"-",267.20749/8688.65692*100)</f>
        <v>3.0753601213661459</v>
      </c>
      <c r="D31" s="30">
        <f>IF(8688.65692="","-",8688.65692/684759.39703*100)</f>
        <v>1.2688627505785568</v>
      </c>
      <c r="E31" s="30">
        <f>IF(267.20749="","-",267.20749/1062764.76132*100)</f>
        <v>2.5142675004402353E-2</v>
      </c>
      <c r="F31" s="30">
        <f>IF(OR(675027.19329="",4561.07244="",8688.65692=""),"-",(8688.65692-4561.07244)/675027.19329*100)</f>
        <v>0.61146936316486122</v>
      </c>
      <c r="G31" s="30">
        <f>IF(OR(684759.39703="",267.20749="",8688.65692=""),"-",(267.20749-8688.65692)/684759.39703*100)</f>
        <v>-1.2298406515523945</v>
      </c>
    </row>
    <row r="32" spans="1:7" s="33" customFormat="1" x14ac:dyDescent="0.2">
      <c r="A32" s="28" t="s">
        <v>52</v>
      </c>
      <c r="B32" s="29">
        <v>232.41665</v>
      </c>
      <c r="C32" s="30" t="s">
        <v>196</v>
      </c>
      <c r="D32" s="30">
        <f>IF(130.33957="","-",130.33957/684759.39703*100)</f>
        <v>1.9034360180425491E-2</v>
      </c>
      <c r="E32" s="30">
        <f>IF(232.41665="","-",232.41665/1062764.76132*100)</f>
        <v>2.186905874742482E-2</v>
      </c>
      <c r="F32" s="30">
        <f>IF(OR(675027.19329="",95.5496="",130.33957=""),"-",(130.33957-95.5496)/675027.19329*100)</f>
        <v>5.1538619993126431E-3</v>
      </c>
      <c r="G32" s="30">
        <f>IF(OR(684759.39703="",232.41665="",130.33957=""),"-",(232.41665-130.33957)/684759.39703*100)</f>
        <v>1.4906999515850077E-2</v>
      </c>
    </row>
    <row r="33" spans="1:7" s="33" customFormat="1" x14ac:dyDescent="0.2">
      <c r="A33" s="28" t="s">
        <v>48</v>
      </c>
      <c r="B33" s="29">
        <v>51.240180000000002</v>
      </c>
      <c r="C33" s="30">
        <f>IF(OR(375.45646="",51.24018=""),"-",51.24018/375.45646*100)</f>
        <v>13.647435976997174</v>
      </c>
      <c r="D33" s="30">
        <f>IF(375.45646="","-",375.45646/684759.39703*100)</f>
        <v>5.4830420966614481E-2</v>
      </c>
      <c r="E33" s="30">
        <f>IF(51.24018="","-",51.24018/1062764.76132*100)</f>
        <v>4.8214037447343915E-3</v>
      </c>
      <c r="F33" s="30">
        <f>IF(OR(675027.19329="",317.9774="",375.45646=""),"-",(375.45646-317.9774)/675027.19329*100)</f>
        <v>8.515073255027563E-3</v>
      </c>
      <c r="G33" s="30">
        <f>IF(OR(684759.39703="",51.24018="",375.45646=""),"-",(51.24018-375.45646)/684759.39703*100)</f>
        <v>-4.7347474369277734E-2</v>
      </c>
    </row>
    <row r="34" spans="1:7" s="33" customFormat="1" x14ac:dyDescent="0.2">
      <c r="A34" s="28" t="s">
        <v>51</v>
      </c>
      <c r="B34" s="29">
        <v>9.5177999999999994</v>
      </c>
      <c r="C34" s="30" t="s">
        <v>345</v>
      </c>
      <c r="D34" s="30">
        <f>IF(1.15991="","-",1.15991/684759.39703*100)</f>
        <v>1.693894242314696E-4</v>
      </c>
      <c r="E34" s="30">
        <f>IF(9.5178="","-",9.5178/1062764.76132*100)</f>
        <v>8.9556977671883641E-4</v>
      </c>
      <c r="F34" s="30">
        <f>IF(OR(675027.19329="",34.72929="",1.15991=""),"-",(1.15991-34.72929)/675027.19329*100)</f>
        <v>-4.9730411357780929E-3</v>
      </c>
      <c r="G34" s="30">
        <f>IF(OR(684759.39703="",9.5178="",1.15991=""),"-",(9.5178-1.15991)/684759.39703*100)</f>
        <v>1.2205586423860105E-3</v>
      </c>
    </row>
    <row r="35" spans="1:7" s="33" customFormat="1" x14ac:dyDescent="0.2">
      <c r="A35" s="28" t="s">
        <v>54</v>
      </c>
      <c r="B35" s="29">
        <v>2.6033400000000002</v>
      </c>
      <c r="C35" s="30" t="str">
        <f>IF(OR(""="",2.60334=""),"-",2.60334/""*100)</f>
        <v>-</v>
      </c>
      <c r="D35" s="30" t="str">
        <f>IF(""="","-",""/684759.39703*100)</f>
        <v>-</v>
      </c>
      <c r="E35" s="30">
        <f>IF(2.60334="","-",2.60334/1062764.76132*100)</f>
        <v>2.4495919461674085E-4</v>
      </c>
      <c r="F35" s="30" t="str">
        <f>IF(OR(675027.19329="",2.36964="",""=""),"-",(""-2.36964)/675027.19329*100)</f>
        <v>-</v>
      </c>
      <c r="G35" s="30" t="str">
        <f>IF(OR(684759.39703="",2.60334="",""=""),"-",(2.60334-"")/684759.39703*100)</f>
        <v>-</v>
      </c>
    </row>
    <row r="36" spans="1:7" s="33" customFormat="1" x14ac:dyDescent="0.2">
      <c r="A36" s="25" t="s">
        <v>132</v>
      </c>
      <c r="B36" s="26">
        <v>102597.89543</v>
      </c>
      <c r="C36" s="27">
        <f>IF(112019.90209="","-",102597.89543/112019.90209*100)</f>
        <v>91.588988667004827</v>
      </c>
      <c r="D36" s="27">
        <f>IF(112019.90209="","-",112019.90209/684759.39703*100)</f>
        <v>16.35901640428197</v>
      </c>
      <c r="E36" s="27">
        <f>IF(102597.89543="","-",102597.89543/1062764.76132*100)</f>
        <v>9.6538668917257802</v>
      </c>
      <c r="F36" s="27">
        <f>IF(675027.19329="","-",(112019.90209-94861.11251)/675027.19329*100)</f>
        <v>2.5419404952221489</v>
      </c>
      <c r="G36" s="27">
        <f>IF(684759.39703="","-",(102597.89543-112019.90209)/684759.39703*100)</f>
        <v>-1.3759587237306963</v>
      </c>
    </row>
    <row r="37" spans="1:7" s="33" customFormat="1" ht="14.25" customHeight="1" x14ac:dyDescent="0.2">
      <c r="A37" s="28" t="s">
        <v>302</v>
      </c>
      <c r="B37" s="29">
        <v>56902.004910000003</v>
      </c>
      <c r="C37" s="30">
        <f>IF(OR(66014.19752="",56902.00491=""),"-",56902.00491/66014.19752*100)</f>
        <v>86.196616860730117</v>
      </c>
      <c r="D37" s="30">
        <f>IF(66014.19752="","-",66014.19752/684759.39703*100)</f>
        <v>9.6404953048213304</v>
      </c>
      <c r="E37" s="30">
        <f>IF(56902.00491="","-",56902.00491/1062764.76132*100)</f>
        <v>5.3541486301564269</v>
      </c>
      <c r="F37" s="30">
        <f>IF(OR(675027.19329="",52975.1584="",66014.19752=""),"-",(66014.19752-52975.1584)/675027.19329*100)</f>
        <v>1.9316316808585623</v>
      </c>
      <c r="G37" s="30">
        <f>IF(OR(684759.39703="",56902.00491="",66014.19752=""),"-",(56902.00491-66014.19752)/684759.39703*100)</f>
        <v>-1.3307145034478123</v>
      </c>
    </row>
    <row r="38" spans="1:7" s="31" customFormat="1" ht="14.25" customHeight="1" x14ac:dyDescent="0.2">
      <c r="A38" s="28" t="s">
        <v>11</v>
      </c>
      <c r="B38" s="29">
        <v>25080.007229999999</v>
      </c>
      <c r="C38" s="30">
        <f>IF(OR(22770.44145="",25080.00723=""),"-",25080.00723/22770.44145*100)</f>
        <v>110.14282391086449</v>
      </c>
      <c r="D38" s="30">
        <f>IF(22770.44145="","-",22770.44145/684759.39703*100)</f>
        <v>3.3253200392374316</v>
      </c>
      <c r="E38" s="30">
        <f>IF(25080.00723="","-",25080.00723/1062764.76132*100)</f>
        <v>2.3598832161925976</v>
      </c>
      <c r="F38" s="30">
        <f>IF(OR(675027.19329="",17734.785="",22770.44145=""),"-",(22770.44145-17734.785)/675027.19329*100)</f>
        <v>0.74599312443352472</v>
      </c>
      <c r="G38" s="30">
        <f>IF(OR(684759.39703="",25080.00723="",22770.44145=""),"-",(25080.00723-22770.44145)/684759.39703*100)</f>
        <v>0.337281356052543</v>
      </c>
    </row>
    <row r="39" spans="1:7" s="31" customFormat="1" ht="14.25" customHeight="1" x14ac:dyDescent="0.2">
      <c r="A39" s="28" t="s">
        <v>10</v>
      </c>
      <c r="B39" s="29">
        <v>14676.7821</v>
      </c>
      <c r="C39" s="30">
        <f>IF(OR(16631.03245="",14676.7821=""),"-",14676.7821/16631.03245*100)</f>
        <v>88.249374439769085</v>
      </c>
      <c r="D39" s="30">
        <f>IF(16631.03245="","-",16631.03245/684759.39703*100)</f>
        <v>2.4287410325632051</v>
      </c>
      <c r="E39" s="30">
        <f>IF(14676.7821="","-",14676.7821/1062764.76132*100)</f>
        <v>1.3810000702103444</v>
      </c>
      <c r="F39" s="30">
        <f>IF(OR(675027.19329="",18678.45545="",16631.03245=""),"-",(16631.03245-18678.45545)/675027.19329*100)</f>
        <v>-0.30330970668323942</v>
      </c>
      <c r="G39" s="30">
        <f>IF(OR(684759.39703="",14676.7821="",16631.03245=""),"-",(14676.7821-16631.03245)/684759.39703*100)</f>
        <v>-0.28539226456418831</v>
      </c>
    </row>
    <row r="40" spans="1:7" s="31" customFormat="1" ht="14.25" customHeight="1" x14ac:dyDescent="0.2">
      <c r="A40" s="28" t="s">
        <v>14</v>
      </c>
      <c r="B40" s="29">
        <v>2183.07179</v>
      </c>
      <c r="C40" s="30">
        <f>IF(OR(1796.92485="",2183.07179=""),"-",2183.07179/1796.92485*100)</f>
        <v>121.48932049106003</v>
      </c>
      <c r="D40" s="30">
        <f>IF(1796.92485="","-",1796.92485/684759.39703*100)</f>
        <v>0.26241696832402506</v>
      </c>
      <c r="E40" s="30">
        <f>IF(2183.07179="","-",2183.07179/1062764.76132*100)</f>
        <v>0.20541439361317643</v>
      </c>
      <c r="F40" s="30">
        <f>IF(OR(675027.19329="",878.53868="",1796.92485=""),"-",(1796.92485-878.53868)/675027.19329*100)</f>
        <v>0.13605172934202817</v>
      </c>
      <c r="G40" s="30">
        <f>IF(OR(684759.39703="",2183.07179="",1796.92485=""),"-",(2183.07179-1796.92485)/684759.39703*100)</f>
        <v>5.6391623346073241E-2</v>
      </c>
    </row>
    <row r="41" spans="1:7" s="33" customFormat="1" ht="14.25" customHeight="1" x14ac:dyDescent="0.2">
      <c r="A41" s="28" t="s">
        <v>12</v>
      </c>
      <c r="B41" s="29">
        <v>1894.4212500000001</v>
      </c>
      <c r="C41" s="30">
        <f>IF(OR(3161.3131="",1894.42125=""),"-",1894.42125/3161.3131*100)</f>
        <v>59.925138386324349</v>
      </c>
      <c r="D41" s="30">
        <f>IF(3161.3131="","-",3161.3131/684759.39703*100)</f>
        <v>0.46166772062005007</v>
      </c>
      <c r="E41" s="30">
        <f>IF(1894.42125="","-",1894.42125/1062764.76132*100)</f>
        <v>0.17825405197355684</v>
      </c>
      <c r="F41" s="30">
        <f>IF(OR(675027.19329="",3219.43806="",3161.3131=""),"-",(3161.3131-3219.43806)/675027.19329*100)</f>
        <v>-8.610758289115162E-3</v>
      </c>
      <c r="G41" s="30">
        <f>IF(OR(684759.39703="",1894.42125="",3161.3131=""),"-",(1894.42125-3161.3131)/684759.39703*100)</f>
        <v>-0.18501270015349583</v>
      </c>
    </row>
    <row r="42" spans="1:7" s="31" customFormat="1" ht="14.25" customHeight="1" x14ac:dyDescent="0.2">
      <c r="A42" s="28" t="s">
        <v>13</v>
      </c>
      <c r="B42" s="29">
        <v>813.24635000000001</v>
      </c>
      <c r="C42" s="30">
        <f>IF(OR(778.18115="",813.24635=""),"-",813.24635/778.18115*100)</f>
        <v>104.50604592516794</v>
      </c>
      <c r="D42" s="30">
        <f>IF(778.18115="","-",778.18115/684759.39703*100)</f>
        <v>0.11364300415229017</v>
      </c>
      <c r="E42" s="30">
        <f>IF(813.24635="","-",813.24635/1062764.76132*100)</f>
        <v>7.6521764702652789E-2</v>
      </c>
      <c r="F42" s="30">
        <f>IF(OR(675027.19329="",806.54305="",778.18115=""),"-",(778.18115-806.54305)/675027.19329*100)</f>
        <v>-4.2015936960654223E-3</v>
      </c>
      <c r="G42" s="30">
        <f>IF(OR(684759.39703="",813.24635="",778.18115=""),"-",(813.24635-778.18115)/684759.39703*100)</f>
        <v>5.1208059578427027E-3</v>
      </c>
    </row>
    <row r="43" spans="1:7" s="33" customFormat="1" ht="14.25" customHeight="1" x14ac:dyDescent="0.2">
      <c r="A43" s="28" t="s">
        <v>15</v>
      </c>
      <c r="B43" s="34">
        <v>628.39558</v>
      </c>
      <c r="C43" s="30" t="s">
        <v>102</v>
      </c>
      <c r="D43" s="30">
        <f>IF(326.42347="","-",326.42347/684759.39703*100)</f>
        <v>4.7669805104653289E-2</v>
      </c>
      <c r="E43" s="30">
        <f>IF(628.39558="","-",628.39558/1062764.76132*100)</f>
        <v>5.912837938091825E-2</v>
      </c>
      <c r="F43" s="30" t="str">
        <f>IF(OR(675027.19329="",""="",326.42347=""),"-",(326.42347-"")/675027.19329*100)</f>
        <v>-</v>
      </c>
      <c r="G43" s="30">
        <f>IF(OR(684759.39703="",628.39558="",326.42347=""),"-",(628.39558-326.42347)/684759.39703*100)</f>
        <v>4.4099009273876423E-2</v>
      </c>
    </row>
    <row r="44" spans="1:7" s="33" customFormat="1" ht="14.25" customHeight="1" x14ac:dyDescent="0.2">
      <c r="A44" s="28" t="s">
        <v>318</v>
      </c>
      <c r="B44" s="29">
        <v>306.88637</v>
      </c>
      <c r="C44" s="30">
        <f>IF(OR(267.06992="",306.88637=""),"-",306.88637/267.06992*100)</f>
        <v>114.90862392889471</v>
      </c>
      <c r="D44" s="30">
        <f>IF(267.06992="","-",267.06992/684759.39703*100)</f>
        <v>3.9002008757873158E-2</v>
      </c>
      <c r="E44" s="30">
        <f>IF(306.88637="","-",306.88637/1062764.76132*100)</f>
        <v>2.8876227474726748E-2</v>
      </c>
      <c r="F44" s="30">
        <f>IF(OR(675027.19329="",196.8437="",267.06992=""),"-",(267.06992-196.8437)/675027.19329*100)</f>
        <v>1.0403465326741284E-2</v>
      </c>
      <c r="G44" s="30">
        <f>IF(OR(684759.39703="",306.88637="",267.06992=""),"-",(306.88637-267.06992)/684759.39703*100)</f>
        <v>5.8146628104258904E-3</v>
      </c>
    </row>
    <row r="45" spans="1:7" s="33" customFormat="1" ht="14.25" customHeight="1" x14ac:dyDescent="0.2">
      <c r="A45" s="28" t="s">
        <v>16</v>
      </c>
      <c r="B45" s="29">
        <v>93.147670000000005</v>
      </c>
      <c r="C45" s="30">
        <f>IF(OR(159.66696="",93.14767=""),"-",93.14767/159.66696*100)</f>
        <v>58.338725807768874</v>
      </c>
      <c r="D45" s="30">
        <f>IF(159.66696="","-",159.66696/684759.39703*100)</f>
        <v>2.3317235322731149E-2</v>
      </c>
      <c r="E45" s="30">
        <f>IF(93.14767="","-",93.14767/1062764.76132*100)</f>
        <v>8.7646554901111458E-3</v>
      </c>
      <c r="F45" s="30">
        <f>IF(OR(675027.19329="",260.32668="",159.66696=""),"-",(159.66696-260.32668)/675027.19329*100)</f>
        <v>-1.4911950362976765E-2</v>
      </c>
      <c r="G45" s="30">
        <f>IF(OR(684759.39703="",93.14767="",159.66696=""),"-",(93.14767-159.66696)/684759.39703*100)</f>
        <v>-9.7142573418507912E-3</v>
      </c>
    </row>
    <row r="46" spans="1:7" s="33" customFormat="1" x14ac:dyDescent="0.2">
      <c r="A46" s="28" t="s">
        <v>17</v>
      </c>
      <c r="B46" s="29">
        <v>19.932179999999999</v>
      </c>
      <c r="C46" s="30">
        <f>IF(OR(114.65122="",19.93218=""),"-",19.93218/114.65122*100)</f>
        <v>17.385057045184517</v>
      </c>
      <c r="D46" s="30">
        <f>IF(114.65122="","-",114.65122/684759.39703*100)</f>
        <v>1.6743285378378971E-2</v>
      </c>
      <c r="E46" s="30">
        <f>IF(19.93218="","-",19.93218/1062764.76132*100)</f>
        <v>1.8755025312697951E-3</v>
      </c>
      <c r="F46" s="30">
        <f>IF(OR(675027.19329="",111.02349="",114.65122=""),"-",(114.65122-111.02349)/675027.19329*100)</f>
        <v>5.3741983079509551E-4</v>
      </c>
      <c r="G46" s="30">
        <f>IF(OR(684759.39703="",19.93218="",114.65122=""),"-",(19.93218-114.65122)/684759.39703*100)</f>
        <v>-1.3832455664109747E-2</v>
      </c>
    </row>
    <row r="47" spans="1:7" s="33" customFormat="1" x14ac:dyDescent="0.2">
      <c r="A47" s="25" t="s">
        <v>133</v>
      </c>
      <c r="B47" s="26">
        <v>246712.95155999999</v>
      </c>
      <c r="C47" s="27" t="s">
        <v>102</v>
      </c>
      <c r="D47" s="27">
        <f>IF(133018.99415="","-",133018.99415/684759.39703*100)</f>
        <v>19.4256544308763</v>
      </c>
      <c r="E47" s="27">
        <f>IF(246712.95156="","-",246712.95156/1062764.76132*100)</f>
        <v>23.214257805609943</v>
      </c>
      <c r="F47" s="27">
        <f>IF(675027.19329="","-",(133018.99415-132726.6838)/675027.19329*100)</f>
        <v>4.3303492497143617E-2</v>
      </c>
      <c r="G47" s="27">
        <f>IF(684759.39703="","-",(246712.95156-133018.99415)/684759.39703*100)</f>
        <v>16.603489912387275</v>
      </c>
    </row>
    <row r="48" spans="1:7" s="33" customFormat="1" x14ac:dyDescent="0.2">
      <c r="A48" s="35" t="s">
        <v>55</v>
      </c>
      <c r="B48" s="36">
        <v>122538.79035</v>
      </c>
      <c r="C48" s="30" t="s">
        <v>196</v>
      </c>
      <c r="D48" s="30">
        <f>IF(68420.72611="","-",68420.72611/684759.39703*100)</f>
        <v>9.9919367892957034</v>
      </c>
      <c r="E48" s="30">
        <f>IF(122538.79035="","-",122538.79035/1062764.76132*100)</f>
        <v>11.530189446421002</v>
      </c>
      <c r="F48" s="30">
        <f>IF(OR(675027.19329="",42676.6489="",68420.72611=""),"-",(68420.72611-42676.6489)/675027.19329*100)</f>
        <v>3.8137837209974492</v>
      </c>
      <c r="G48" s="30">
        <f>IF(OR(684759.39703="",122538.79035="",68420.72611=""),"-",(122538.79035-68420.72611)/684759.39703*100)</f>
        <v>7.9032233036488044</v>
      </c>
    </row>
    <row r="49" spans="1:7" s="31" customFormat="1" x14ac:dyDescent="0.2">
      <c r="A49" s="28" t="s">
        <v>303</v>
      </c>
      <c r="B49" s="29">
        <v>35355.323810000002</v>
      </c>
      <c r="C49" s="30" t="s">
        <v>298</v>
      </c>
      <c r="D49" s="30">
        <f>IF(9655.81621="","-",9655.81621/684759.39703*100)</f>
        <v>1.4101034979410394</v>
      </c>
      <c r="E49" s="30">
        <f>IF(35355.32381="","-",35355.32381/1062764.76132*100)</f>
        <v>3.3267309094899935</v>
      </c>
      <c r="F49" s="30">
        <f>IF(OR(675027.19329="",26700.50397="",9655.81621=""),"-",(9655.81621-26700.50397)/675027.19329*100)</f>
        <v>-2.5250372028608621</v>
      </c>
      <c r="G49" s="30">
        <f>IF(OR(684759.39703="",35355.32381="",9655.81621=""),"-",(35355.32381-9655.81621)/684759.39703*100)</f>
        <v>3.7530711825885437</v>
      </c>
    </row>
    <row r="50" spans="1:7" s="33" customFormat="1" ht="24" x14ac:dyDescent="0.2">
      <c r="A50" s="35" t="s">
        <v>304</v>
      </c>
      <c r="B50" s="36">
        <v>22829.478360000001</v>
      </c>
      <c r="C50" s="30" t="s">
        <v>286</v>
      </c>
      <c r="D50" s="30">
        <f>IF(9513.19573="","-",9513.19573/684759.39703*100)</f>
        <v>1.3892756742384971</v>
      </c>
      <c r="E50" s="30">
        <f>IF(22829.47836="","-",22829.47836/1062764.76132*100)</f>
        <v>2.1481215026027769</v>
      </c>
      <c r="F50" s="30">
        <f>IF(OR(675027.19329="",11270.10205="",9513.19573=""),"-",(9513.19573-11270.10205)/675027.19329*100)</f>
        <v>-0.26027193237016921</v>
      </c>
      <c r="G50" s="30">
        <f>IF(OR(684759.39703="",22829.47836="",9513.19573=""),"-",(22829.47836-9513.19573)/684759.39703*100)</f>
        <v>1.9446659202862464</v>
      </c>
    </row>
    <row r="51" spans="1:7" s="32" customFormat="1" x14ac:dyDescent="0.2">
      <c r="A51" s="35" t="s">
        <v>18</v>
      </c>
      <c r="B51" s="36">
        <v>9871.3231599999999</v>
      </c>
      <c r="C51" s="30" t="s">
        <v>286</v>
      </c>
      <c r="D51" s="30">
        <f>IF(4115.85934="","-",4115.85934/684759.39703*100)</f>
        <v>0.60106649983215643</v>
      </c>
      <c r="E51" s="30">
        <f>IF(9871.32316="","-",9871.32316/1062764.76132*100)</f>
        <v>0.92883425563897948</v>
      </c>
      <c r="F51" s="30">
        <f>IF(OR(675027.19329="",6056.64251="",4115.85934=""),"-",(4115.85934-6056.64251)/675027.19329*100)</f>
        <v>-0.28751184978798555</v>
      </c>
      <c r="G51" s="30">
        <f>IF(OR(684759.39703="",9871.32316="",4115.85934=""),"-",(9871.32316-4115.85934)/684759.39703*100)</f>
        <v>0.84050892108426911</v>
      </c>
    </row>
    <row r="52" spans="1:7" s="31" customFormat="1" x14ac:dyDescent="0.2">
      <c r="A52" s="35" t="s">
        <v>59</v>
      </c>
      <c r="B52" s="36">
        <v>8711.3700599999993</v>
      </c>
      <c r="C52" s="30">
        <f>IF(OR(7299.71955="",8711.37006=""),"-",8711.37006/7299.71955*100)</f>
        <v>119.33842115893343</v>
      </c>
      <c r="D52" s="30">
        <f>IF(7299.71955="","-",7299.71955/684759.39703*100)</f>
        <v>1.0660269259043393</v>
      </c>
      <c r="E52" s="30">
        <f>IF(8711.37006="","-",8711.37006/1062764.76132*100)</f>
        <v>0.81968939666197616</v>
      </c>
      <c r="F52" s="30">
        <f>IF(OR(675027.19329="",3780.46236="",7299.71955=""),"-",(7299.71955-3780.46236)/675027.19329*100)</f>
        <v>0.52135043224667299</v>
      </c>
      <c r="G52" s="30">
        <f>IF(OR(684759.39703="",8711.37006="",7299.71955=""),"-",(8711.37006-7299.71955)/684759.39703*100)</f>
        <v>0.20615277659901229</v>
      </c>
    </row>
    <row r="53" spans="1:7" s="33" customFormat="1" x14ac:dyDescent="0.2">
      <c r="A53" s="28" t="s">
        <v>67</v>
      </c>
      <c r="B53" s="29">
        <v>4124.3241699999999</v>
      </c>
      <c r="C53" s="30">
        <f>IF(OR(2736.47783="",4124.32417=""),"-",4124.32417/2736.47783*100)</f>
        <v>150.7165205135245</v>
      </c>
      <c r="D53" s="30">
        <f>IF(2736.47783="","-",2736.47783/684759.39703*100)</f>
        <v>0.39962618138121175</v>
      </c>
      <c r="E53" s="30">
        <f>IF(4124.32417="","-",4124.32417/1062764.76132*100)</f>
        <v>0.38807498329897672</v>
      </c>
      <c r="F53" s="30">
        <f>IF(OR(675027.19329="",1491.27139="",2736.47783=""),"-",(2736.47783-1491.27139)/675027.19329*100)</f>
        <v>0.18446759662096218</v>
      </c>
      <c r="G53" s="30">
        <f>IF(OR(684759.39703="",4124.32417="",2736.47783=""),"-",(4124.32417-2736.47783)/684759.39703*100)</f>
        <v>0.20267649425761688</v>
      </c>
    </row>
    <row r="54" spans="1:7" s="33" customFormat="1" x14ac:dyDescent="0.2">
      <c r="A54" s="35" t="s">
        <v>65</v>
      </c>
      <c r="B54" s="36">
        <v>4042.0512600000002</v>
      </c>
      <c r="C54" s="30" t="s">
        <v>196</v>
      </c>
      <c r="D54" s="30">
        <f>IF(2279.13079="","-",2279.13079/684759.39703*100)</f>
        <v>0.33283673066558134</v>
      </c>
      <c r="E54" s="30">
        <f>IF(4042.05126="","-",4042.05126/1062764.76132*100)</f>
        <v>0.38033357965121056</v>
      </c>
      <c r="F54" s="30">
        <f>IF(OR(675027.19329="",1860.21414="",2279.13079=""),"-",(2279.13079-1860.21414)/675027.19329*100)</f>
        <v>6.2059225785890439E-2</v>
      </c>
      <c r="G54" s="30">
        <f>IF(OR(684759.39703="",4042.05126="",2279.13079=""),"-",(4042.05126-2279.13079)/684759.39703*100)</f>
        <v>0.25745108101419228</v>
      </c>
    </row>
    <row r="55" spans="1:7" s="32" customFormat="1" x14ac:dyDescent="0.2">
      <c r="A55" s="28" t="s">
        <v>57</v>
      </c>
      <c r="B55" s="29">
        <v>3364.4668499999998</v>
      </c>
      <c r="C55" s="30">
        <f>IF(OR(5007.59426="",3364.46685=""),"-",3364.46685/5007.59426*100)</f>
        <v>67.187289451042702</v>
      </c>
      <c r="D55" s="30">
        <f>IF(5007.59426="","-",5007.59426/684759.39703*100)</f>
        <v>0.73129252139063561</v>
      </c>
      <c r="E55" s="30">
        <f>IF(3364.46685="","-",3364.46685/1062764.76132*100)</f>
        <v>0.31657681666271903</v>
      </c>
      <c r="F55" s="30">
        <f>IF(OR(675027.19329="",5282.45118="",5007.59426=""),"-",(5007.59426-5282.45118)/675027.19329*100)</f>
        <v>-4.0717903327772795E-2</v>
      </c>
      <c r="G55" s="30">
        <f>IF(OR(684759.39703="",3364.46685="",5007.59426=""),"-",(3364.46685-5007.59426)/684759.39703*100)</f>
        <v>-0.23995689831008085</v>
      </c>
    </row>
    <row r="56" spans="1:7" s="33" customFormat="1" x14ac:dyDescent="0.2">
      <c r="A56" s="28" t="s">
        <v>56</v>
      </c>
      <c r="B56" s="29">
        <v>2684.4530100000002</v>
      </c>
      <c r="C56" s="30" t="s">
        <v>196</v>
      </c>
      <c r="D56" s="30">
        <f>IF(1463.64115="","-",1463.64115/684759.39703*100)</f>
        <v>0.2137453178953419</v>
      </c>
      <c r="E56" s="30">
        <f>IF(2684.45301="","-",2684.45301/1062764.76132*100)</f>
        <v>0.25259145840193203</v>
      </c>
      <c r="F56" s="30">
        <f>IF(OR(675027.19329="",2040.73996="",1463.64115=""),"-",(1463.64115-2040.73996)/675027.19329*100)</f>
        <v>-8.5492675811664892E-2</v>
      </c>
      <c r="G56" s="30">
        <f>IF(OR(684759.39703="",2684.45301="",1463.64115=""),"-",(2684.45301-1463.64115)/684759.39703*100)</f>
        <v>0.17828333065526594</v>
      </c>
    </row>
    <row r="57" spans="1:7" s="31" customFormat="1" x14ac:dyDescent="0.2">
      <c r="A57" s="28" t="s">
        <v>62</v>
      </c>
      <c r="B57" s="29">
        <v>2091.9533799999999</v>
      </c>
      <c r="C57" s="30" t="s">
        <v>196</v>
      </c>
      <c r="D57" s="30">
        <f>IF(1175.85237="","-",1175.85237/684759.39703*100)</f>
        <v>0.17171759527507219</v>
      </c>
      <c r="E57" s="30">
        <f>IF(2091.95338="","-",2091.95338/1062764.76132*100)</f>
        <v>0.19684067971934852</v>
      </c>
      <c r="F57" s="30">
        <f>IF(OR(675027.19329="",85.11492="",1175.85237=""),"-",(1175.85237-85.11492)/675027.19329*100)</f>
        <v>0.16158422369384545</v>
      </c>
      <c r="G57" s="30">
        <f>IF(OR(684759.39703="",2091.95338="",1175.85237=""),"-",(2091.95338-1175.85237)/684759.39703*100)</f>
        <v>0.13378436484017533</v>
      </c>
    </row>
    <row r="58" spans="1:7" s="33" customFormat="1" x14ac:dyDescent="0.2">
      <c r="A58" s="28" t="s">
        <v>36</v>
      </c>
      <c r="B58" s="29">
        <v>2012.19184</v>
      </c>
      <c r="C58" s="30" t="s">
        <v>285</v>
      </c>
      <c r="D58" s="30">
        <f>IF(747.14045="","-",747.14045/684759.39703*100)</f>
        <v>0.10910992287810356</v>
      </c>
      <c r="E58" s="30">
        <f>IF(2012.19184="","-",2012.19184/1062764.76132*100)</f>
        <v>0.18933558142262547</v>
      </c>
      <c r="F58" s="30">
        <f>IF(OR(675027.19329="",1254.81922="",747.14045=""),"-",(747.14045-1254.81922)/675027.19329*100)</f>
        <v>-7.5208639747627926E-2</v>
      </c>
      <c r="G58" s="30">
        <f>IF(OR(684759.39703="",2012.19184="",747.14045=""),"-",(2012.19184-747.14045)/684759.39703*100)</f>
        <v>0.18474392545569943</v>
      </c>
    </row>
    <row r="59" spans="1:7" s="31" customFormat="1" x14ac:dyDescent="0.2">
      <c r="A59" s="35" t="s">
        <v>82</v>
      </c>
      <c r="B59" s="36">
        <v>1754.2826600000001</v>
      </c>
      <c r="C59" s="30" t="s">
        <v>321</v>
      </c>
      <c r="D59" s="30">
        <f>IF(0.55466="","-",0.55466/684759.39703*100)</f>
        <v>8.1000713886617874E-5</v>
      </c>
      <c r="E59" s="30">
        <f>IF(1754.28266="","-",1754.28266/1062764.76132*100)</f>
        <v>0.16506782345898491</v>
      </c>
      <c r="F59" s="30">
        <f>IF(OR(675027.19329="",19.39621="",0.55466=""),"-",(0.55466-19.39621)/675027.19329*100)</f>
        <v>-2.79122829232532E-3</v>
      </c>
      <c r="G59" s="30">
        <f>IF(OR(684759.39703="",1754.28266="",0.55466=""),"-",(1754.28266-0.55466)/684759.39703*100)</f>
        <v>0.25610864306593334</v>
      </c>
    </row>
    <row r="60" spans="1:7" s="33" customFormat="1" x14ac:dyDescent="0.2">
      <c r="A60" s="35" t="s">
        <v>117</v>
      </c>
      <c r="B60" s="36">
        <v>1740.1086600000001</v>
      </c>
      <c r="C60" s="30" t="str">
        <f>IF(OR(""="",1740.10866=""),"-",1740.10866/""*100)</f>
        <v>-</v>
      </c>
      <c r="D60" s="30" t="str">
        <f>IF(""="","-",""/684759.39703*100)</f>
        <v>-</v>
      </c>
      <c r="E60" s="30">
        <f>IF(1740.10866="","-",1740.10866/1062764.76132*100)</f>
        <v>0.16373413226824621</v>
      </c>
      <c r="F60" s="30" t="str">
        <f>IF(OR(675027.19329="",177.3="",""=""),"-",(""-177.3)/675027.19329*100)</f>
        <v>-</v>
      </c>
      <c r="G60" s="30" t="str">
        <f>IF(OR(684759.39703="",1740.10866="",""=""),"-",(1740.10866-"")/684759.39703*100)</f>
        <v>-</v>
      </c>
    </row>
    <row r="61" spans="1:7" s="31" customFormat="1" x14ac:dyDescent="0.2">
      <c r="A61" s="35" t="s">
        <v>61</v>
      </c>
      <c r="B61" s="36">
        <v>1620.7926299999999</v>
      </c>
      <c r="C61" s="30">
        <f>IF(OR(1320.03231="",1620.79263=""),"-",1620.79263/1320.03231*100)</f>
        <v>122.78431502937983</v>
      </c>
      <c r="D61" s="30">
        <f>IF(1320.03231="","-",1320.03231/684759.39703*100)</f>
        <v>0.19277315736379272</v>
      </c>
      <c r="E61" s="30">
        <f>IF(1620.79263="","-",1620.79263/1062764.76132*100)</f>
        <v>0.15250718587873621</v>
      </c>
      <c r="F61" s="30">
        <f>IF(OR(675027.19329="",1753.14007="",1320.03231=""),"-",(1320.03231-1753.14007)/675027.19329*100)</f>
        <v>-6.4161527758472309E-2</v>
      </c>
      <c r="G61" s="30">
        <f>IF(OR(684759.39703="",1620.79263="",1320.03231=""),"-",(1620.79263-1320.03231)/684759.39703*100)</f>
        <v>4.3922043465848673E-2</v>
      </c>
    </row>
    <row r="62" spans="1:7" s="33" customFormat="1" x14ac:dyDescent="0.2">
      <c r="A62" s="35" t="s">
        <v>88</v>
      </c>
      <c r="B62" s="36">
        <v>1562.2296200000001</v>
      </c>
      <c r="C62" s="30" t="s">
        <v>322</v>
      </c>
      <c r="D62" s="30">
        <f>IF(196.14368="","-",196.14368/684759.39703*100)</f>
        <v>2.8644174997923651E-2</v>
      </c>
      <c r="E62" s="30">
        <f>IF(1562.22962="","-",1562.22962/1062764.76132*100)</f>
        <v>0.14699674630344753</v>
      </c>
      <c r="F62" s="30">
        <f>IF(OR(675027.19329="",0.1446="",196.14368=""),"-",(196.14368-0.1446)/675027.19329*100)</f>
        <v>2.9035730996957984E-2</v>
      </c>
      <c r="G62" s="30">
        <f>IF(OR(684759.39703="",1562.22962="",196.14368=""),"-",(1562.22962-196.14368)/684759.39703*100)</f>
        <v>0.19949867733471213</v>
      </c>
    </row>
    <row r="63" spans="1:7" s="33" customFormat="1" x14ac:dyDescent="0.2">
      <c r="A63" s="28" t="s">
        <v>58</v>
      </c>
      <c r="B63" s="29">
        <v>1534.6801700000001</v>
      </c>
      <c r="C63" s="30">
        <f>IF(OR(3107.90154="",1534.68017=""),"-",1534.68017/3107.90154*100)</f>
        <v>49.379948182013514</v>
      </c>
      <c r="D63" s="30">
        <f>IF(3107.90154="","-",3107.90154/684759.39703*100)</f>
        <v>0.45386767286142687</v>
      </c>
      <c r="E63" s="30">
        <f>IF(1534.68017="","-",1534.68017/1062764.76132*100)</f>
        <v>0.14440450284537668</v>
      </c>
      <c r="F63" s="30">
        <f>IF(OR(675027.19329="",2759.07641="",3107.90154=""),"-",(3107.90154-2759.07641)/675027.19329*100)</f>
        <v>5.167571521080043E-2</v>
      </c>
      <c r="G63" s="30">
        <f>IF(OR(684759.39703="",1534.68017="",3107.90154=""),"-",(1534.68017-3107.90154)/684759.39703*100)</f>
        <v>-0.22974805118754368</v>
      </c>
    </row>
    <row r="64" spans="1:7" s="31" customFormat="1" x14ac:dyDescent="0.2">
      <c r="A64" s="28" t="s">
        <v>35</v>
      </c>
      <c r="B64" s="29">
        <v>1231.4874400000001</v>
      </c>
      <c r="C64" s="30" t="s">
        <v>331</v>
      </c>
      <c r="D64" s="30">
        <f>IF(279.68352="","-",279.68352/684759.39703*100)</f>
        <v>4.084405722843213E-2</v>
      </c>
      <c r="E64" s="30">
        <f>IF(1231.48744="","-",1231.48744/1062764.76132*100)</f>
        <v>0.11587582547152196</v>
      </c>
      <c r="F64" s="30">
        <f>IF(OR(675027.19329="",94.11463="",279.68352=""),"-",(279.68352-94.11463)/675027.19329*100)</f>
        <v>2.7490579912130639E-2</v>
      </c>
      <c r="G64" s="30">
        <f>IF(OR(684759.39703="",1231.48744="",279.68352=""),"-",(1231.48744-279.68352)/684759.39703*100)</f>
        <v>0.13899829985951995</v>
      </c>
    </row>
    <row r="65" spans="1:7" s="32" customFormat="1" x14ac:dyDescent="0.2">
      <c r="A65" s="35" t="s">
        <v>123</v>
      </c>
      <c r="B65" s="36">
        <v>1186.6277600000001</v>
      </c>
      <c r="C65" s="30" t="s">
        <v>196</v>
      </c>
      <c r="D65" s="30">
        <f>IF(668.61055="","-",668.61055/684759.39703*100)</f>
        <v>9.7641675733105351E-2</v>
      </c>
      <c r="E65" s="30">
        <f>IF(1186.62776="","-",1186.62776/1062764.76132*100)</f>
        <v>0.11165478976985996</v>
      </c>
      <c r="F65" s="30">
        <f>IF(OR(675027.19329="",191.86344="",668.61055=""),"-",(668.61055-191.86344)/675027.19329*100)</f>
        <v>7.0626356202983909E-2</v>
      </c>
      <c r="G65" s="30">
        <f>IF(OR(684759.39703="",1186.62776="",668.61055=""),"-",(1186.62776-668.61055)/684759.39703*100)</f>
        <v>7.5649521897295735E-2</v>
      </c>
    </row>
    <row r="66" spans="1:7" s="33" customFormat="1" x14ac:dyDescent="0.2">
      <c r="A66" s="28" t="s">
        <v>79</v>
      </c>
      <c r="B66" s="29">
        <v>992.55934000000002</v>
      </c>
      <c r="C66" s="30" t="str">
        <f>IF(OR(""="",992.55934=""),"-",992.55934/""*100)</f>
        <v>-</v>
      </c>
      <c r="D66" s="30" t="str">
        <f>IF(""="","-",""/684759.39703*100)</f>
        <v>-</v>
      </c>
      <c r="E66" s="30">
        <f>IF(992.55934="","-",992.55934/1062764.76132*100)</f>
        <v>9.3394077045535276E-2</v>
      </c>
      <c r="F66" s="30" t="str">
        <f>IF(OR(675027.19329="",4.91="",""=""),"-",(""-4.91)/675027.19329*100)</f>
        <v>-</v>
      </c>
      <c r="G66" s="30" t="str">
        <f>IF(OR(684759.39703="",992.55934="",""=""),"-",(992.55934-"")/684759.39703*100)</f>
        <v>-</v>
      </c>
    </row>
    <row r="67" spans="1:7" s="33" customFormat="1" x14ac:dyDescent="0.2">
      <c r="A67" s="28" t="s">
        <v>73</v>
      </c>
      <c r="B67" s="29">
        <v>967.39198999999996</v>
      </c>
      <c r="C67" s="30" t="s">
        <v>332</v>
      </c>
      <c r="D67" s="30">
        <f>IF(183.91844="","-",183.91844/684759.39703*100)</f>
        <v>2.6858841338681529E-2</v>
      </c>
      <c r="E67" s="30">
        <f>IF(967.39199="","-",967.39199/1062764.76132*100)</f>
        <v>9.1025975381274118E-2</v>
      </c>
      <c r="F67" s="30">
        <f>IF(OR(675027.19329="",136.8668="",183.91844=""),"-",(183.91844-136.8668)/675027.19329*100)</f>
        <v>6.9703325240389287E-3</v>
      </c>
      <c r="G67" s="30">
        <f>IF(OR(684759.39703="",967.39199="",183.91844=""),"-",(967.39199-183.91844)/684759.39703*100)</f>
        <v>0.11441588876299497</v>
      </c>
    </row>
    <row r="68" spans="1:7" s="33" customFormat="1" x14ac:dyDescent="0.2">
      <c r="A68" s="35" t="s">
        <v>74</v>
      </c>
      <c r="B68" s="36">
        <v>755.81807000000003</v>
      </c>
      <c r="C68" s="30" t="s">
        <v>100</v>
      </c>
      <c r="D68" s="30">
        <f>IF(450.21155="","-",450.21155/684759.39703*100)</f>
        <v>6.5747407330618318E-2</v>
      </c>
      <c r="E68" s="30">
        <f>IF(755.81807="","-",755.81807/1062764.76132*100)</f>
        <v>7.1118096638925168E-2</v>
      </c>
      <c r="F68" s="30">
        <f>IF(OR(675027.19329="",429.15921="",450.21155=""),"-",(450.21155-429.15921)/675027.19329*100)</f>
        <v>3.1187395425350917E-3</v>
      </c>
      <c r="G68" s="30">
        <f>IF(OR(684759.39703="",755.81807="",450.21155=""),"-",(755.81807-450.21155)/684759.39703*100)</f>
        <v>4.4629766502731337E-2</v>
      </c>
    </row>
    <row r="69" spans="1:7" s="33" customFormat="1" x14ac:dyDescent="0.2">
      <c r="A69" s="28" t="s">
        <v>305</v>
      </c>
      <c r="B69" s="29">
        <v>728.56021999999996</v>
      </c>
      <c r="C69" s="30">
        <f>IF(OR(546.33928="",728.56022=""),"-",728.56022/546.33928*100)</f>
        <v>133.35307320388895</v>
      </c>
      <c r="D69" s="30">
        <f>IF(546.33928="","-",546.33928/684759.39703*100)</f>
        <v>7.9785583428227766E-2</v>
      </c>
      <c r="E69" s="30">
        <f>IF(728.56022="","-",728.56022/1062764.76132*100)</f>
        <v>6.8553291049573042E-2</v>
      </c>
      <c r="F69" s="30">
        <f>IF(OR(675027.19329="",559.55631="",546.33928=""),"-",(546.33928-559.55631)/675027.19329*100)</f>
        <v>-1.957999637848934E-3</v>
      </c>
      <c r="G69" s="30">
        <f>IF(OR(684759.39703="",728.56022="",546.33928=""),"-",(728.56022-546.33928)/684759.39703*100)</f>
        <v>2.6610944046966709E-2</v>
      </c>
    </row>
    <row r="70" spans="1:7" s="33" customFormat="1" x14ac:dyDescent="0.2">
      <c r="A70" s="35" t="s">
        <v>76</v>
      </c>
      <c r="B70" s="36">
        <v>688.61198999999999</v>
      </c>
      <c r="C70" s="30" t="s">
        <v>346</v>
      </c>
      <c r="D70" s="30">
        <f>IF(20.33382="","-",20.33382/684759.39703*100)</f>
        <v>2.9694838929109511E-3</v>
      </c>
      <c r="E70" s="30">
        <f>IF(688.61199="","-",688.61199/1062764.76132*100)</f>
        <v>6.4794394306479819E-2</v>
      </c>
      <c r="F70" s="30">
        <f>IF(OR(675027.19329="",54.71266="",20.33382=""),"-",(20.33382-54.71266)/675027.19329*100)</f>
        <v>-5.0929563048329558E-3</v>
      </c>
      <c r="G70" s="30">
        <f>IF(OR(684759.39703="",688.61199="",20.33382=""),"-",(688.61199-20.33382)/684759.39703*100)</f>
        <v>9.7593136056038976E-2</v>
      </c>
    </row>
    <row r="71" spans="1:7" s="33" customFormat="1" x14ac:dyDescent="0.2">
      <c r="A71" s="28" t="s">
        <v>66</v>
      </c>
      <c r="B71" s="29">
        <v>578.83950000000004</v>
      </c>
      <c r="C71" s="30" t="s">
        <v>313</v>
      </c>
      <c r="D71" s="30">
        <f>IF(86.15138="","-",86.15138/684759.39703*100)</f>
        <v>1.2581262903972332E-2</v>
      </c>
      <c r="E71" s="30">
        <f>IF(578.8395="","-",578.8395/1062764.76132*100)</f>
        <v>5.4465439678396579E-2</v>
      </c>
      <c r="F71" s="30">
        <f>IF(OR(675027.19329="",741.44258="",86.15138=""),"-",(86.15138-741.44258)/675027.19329*100)</f>
        <v>-9.7076266928772276E-2</v>
      </c>
      <c r="G71" s="30">
        <f>IF(OR(684759.39703="",578.8395="",86.15138=""),"-",(578.8395-86.15138)/684759.39703*100)</f>
        <v>7.195054527720704E-2</v>
      </c>
    </row>
    <row r="72" spans="1:7" s="33" customFormat="1" x14ac:dyDescent="0.2">
      <c r="A72" s="35" t="s">
        <v>93</v>
      </c>
      <c r="B72" s="36">
        <v>542.79813000000001</v>
      </c>
      <c r="C72" s="30" t="s">
        <v>347</v>
      </c>
      <c r="D72" s="30">
        <f>IF(119.72808="","-",119.72808/684759.39703*100)</f>
        <v>1.7484693239595599E-2</v>
      </c>
      <c r="E72" s="30">
        <f>IF(542.79813="","-",542.79813/1062764.76132*100)</f>
        <v>5.1074155801498461E-2</v>
      </c>
      <c r="F72" s="30">
        <f>IF(OR(675027.19329="",144.76891="",119.72808=""),"-",(119.72808-144.76891)/675027.19329*100)</f>
        <v>-3.7096031462012747E-3</v>
      </c>
      <c r="G72" s="30">
        <f>IF(OR(684759.39703="",542.79813="",119.72808=""),"-",(542.79813-119.72808)/684759.39703*100)</f>
        <v>6.1783752342060218E-2</v>
      </c>
    </row>
    <row r="73" spans="1:7" s="33" customFormat="1" x14ac:dyDescent="0.2">
      <c r="A73" s="35" t="s">
        <v>75</v>
      </c>
      <c r="B73" s="36">
        <v>347.45384000000001</v>
      </c>
      <c r="C73" s="30">
        <f>IF(OR(561.86896="",347.45384=""),"-",347.45384/561.86896*100)</f>
        <v>61.83894550786362</v>
      </c>
      <c r="D73" s="30">
        <f>IF(561.86896="","-",561.86896/684759.39703*100)</f>
        <v>8.2053486587696137E-2</v>
      </c>
      <c r="E73" s="30">
        <f>IF(347.45384="","-",347.45384/1062764.76132*100)</f>
        <v>3.2693391110225303E-2</v>
      </c>
      <c r="F73" s="30">
        <f>IF(OR(675027.19329="",402.9711="",561.86896=""),"-",(561.86896-402.9711)/675027.19329*100)</f>
        <v>2.3539475384028799E-2</v>
      </c>
      <c r="G73" s="30">
        <f>IF(OR(684759.39703="",347.45384="",561.86896=""),"-",(347.45384-561.86896)/684759.39703*100)</f>
        <v>-3.1312475729428545E-2</v>
      </c>
    </row>
    <row r="74" spans="1:7" s="33" customFormat="1" x14ac:dyDescent="0.2">
      <c r="A74" s="35" t="s">
        <v>70</v>
      </c>
      <c r="B74" s="36">
        <v>332.20800000000003</v>
      </c>
      <c r="C74" s="30" t="s">
        <v>306</v>
      </c>
      <c r="D74" s="30">
        <f>IF(104.40701="","-",104.40701/684759.39703*100)</f>
        <v>1.5247254795311093E-2</v>
      </c>
      <c r="E74" s="30">
        <f>IF(332.208="","-",332.208/1062764.76132*100)</f>
        <v>3.1258845992163241E-2</v>
      </c>
      <c r="F74" s="30">
        <f>IF(OR(675027.19329="",279.50742="",104.40701=""),"-",(104.40701-279.50742)/675027.19329*100)</f>
        <v>-2.5939756463229581E-2</v>
      </c>
      <c r="G74" s="30">
        <f>IF(OR(684759.39703="",332.208="",104.40701=""),"-",(332.208-104.40701)/684759.39703*100)</f>
        <v>3.3267303959323369E-2</v>
      </c>
    </row>
    <row r="75" spans="1:7" x14ac:dyDescent="0.2">
      <c r="A75" s="28" t="s">
        <v>37</v>
      </c>
      <c r="B75" s="29">
        <v>300.07605000000001</v>
      </c>
      <c r="C75" s="30" t="s">
        <v>101</v>
      </c>
      <c r="D75" s="30">
        <f>IF(184.96721="","-",184.96721/684759.39703*100)</f>
        <v>2.7012000244502871E-2</v>
      </c>
      <c r="E75" s="30">
        <f>IF(300.07605="","-",300.07605/1062764.76132*100)</f>
        <v>2.82354158626122E-2</v>
      </c>
      <c r="F75" s="30">
        <f>IF(OR(675027.19329="",188.48417="",184.96721=""),"-",(184.96721-188.48417)/675027.19329*100)</f>
        <v>-5.2101012151210954E-4</v>
      </c>
      <c r="G75" s="30">
        <f>IF(OR(684759.39703="",300.07605="",184.96721=""),"-",(300.07605-184.96721)/684759.39703*100)</f>
        <v>1.6810114691271184E-2</v>
      </c>
    </row>
    <row r="76" spans="1:7" x14ac:dyDescent="0.2">
      <c r="A76" s="28" t="s">
        <v>99</v>
      </c>
      <c r="B76" s="29">
        <v>264.58069999999998</v>
      </c>
      <c r="C76" s="30" t="s">
        <v>196</v>
      </c>
      <c r="D76" s="30">
        <f>IF(144.21203="","-",144.21203/684759.39703*100)</f>
        <v>2.106024840629999E-2</v>
      </c>
      <c r="E76" s="30">
        <f>IF(264.5807="","-",264.5807/1062764.76132*100)</f>
        <v>2.4895509300795718E-2</v>
      </c>
      <c r="F76" s="30">
        <f>IF(OR(675027.19329="",74.84361="",144.21203=""),"-",(144.21203-74.84361)/675027.19329*100)</f>
        <v>1.0276388964703304E-2</v>
      </c>
      <c r="G76" s="30">
        <f>IF(OR(684759.39703="",264.5807="",144.21203=""),"-",(264.5807-144.21203)/684759.39703*100)</f>
        <v>1.7578242886782395E-2</v>
      </c>
    </row>
    <row r="77" spans="1:7" x14ac:dyDescent="0.2">
      <c r="A77" s="35" t="s">
        <v>104</v>
      </c>
      <c r="B77" s="36">
        <v>261.34947</v>
      </c>
      <c r="C77" s="30" t="s">
        <v>333</v>
      </c>
      <c r="D77" s="30">
        <f>IF(37.45992="","-",37.45992/684759.39703*100)</f>
        <v>5.4705229548472831E-3</v>
      </c>
      <c r="E77" s="30">
        <f>IF(261.34947="","-",261.34947/1062764.76132*100)</f>
        <v>2.459146929894369E-2</v>
      </c>
      <c r="F77" s="30">
        <f>IF(OR(675027.19329="",73.887="",37.45992=""),"-",(37.45992-73.887)/675027.19329*100)</f>
        <v>-5.3963870436772882E-3</v>
      </c>
      <c r="G77" s="30">
        <f>IF(OR(684759.39703="",261.34947="",37.45992=""),"-",(261.34947-37.45992)/684759.39703*100)</f>
        <v>3.2696090184533996E-2</v>
      </c>
    </row>
    <row r="78" spans="1:7" x14ac:dyDescent="0.2">
      <c r="A78" s="28" t="s">
        <v>205</v>
      </c>
      <c r="B78" s="29">
        <v>215.70529999999999</v>
      </c>
      <c r="C78" s="30" t="s">
        <v>348</v>
      </c>
      <c r="D78" s="30">
        <f>IF(16.90411="","-",16.90411/684759.39703*100)</f>
        <v>2.4686203757579702E-3</v>
      </c>
      <c r="E78" s="30">
        <f>IF(215.7053="","-",215.7053/1062764.76132*100)</f>
        <v>2.0296617638327095E-2</v>
      </c>
      <c r="F78" s="30">
        <f>IF(OR(675027.19329="",67.63267="",16.90411=""),"-",(16.90411-67.63267)/675027.19329*100)</f>
        <v>-7.5150394686701733E-3</v>
      </c>
      <c r="G78" s="30">
        <f>IF(OR(684759.39703="",215.7053="",16.90411=""),"-",(215.7053-16.90411)/684759.39703*100)</f>
        <v>2.903226897830952E-2</v>
      </c>
    </row>
    <row r="79" spans="1:7" x14ac:dyDescent="0.2">
      <c r="A79" s="35" t="s">
        <v>299</v>
      </c>
      <c r="B79" s="36">
        <v>176.90536</v>
      </c>
      <c r="C79" s="30">
        <f>IF(OR(182.6786="",176.90536=""),"-",176.90536/182.6786*100)</f>
        <v>96.839673612563274</v>
      </c>
      <c r="D79" s="30">
        <f>IF(182.6786="","-",182.6786/684759.39703*100)</f>
        <v>2.667777920132678E-2</v>
      </c>
      <c r="E79" s="30">
        <f>IF(176.90536="","-",176.90536/1062764.76132*100)</f>
        <v>1.6645768324146902E-2</v>
      </c>
      <c r="F79" s="30">
        <f>IF(OR(675027.19329="",50.18097="",182.6786=""),"-",(182.6786-50.18097)/675027.19329*100)</f>
        <v>1.962848775828167E-2</v>
      </c>
      <c r="G79" s="30">
        <f>IF(OR(684759.39703="",176.90536="",182.6786=""),"-",(176.90536-182.6786)/684759.39703*100)</f>
        <v>-8.4310489568163683E-4</v>
      </c>
    </row>
    <row r="80" spans="1:7" x14ac:dyDescent="0.2">
      <c r="A80" s="28" t="s">
        <v>81</v>
      </c>
      <c r="B80" s="29">
        <v>168.3329</v>
      </c>
      <c r="C80" s="30">
        <f>IF(OR(187.66983="",168.3329=""),"-",168.3329/187.66983*100)</f>
        <v>89.696303342950756</v>
      </c>
      <c r="D80" s="30">
        <f>IF(187.66983="","-",187.66983/684759.39703*100)</f>
        <v>2.7406681940252073E-2</v>
      </c>
      <c r="E80" s="30">
        <f>IF(168.3329="","-",168.3329/1062764.76132*100)</f>
        <v>1.5839149558451976E-2</v>
      </c>
      <c r="F80" s="30">
        <f>IF(OR(675027.19329="",130.39804="",187.66983=""),"-",(187.66983-130.39804)/675027.19329*100)</f>
        <v>8.4843678253707505E-3</v>
      </c>
      <c r="G80" s="30">
        <f>IF(OR(684759.39703="",168.3329="",187.66983=""),"-",(168.3329-187.66983)/684759.39703*100)</f>
        <v>-2.8239013708858712E-3</v>
      </c>
    </row>
    <row r="81" spans="1:7" x14ac:dyDescent="0.2">
      <c r="A81" s="28" t="s">
        <v>136</v>
      </c>
      <c r="B81" s="29">
        <v>154.08815000000001</v>
      </c>
      <c r="C81" s="30">
        <f>IF(OR(244.67058="",154.08815=""),"-",154.08815/244.67058*100)</f>
        <v>62.977800600301023</v>
      </c>
      <c r="D81" s="30">
        <f>IF(244.67058="","-",244.67058/684759.39703*100)</f>
        <v>3.5730883148330235E-2</v>
      </c>
      <c r="E81" s="30">
        <f>IF(154.08815="","-",154.08815/1062764.76132*100)</f>
        <v>1.4498801203063585E-2</v>
      </c>
      <c r="F81" s="30" t="str">
        <f>IF(OR(675027.19329="",""="",244.67058=""),"-",(244.67058-"")/675027.19329*100)</f>
        <v>-</v>
      </c>
      <c r="G81" s="30">
        <f>IF(OR(684759.39703="",154.08815="",244.67058=""),"-",(154.08815-244.67058)/684759.39703*100)</f>
        <v>-1.3228358806448258E-2</v>
      </c>
    </row>
    <row r="82" spans="1:7" x14ac:dyDescent="0.2">
      <c r="A82" s="28" t="s">
        <v>64</v>
      </c>
      <c r="B82" s="29">
        <v>140.98428999999999</v>
      </c>
      <c r="C82" s="30" t="s">
        <v>285</v>
      </c>
      <c r="D82" s="30">
        <f>IF(51.506="","-",51.506/684759.39703*100)</f>
        <v>7.5217660719073673E-3</v>
      </c>
      <c r="E82" s="30">
        <f>IF(140.98429="","-",140.98429/1062764.76132*100)</f>
        <v>1.3265803979508255E-2</v>
      </c>
      <c r="F82" s="30">
        <f>IF(OR(675027.19329="",4396.02129="",51.506=""),"-",(51.506-4396.02129)/675027.19329*100)</f>
        <v>-0.64360596627601963</v>
      </c>
      <c r="G82" s="30">
        <f>IF(OR(684759.39703="",140.98429="",51.506=""),"-",(140.98429-51.506)/684759.39703*100)</f>
        <v>1.3067113848761079E-2</v>
      </c>
    </row>
    <row r="83" spans="1:7" x14ac:dyDescent="0.2">
      <c r="A83" s="35" t="s">
        <v>134</v>
      </c>
      <c r="B83" s="36">
        <v>126.4494</v>
      </c>
      <c r="C83" s="30">
        <f>IF(OR(269.148="",126.4494=""),"-",126.4494/269.148*100)</f>
        <v>46.981363413437954</v>
      </c>
      <c r="D83" s="30">
        <f>IF(269.148="","-",269.148/684759.39703*100)</f>
        <v>3.9305484695408767E-2</v>
      </c>
      <c r="E83" s="30">
        <f>IF(126.4494="","-",126.4494/1062764.76132*100)</f>
        <v>1.189815513293312E-2</v>
      </c>
      <c r="F83" s="30">
        <f>IF(OR(675027.19329="",35.0448="",269.148=""),"-",(269.148-35.0448)/675027.19329*100)</f>
        <v>3.4680558402248901E-2</v>
      </c>
      <c r="G83" s="30">
        <f>IF(OR(684759.39703="",126.4494="",269.148=""),"-",(126.4494-269.148)/684759.39703*100)</f>
        <v>-2.0839232089245541E-2</v>
      </c>
    </row>
    <row r="84" spans="1:7" x14ac:dyDescent="0.2">
      <c r="A84" s="28" t="s">
        <v>90</v>
      </c>
      <c r="B84" s="29">
        <v>110.19834</v>
      </c>
      <c r="C84" s="30">
        <f>IF(OR(112.43819="",110.19834=""),"-",110.19834/112.43819*100)</f>
        <v>98.0079277334507</v>
      </c>
      <c r="D84" s="30">
        <f>IF(112.43819="","-",112.43819/684759.39703*100)</f>
        <v>1.6420101788697902E-2</v>
      </c>
      <c r="E84" s="30">
        <f>IF(110.19834="","-",110.19834/1062764.76132*100)</f>
        <v>1.0369024643151403E-2</v>
      </c>
      <c r="F84" s="30">
        <f>IF(OR(675027.19329="",330.41507="",112.43819=""),"-",(112.43819-330.41507)/675027.19329*100)</f>
        <v>-3.2291570201432529E-2</v>
      </c>
      <c r="G84" s="30">
        <f>IF(OR(684759.39703="",110.19834="",112.43819=""),"-",(110.19834-112.43819)/684759.39703*100)</f>
        <v>-3.2710029387181581E-4</v>
      </c>
    </row>
    <row r="85" spans="1:7" x14ac:dyDescent="0.2">
      <c r="A85" s="35" t="s">
        <v>319</v>
      </c>
      <c r="B85" s="36">
        <v>104.93431</v>
      </c>
      <c r="C85" s="30" t="s">
        <v>349</v>
      </c>
      <c r="D85" s="30">
        <f>IF(24.63456="","-",24.63456/684759.39703*100)</f>
        <v>3.5975497535115585E-3</v>
      </c>
      <c r="E85" s="30">
        <f>IF(104.93431="","-",104.93431/1062764.76132*100)</f>
        <v>9.8737099515481697E-3</v>
      </c>
      <c r="F85" s="30" t="str">
        <f>IF(OR(675027.19329="",""="",24.63456=""),"-",(24.63456-"")/675027.19329*100)</f>
        <v>-</v>
      </c>
      <c r="G85" s="30">
        <f>IF(OR(684759.39703="",104.93431="",24.63456=""),"-",(104.93431-24.63456)/684759.39703*100)</f>
        <v>1.1726710191679484E-2</v>
      </c>
    </row>
    <row r="86" spans="1:7" x14ac:dyDescent="0.2">
      <c r="A86" s="28" t="s">
        <v>120</v>
      </c>
      <c r="B86" s="29">
        <v>97.544439999999994</v>
      </c>
      <c r="C86" s="30">
        <f>IF(OR(140.52191="",97.54444=""),"-",97.54444/140.52191*100)</f>
        <v>69.415822770982828</v>
      </c>
      <c r="D86" s="30">
        <f>IF(140.52191="","-",140.52191/684759.39703*100)</f>
        <v>2.0521355473102559E-2</v>
      </c>
      <c r="E86" s="30">
        <f>IF(97.54444="","-",97.54444/1062764.76132*100)</f>
        <v>9.1783660458261297E-3</v>
      </c>
      <c r="F86" s="30">
        <f>IF(OR(675027.19329="",185.52352="",140.52191=""),"-",(140.52191-185.52352)/675027.19329*100)</f>
        <v>-6.6666366106923275E-3</v>
      </c>
      <c r="G86" s="30">
        <f>IF(OR(684759.39703="",97.54444="",140.52191=""),"-",(97.54444-140.52191)/684759.39703*100)</f>
        <v>-6.2762877276903014E-3</v>
      </c>
    </row>
    <row r="87" spans="1:7" x14ac:dyDescent="0.2">
      <c r="A87" s="28" t="s">
        <v>124</v>
      </c>
      <c r="B87" s="29">
        <v>91.793400000000005</v>
      </c>
      <c r="C87" s="30">
        <f>IF(OR(290.49284="",91.7934=""),"-",91.7934/290.49284*100)</f>
        <v>31.599195353661731</v>
      </c>
      <c r="D87" s="30">
        <f>IF(290.49284="","-",290.49284/684759.39703*100)</f>
        <v>4.2422614608861396E-2</v>
      </c>
      <c r="E87" s="30">
        <f>IF(91.7934="","-",91.7934/1062764.76132*100)</f>
        <v>8.6372265378830033E-3</v>
      </c>
      <c r="F87" s="30">
        <f>IF(OR(675027.19329="",25.28671="",290.49284=""),"-",(290.49284-25.28671)/675027.19329*100)</f>
        <v>3.9288214258068298E-2</v>
      </c>
      <c r="G87" s="30">
        <f>IF(OR(684759.39703="",91.7934="",290.49284=""),"-",(91.7934-290.49284)/684759.39703*100)</f>
        <v>-2.9017409744476242E-2</v>
      </c>
    </row>
    <row r="88" spans="1:7" x14ac:dyDescent="0.2">
      <c r="A88" s="35" t="s">
        <v>336</v>
      </c>
      <c r="B88" s="36">
        <v>83.947640000000007</v>
      </c>
      <c r="C88" s="30" t="str">
        <f>IF(OR(""="",83.94764=""),"-",83.94764/""*100)</f>
        <v>-</v>
      </c>
      <c r="D88" s="30" t="str">
        <f>IF(""="","-",""/684759.39703*100)</f>
        <v>-</v>
      </c>
      <c r="E88" s="30">
        <f>IF(83.94764="","-",83.94764/1062764.76132*100)</f>
        <v>7.8989860273249342E-3</v>
      </c>
      <c r="F88" s="30" t="str">
        <f>IF(OR(675027.19329="",28.8301="",""=""),"-",(""-28.8301)/675027.19329*100)</f>
        <v>-</v>
      </c>
      <c r="G88" s="30" t="str">
        <f>IF(OR(684759.39703="",83.94764="",""=""),"-",(83.94764-"")/684759.39703*100)</f>
        <v>-</v>
      </c>
    </row>
    <row r="89" spans="1:7" x14ac:dyDescent="0.2">
      <c r="A89" s="35" t="s">
        <v>337</v>
      </c>
      <c r="B89" s="36">
        <v>82.903480000000002</v>
      </c>
      <c r="C89" s="30" t="s">
        <v>350</v>
      </c>
      <c r="D89" s="30">
        <f>IF(2.79808="","-",2.79808/684759.39703*100)</f>
        <v>4.0862235876368898E-4</v>
      </c>
      <c r="E89" s="30">
        <f>IF(82.90348="","-",82.90348/1062764.76132*100)</f>
        <v>7.8007366274574514E-3</v>
      </c>
      <c r="F89" s="30">
        <f>IF(OR(675027.19329="",0.73745="",2.79808=""),"-",(2.79808-0.73745)/675027.19329*100)</f>
        <v>3.0526622045502224E-4</v>
      </c>
      <c r="G89" s="30">
        <f>IF(OR(684759.39703="",82.90348="",2.79808=""),"-",(82.90348-2.79808)/684759.39703*100)</f>
        <v>1.1698327959782713E-2</v>
      </c>
    </row>
    <row r="90" spans="1:7" x14ac:dyDescent="0.2">
      <c r="A90" s="28" t="s">
        <v>85</v>
      </c>
      <c r="B90" s="29">
        <v>74.658709999999999</v>
      </c>
      <c r="C90" s="30" t="s">
        <v>324</v>
      </c>
      <c r="D90" s="30">
        <f>IF(25.80287="","-",25.80287/684759.39703*100)</f>
        <v>3.7681658859906888E-3</v>
      </c>
      <c r="E90" s="30">
        <f>IF(74.65871="","-",74.65871/1062764.76132*100)</f>
        <v>7.0249515901591088E-3</v>
      </c>
      <c r="F90" s="30">
        <f>IF(OR(675027.19329="",683.87201="",25.80287=""),"-",(25.80287-683.87201)/675027.19329*100)</f>
        <v>-9.7487797016391528E-2</v>
      </c>
      <c r="G90" s="30">
        <f>IF(OR(684759.39703="",74.65871="",25.80287=""),"-",(74.65871-25.80287)/684759.39703*100)</f>
        <v>7.1347454612382018E-3</v>
      </c>
    </row>
    <row r="91" spans="1:7" x14ac:dyDescent="0.2">
      <c r="A91" s="28" t="s">
        <v>86</v>
      </c>
      <c r="B91" s="29">
        <v>70.255309999999994</v>
      </c>
      <c r="C91" s="30">
        <f>IF(OR(180.64213="",70.25531=""),"-",70.25531/180.64213*100)</f>
        <v>38.8919849428259</v>
      </c>
      <c r="D91" s="30">
        <f>IF(180.64213="","-",180.64213/684759.39703*100)</f>
        <v>2.6380379850717971E-2</v>
      </c>
      <c r="E91" s="30">
        <f>IF(70.25531="","-",70.25531/1062764.76132*100)</f>
        <v>6.6106171898981519E-3</v>
      </c>
      <c r="F91" s="30">
        <f>IF(OR(675027.19329="",10.25096="",180.64213=""),"-",(180.64213-10.25096)/675027.19329*100)</f>
        <v>2.5242119383299851E-2</v>
      </c>
      <c r="G91" s="30">
        <f>IF(OR(684759.39703="",70.25531="",180.64213=""),"-",(70.25531-180.64213)/684759.39703*100)</f>
        <v>-1.6120526491316459E-2</v>
      </c>
    </row>
    <row r="92" spans="1:7" x14ac:dyDescent="0.2">
      <c r="A92" s="35" t="s">
        <v>95</v>
      </c>
      <c r="B92" s="36">
        <v>64.986840000000001</v>
      </c>
      <c r="C92" s="30" t="s">
        <v>195</v>
      </c>
      <c r="D92" s="30">
        <f>IF(29.25017="","-",29.25017/684759.39703*100)</f>
        <v>4.2715981886289498E-3</v>
      </c>
      <c r="E92" s="30">
        <f>IF(64.98684="","-",64.98684/1062764.76132*100)</f>
        <v>6.114884720046938E-3</v>
      </c>
      <c r="F92" s="30">
        <f>IF(OR(675027.19329="",15.06203="",29.25017=""),"-",(29.25017-15.06203)/675027.19329*100)</f>
        <v>2.1018619903071965E-3</v>
      </c>
      <c r="G92" s="30">
        <f>IF(OR(684759.39703="",64.98684="",29.25017=""),"-",(64.98684-29.25017)/684759.39703*100)</f>
        <v>5.2188652182066139E-3</v>
      </c>
    </row>
    <row r="93" spans="1:7" x14ac:dyDescent="0.2">
      <c r="A93" s="28" t="s">
        <v>338</v>
      </c>
      <c r="B93" s="29">
        <v>60.410780000000003</v>
      </c>
      <c r="C93" s="30">
        <f>IF(OR(164.81958="",60.41078=""),"-",60.41078/164.81958*100)</f>
        <v>36.652671970162771</v>
      </c>
      <c r="D93" s="30">
        <f>IF(164.81958="","-",164.81958/684759.39703*100)</f>
        <v>2.4069706924048112E-2</v>
      </c>
      <c r="E93" s="30">
        <f>IF(60.41078="","-",60.41078/1062764.76132*100)</f>
        <v>5.6843040152147299E-3</v>
      </c>
      <c r="F93" s="30">
        <f>IF(OR(675027.19329="",224.1376="",164.81958=""),"-",(164.81958-224.1376)/675027.19329*100)</f>
        <v>-8.7875007984332034E-3</v>
      </c>
      <c r="G93" s="30">
        <f>IF(OR(684759.39703="",60.41078="",164.81958=""),"-",(60.41078-164.81958)/684759.39703*100)</f>
        <v>-1.5247516200997201E-2</v>
      </c>
    </row>
    <row r="94" spans="1:7" x14ac:dyDescent="0.2">
      <c r="A94" s="35" t="s">
        <v>84</v>
      </c>
      <c r="B94" s="36">
        <v>56.856729999999999</v>
      </c>
      <c r="C94" s="30" t="s">
        <v>324</v>
      </c>
      <c r="D94" s="30">
        <f>IF(19.7259="","-",19.7259/684759.39703*100)</f>
        <v>2.8807052645873784E-3</v>
      </c>
      <c r="E94" s="30">
        <f>IF(56.85673="","-",56.85673/1062764.76132*100)</f>
        <v>5.3498885237201E-3</v>
      </c>
      <c r="F94" s="30">
        <f>IF(OR(675027.19329="",201.66525="",19.7259=""),"-",(19.7259-201.66525)/675027.19329*100)</f>
        <v>-2.6952891943989671E-2</v>
      </c>
      <c r="G94" s="30">
        <f>IF(OR(684759.39703="",56.85673="",19.7259=""),"-",(56.85673-19.7259)/684759.39703*100)</f>
        <v>5.4224637385112458E-3</v>
      </c>
    </row>
    <row r="95" spans="1:7" x14ac:dyDescent="0.2">
      <c r="A95" s="35" t="s">
        <v>72</v>
      </c>
      <c r="B95" s="36">
        <v>55.929729999999999</v>
      </c>
      <c r="C95" s="30">
        <f>IF(OR(45.75="",55.92973=""),"-",55.92973/45.75*100)</f>
        <v>122.25077595628416</v>
      </c>
      <c r="D95" s="30">
        <f>IF(45.75="","-",45.75/684759.39703*100)</f>
        <v>6.681178848867356E-3</v>
      </c>
      <c r="E95" s="30">
        <f>IF(55.92973="","-",55.92973/1062764.76132*100)</f>
        <v>5.2626632003241096E-3</v>
      </c>
      <c r="F95" s="30">
        <f>IF(OR(675027.19329="",42.02936="",45.75=""),"-",(45.75-42.02936)/675027.19329*100)</f>
        <v>5.5118372074257609E-4</v>
      </c>
      <c r="G95" s="30">
        <f>IF(OR(684759.39703="",55.92973="",45.75=""),"-",(55.92973-45.75)/684759.39703*100)</f>
        <v>1.4866141369001197E-3</v>
      </c>
    </row>
    <row r="96" spans="1:7" x14ac:dyDescent="0.2">
      <c r="A96" s="35" t="s">
        <v>129</v>
      </c>
      <c r="B96" s="36">
        <v>51.91357</v>
      </c>
      <c r="C96" s="30">
        <f>IF(OR(168.98978="",51.91357=""),"-",51.91357/168.98978*100)</f>
        <v>30.719946496172728</v>
      </c>
      <c r="D96" s="30">
        <f>IF(168.98978="","-",168.98978/684759.39703*100)</f>
        <v>2.4678709154333279E-2</v>
      </c>
      <c r="E96" s="30">
        <f>IF(51.91357="","-",51.91357/1062764.76132*100)</f>
        <v>4.8847658380694794E-3</v>
      </c>
      <c r="F96" s="30">
        <f>IF(OR(675027.19329="",45.00481="",168.98978=""),"-",(168.98978-45.00481)/675027.19329*100)</f>
        <v>1.8367403747945685E-2</v>
      </c>
      <c r="G96" s="30">
        <f>IF(OR(684759.39703="",51.91357="",168.98978=""),"-",(51.91357-168.98978)/684759.39703*100)</f>
        <v>-1.7097422906176017E-2</v>
      </c>
    </row>
    <row r="97" spans="1:7" x14ac:dyDescent="0.2">
      <c r="A97" s="35" t="s">
        <v>320</v>
      </c>
      <c r="B97" s="36">
        <v>51.543030000000002</v>
      </c>
      <c r="C97" s="30">
        <f>IF(OR(38.2974="",51.54303=""),"-",51.54303/38.2974*100)</f>
        <v>134.5862382302715</v>
      </c>
      <c r="D97" s="30">
        <f>IF(38.2974="","-",38.2974/684759.39703*100)</f>
        <v>5.5928257671390754E-3</v>
      </c>
      <c r="E97" s="30">
        <f>IF(51.54303="","-",51.54303/1062764.76132*100)</f>
        <v>4.849900173203082E-3</v>
      </c>
      <c r="F97" s="30">
        <f>IF(OR(675027.19329="",612.19363="",38.2974=""),"-",(38.2974-612.19363)/675027.19329*100)</f>
        <v>-8.5018238628713591E-2</v>
      </c>
      <c r="G97" s="30">
        <f>IF(OR(684759.39703="",51.54303="",38.2974=""),"-",(51.54303-38.2974)/684759.39703*100)</f>
        <v>1.9343480436267301E-3</v>
      </c>
    </row>
    <row r="98" spans="1:7" x14ac:dyDescent="0.2">
      <c r="A98" s="37" t="s">
        <v>127</v>
      </c>
      <c r="B98" s="34">
        <v>50.419359999999998</v>
      </c>
      <c r="C98" s="38">
        <f>IF(OR(35.30102="",50.41936=""),"-",50.41936/35.30102*100)</f>
        <v>142.82692114845406</v>
      </c>
      <c r="D98" s="38">
        <f>IF(35.30102="","-",35.30102/684759.39703*100)</f>
        <v>5.1552443315288198E-3</v>
      </c>
      <c r="E98" s="38">
        <f>IF(50.41936="","-",50.41936/1062764.76132*100)</f>
        <v>4.7441693434939411E-3</v>
      </c>
      <c r="F98" s="38">
        <f>IF(OR(675027.19329="",0.39509="",35.30102=""),"-",(35.30102-0.39509)/675027.19329*100)</f>
        <v>5.1710405665100342E-3</v>
      </c>
      <c r="G98" s="38">
        <f>IF(OR(684759.39703="",50.41936="",35.30102=""),"-",(50.41936-35.30102)/684759.39703*100)</f>
        <v>2.2078324248739952E-3</v>
      </c>
    </row>
    <row r="99" spans="1:7" x14ac:dyDescent="0.2">
      <c r="A99" s="39" t="s">
        <v>203</v>
      </c>
      <c r="B99" s="40">
        <v>48.742350000000002</v>
      </c>
      <c r="C99" s="41">
        <f>IF(OR(2085.50385="",48.74235=""),"-",48.74235/2085.50385*100)</f>
        <v>2.3371977951515173</v>
      </c>
      <c r="D99" s="41">
        <f>IF(2085.50385="","-",2085.50385/684759.39703*100)</f>
        <v>0.30456009206232654</v>
      </c>
      <c r="E99" s="41">
        <f>IF(48.74235="","-",48.74235/1062764.76132*100)</f>
        <v>4.5863724291591943E-3</v>
      </c>
      <c r="F99" s="41" t="str">
        <f>IF(OR(675027.19329="",""="",2085.50385=""),"-",(2085.50385-"")/675027.19329*100)</f>
        <v>-</v>
      </c>
      <c r="G99" s="41">
        <f>IF(OR(684759.39703="",48.74235="",2085.50385=""),"-",(48.74235-2085.50385)/684759.39703*100)</f>
        <v>-0.29744192030573441</v>
      </c>
    </row>
    <row r="100" spans="1:7" x14ac:dyDescent="0.2">
      <c r="A100" s="42" t="s">
        <v>283</v>
      </c>
      <c r="B100" s="43"/>
      <c r="C100" s="43"/>
      <c r="D100" s="43"/>
      <c r="E100" s="43"/>
    </row>
    <row r="101" spans="1:7" ht="13.5" x14ac:dyDescent="0.2">
      <c r="A101" s="44" t="s">
        <v>386</v>
      </c>
      <c r="B101" s="44"/>
      <c r="C101" s="44"/>
      <c r="D101" s="44"/>
      <c r="E101" s="44"/>
    </row>
  </sheetData>
  <mergeCells count="10">
    <mergeCell ref="A101:E10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G112"/>
  <sheetViews>
    <sheetView zoomScaleNormal="100" workbookViewId="0">
      <selection activeCell="A2" sqref="A2:G2"/>
    </sheetView>
  </sheetViews>
  <sheetFormatPr defaultRowHeight="12" x14ac:dyDescent="0.2"/>
  <cols>
    <col min="1" max="1" width="29.625" style="3" customWidth="1"/>
    <col min="2" max="2" width="12.625" style="3" customWidth="1"/>
    <col min="3" max="3" width="10.25" style="3" customWidth="1"/>
    <col min="4" max="5" width="8.875" style="3" customWidth="1"/>
    <col min="6" max="6" width="9.625" style="3" customWidth="1"/>
    <col min="7" max="7" width="10.125" style="3" customWidth="1"/>
    <col min="8" max="16384" width="9" style="3"/>
  </cols>
  <sheetData>
    <row r="2" spans="1:7" x14ac:dyDescent="0.2">
      <c r="A2" s="45" t="s">
        <v>395</v>
      </c>
      <c r="B2" s="45"/>
      <c r="C2" s="45"/>
      <c r="D2" s="45"/>
      <c r="E2" s="45"/>
      <c r="F2" s="45"/>
      <c r="G2" s="45"/>
    </row>
    <row r="3" spans="1:7" x14ac:dyDescent="0.2">
      <c r="A3" s="112"/>
    </row>
    <row r="4" spans="1:7" ht="55.5" customHeight="1" x14ac:dyDescent="0.2">
      <c r="A4" s="4"/>
      <c r="B4" s="5" t="s">
        <v>339</v>
      </c>
      <c r="C4" s="6"/>
      <c r="D4" s="5" t="s">
        <v>105</v>
      </c>
      <c r="E4" s="6"/>
      <c r="F4" s="7" t="s">
        <v>115</v>
      </c>
      <c r="G4" s="8"/>
    </row>
    <row r="5" spans="1:7" ht="21" customHeight="1" x14ac:dyDescent="0.2">
      <c r="A5" s="9"/>
      <c r="B5" s="10" t="s">
        <v>96</v>
      </c>
      <c r="C5" s="11" t="s">
        <v>340</v>
      </c>
      <c r="D5" s="12" t="s">
        <v>341</v>
      </c>
      <c r="E5" s="12"/>
      <c r="F5" s="12" t="s">
        <v>385</v>
      </c>
      <c r="G5" s="5"/>
    </row>
    <row r="6" spans="1:7" ht="30" customHeight="1" x14ac:dyDescent="0.2">
      <c r="A6" s="13"/>
      <c r="B6" s="14"/>
      <c r="C6" s="15"/>
      <c r="D6" s="16" t="s">
        <v>315</v>
      </c>
      <c r="E6" s="16" t="s">
        <v>316</v>
      </c>
      <c r="F6" s="16" t="s">
        <v>315</v>
      </c>
      <c r="G6" s="17" t="s">
        <v>316</v>
      </c>
    </row>
    <row r="7" spans="1:7" x14ac:dyDescent="0.2">
      <c r="A7" s="113" t="s">
        <v>118</v>
      </c>
      <c r="B7" s="20">
        <v>2037614.1912100001</v>
      </c>
      <c r="C7" s="21">
        <f>IF(1550863.02837="","-",2037614.19121/1550863.02837*100)</f>
        <v>131.38582543627913</v>
      </c>
      <c r="D7" s="21">
        <v>100</v>
      </c>
      <c r="E7" s="21">
        <v>100</v>
      </c>
      <c r="F7" s="21">
        <f>IF(1365113.41163="","-",(1550863.02837-1365113.41163)/1365113.41163*100)</f>
        <v>13.606899995085939</v>
      </c>
      <c r="G7" s="21">
        <f>IF(1550863.02837="","-",(2037614.19121-1550863.02837)/1550863.02837*100)</f>
        <v>31.38582543627912</v>
      </c>
    </row>
    <row r="8" spans="1:7" x14ac:dyDescent="0.2">
      <c r="A8" s="108" t="s">
        <v>121</v>
      </c>
      <c r="B8" s="23"/>
      <c r="C8" s="23"/>
      <c r="D8" s="23"/>
      <c r="E8" s="23"/>
      <c r="F8" s="23"/>
      <c r="G8" s="23"/>
    </row>
    <row r="9" spans="1:7" ht="16.5" customHeight="1" x14ac:dyDescent="0.2">
      <c r="A9" s="25" t="s">
        <v>130</v>
      </c>
      <c r="B9" s="26">
        <v>898307.05730999995</v>
      </c>
      <c r="C9" s="27">
        <f>IF(731326.8886="","-",898307.05731/731326.8886*100)</f>
        <v>122.83249410255583</v>
      </c>
      <c r="D9" s="27">
        <f>IF(731326.8886="","-",731326.8886/1550863.02837*100)</f>
        <v>47.15612373380548</v>
      </c>
      <c r="E9" s="27">
        <f>IF(898307.05731="","-",898307.05731/2037614.19121*100)</f>
        <v>44.086219127506013</v>
      </c>
      <c r="F9" s="27">
        <f>IF(1365113.41163="","-",(731326.8886-647347.57919)/1365113.41163*100)</f>
        <v>6.1518192330793484</v>
      </c>
      <c r="G9" s="27">
        <f>IF(1550863.02837="","-",(898307.05731-731326.8886)/1550863.02837*100)</f>
        <v>10.766919170515065</v>
      </c>
    </row>
    <row r="10" spans="1:7" x14ac:dyDescent="0.2">
      <c r="A10" s="28" t="s">
        <v>2</v>
      </c>
      <c r="B10" s="29">
        <v>274218.16203000001</v>
      </c>
      <c r="C10" s="30">
        <f>IF(OR(189376.74013="",274218.16203=""),"-",274218.16203/189376.74013*100)</f>
        <v>144.80033917669064</v>
      </c>
      <c r="D10" s="30">
        <f>IF(189376.74013="","-",189376.74013/1550863.02837*100)</f>
        <v>12.211055178034657</v>
      </c>
      <c r="E10" s="30">
        <f>IF(274218.16203="","-",274218.16203/2037614.19121*100)</f>
        <v>13.457805860056391</v>
      </c>
      <c r="F10" s="30">
        <f>IF(OR(1365113.41163="",177324.17055="",189376.74013=""),"-",(189376.74013-177324.17055)/1365113.41163*100)</f>
        <v>0.88289877436693931</v>
      </c>
      <c r="G10" s="30">
        <f>IF(OR(1550863.02837="",274218.16203="",189376.74013=""),"-",(274218.16203-189376.74013)/1550863.02837*100)</f>
        <v>5.4705941368123723</v>
      </c>
    </row>
    <row r="11" spans="1:7" s="33" customFormat="1" x14ac:dyDescent="0.2">
      <c r="A11" s="28" t="s">
        <v>4</v>
      </c>
      <c r="B11" s="36">
        <v>140089.00151</v>
      </c>
      <c r="C11" s="30">
        <f>IF(OR(131228.44406="",140089.00151=""),"-",140089.00151/131228.44406*100)</f>
        <v>106.75200983557254</v>
      </c>
      <c r="D11" s="30">
        <f>IF(131228.44406="","-",131228.44406/1550863.02837*100)</f>
        <v>8.4616398520973668</v>
      </c>
      <c r="E11" s="30">
        <f>IF(140089.00151="","-",140089.00151/2037614.19121*100)</f>
        <v>6.8751485003552464</v>
      </c>
      <c r="F11" s="30">
        <f>IF(OR(1365113.41163="",114214.09895="",131228.44406=""),"-",(131228.44406-114214.09895)/1365113.41163*100)</f>
        <v>1.246368614142044</v>
      </c>
      <c r="G11" s="30">
        <f>IF(OR(1550863.02837="",140089.00151="",131228.44406=""),"-",(140089.00151-131228.44406)/1550863.02837*100)</f>
        <v>0.57133075506433884</v>
      </c>
    </row>
    <row r="12" spans="1:7" s="33" customFormat="1" x14ac:dyDescent="0.2">
      <c r="A12" s="28" t="s">
        <v>3</v>
      </c>
      <c r="B12" s="29">
        <v>110556.35745</v>
      </c>
      <c r="C12" s="30">
        <f>IF(OR(101855.36909="",110556.35745=""),"-",110556.35745/101855.36909*100)</f>
        <v>108.54249357469979</v>
      </c>
      <c r="D12" s="30">
        <f>IF(101855.36909="","-",101855.36909/1550863.02837*100)</f>
        <v>6.5676573125257116</v>
      </c>
      <c r="E12" s="30">
        <f>IF(110556.35745="","-",110556.35745/2037614.19121*100)</f>
        <v>5.4257748069740384</v>
      </c>
      <c r="F12" s="30">
        <f>IF(OR(1365113.41163="",81676.42827="",101855.36909=""),"-",(101855.36909-81676.42827)/1365113.41163*100)</f>
        <v>1.4781878668897939</v>
      </c>
      <c r="G12" s="30">
        <f>IF(OR(1550863.02837="",110556.35745="",101855.36909=""),"-",(110556.35745-101855.36909)/1550863.02837*100)</f>
        <v>0.56104170393080965</v>
      </c>
    </row>
    <row r="13" spans="1:7" s="33" customFormat="1" x14ac:dyDescent="0.2">
      <c r="A13" s="28" t="s">
        <v>5</v>
      </c>
      <c r="B13" s="29">
        <v>66257.303150000007</v>
      </c>
      <c r="C13" s="30">
        <f>IF(OR(60020.71357="",66257.30315=""),"-",66257.30315/60020.71357*100)</f>
        <v>110.39072881518894</v>
      </c>
      <c r="D13" s="30">
        <f>IF(60020.71357="","-",60020.71357/1550863.02837*100)</f>
        <v>3.8701492312369736</v>
      </c>
      <c r="E13" s="30">
        <f>IF(66257.30315="","-",66257.30315/2037614.19121*100)</f>
        <v>3.2517099378196965</v>
      </c>
      <c r="F13" s="30">
        <f>IF(OR(1365113.41163="",52685.84633="",60020.71357=""),"-",(60020.71357-52685.84633)/1365113.41163*100)</f>
        <v>0.53730826885964555</v>
      </c>
      <c r="G13" s="30">
        <f>IF(OR(1550863.02837="",66257.30315="",60020.71357=""),"-",(66257.30315-60020.71357)/1550863.02837*100)</f>
        <v>0.40213671136095336</v>
      </c>
    </row>
    <row r="14" spans="1:7" s="33" customFormat="1" x14ac:dyDescent="0.2">
      <c r="A14" s="28" t="s">
        <v>300</v>
      </c>
      <c r="B14" s="29">
        <v>58072.44038</v>
      </c>
      <c r="C14" s="30">
        <f>IF(OR(49719.63686="",58072.44038=""),"-",58072.44038/49719.63686*100)</f>
        <v>116.79980797832401</v>
      </c>
      <c r="D14" s="30">
        <f>IF(49719.63686="","-",49719.63686/1550863.02837*100)</f>
        <v>3.2059334673969699</v>
      </c>
      <c r="E14" s="30">
        <f>IF(58072.44038="","-",58072.44038/2037614.19121*100)</f>
        <v>2.8500213941636687</v>
      </c>
      <c r="F14" s="30">
        <f>IF(OR(1365113.41163="",42060.02793="",49719.63686=""),"-",(49719.63686-42060.02793)/1365113.41163*100)</f>
        <v>0.56109689237131755</v>
      </c>
      <c r="G14" s="30">
        <f>IF(OR(1550863.02837="",58072.44038="",49719.63686=""),"-",(58072.44038-49719.63686)/1550863.02837*100)</f>
        <v>0.53859066643551556</v>
      </c>
    </row>
    <row r="15" spans="1:7" s="33" customFormat="1" x14ac:dyDescent="0.2">
      <c r="A15" s="35" t="s">
        <v>41</v>
      </c>
      <c r="B15" s="36">
        <v>49952.52865</v>
      </c>
      <c r="C15" s="30">
        <f>IF(OR(33444.90246="",49952.52865=""),"-",49952.52865/33444.90246*100)</f>
        <v>149.35767478988186</v>
      </c>
      <c r="D15" s="30">
        <f>IF(33444.90246="","-",33444.90246/1550863.02837*100)</f>
        <v>2.1565349001292216</v>
      </c>
      <c r="E15" s="30">
        <f>IF(49952.52865="","-",49952.52865/2037614.19121*100)</f>
        <v>2.4515204529635026</v>
      </c>
      <c r="F15" s="30">
        <f>IF(OR(1365113.41163="",32547.7631="",33444.90246=""),"-",(33444.90246-32547.7631)/1365113.41163*100)</f>
        <v>6.5719034942948604E-2</v>
      </c>
      <c r="G15" s="30">
        <f>IF(OR(1550863.02837="",49952.52865="",33444.90246=""),"-",(49952.52865-33444.90246)/1550863.02837*100)</f>
        <v>1.0644154827360852</v>
      </c>
    </row>
    <row r="16" spans="1:7" s="33" customFormat="1" x14ac:dyDescent="0.2">
      <c r="A16" s="28" t="s">
        <v>317</v>
      </c>
      <c r="B16" s="29">
        <v>28804.869119999999</v>
      </c>
      <c r="C16" s="30">
        <f>IF(OR(26740.07078="",28804.86912=""),"-",28804.86912/26740.07078*100)</f>
        <v>107.72173849870417</v>
      </c>
      <c r="D16" s="30">
        <f>IF(26740.07078="","-",26740.07078/1550863.02837*100)</f>
        <v>1.7242058319040952</v>
      </c>
      <c r="E16" s="30">
        <f>IF(28804.86912="","-",28804.86912/2037614.19121*100)</f>
        <v>1.4136566796727477</v>
      </c>
      <c r="F16" s="30">
        <f>IF(OR(1365113.41163="",23102.37229="",26740.07078=""),"-",(26740.07078-23102.37229)/1365113.41163*100)</f>
        <v>0.26647591760573514</v>
      </c>
      <c r="G16" s="30">
        <f>IF(OR(1550863.02837="",28804.86912="",26740.07078=""),"-",(28804.86912-26740.07078)/1550863.02837*100)</f>
        <v>0.13313866551904083</v>
      </c>
    </row>
    <row r="17" spans="1:7" s="33" customFormat="1" x14ac:dyDescent="0.2">
      <c r="A17" s="28" t="s">
        <v>39</v>
      </c>
      <c r="B17" s="36">
        <v>28258.329119999999</v>
      </c>
      <c r="C17" s="30">
        <f>IF(OR(22833.31556="",28258.32912=""),"-",28258.32912/22833.31556*100)</f>
        <v>123.75920196847663</v>
      </c>
      <c r="D17" s="30">
        <f>IF(22833.31556="","-",22833.31556/1550863.02837*100)</f>
        <v>1.4722973687752712</v>
      </c>
      <c r="E17" s="30">
        <f>IF(28258.32912="","-",28258.32912/2037614.19121*100)</f>
        <v>1.3868341338562873</v>
      </c>
      <c r="F17" s="30">
        <f>IF(OR(1365113.41163="",21329.14253="",22833.31556=""),"-",(22833.31556-21329.14253)/1365113.41163*100)</f>
        <v>0.11018667146519023</v>
      </c>
      <c r="G17" s="30">
        <f>IF(OR(1550863.02837="",28258.32912="",22833.31556=""),"-",(28258.32912-22833.31556)/1550863.02837*100)</f>
        <v>0.34980610542388385</v>
      </c>
    </row>
    <row r="18" spans="1:7" s="33" customFormat="1" x14ac:dyDescent="0.2">
      <c r="A18" s="28" t="s">
        <v>6</v>
      </c>
      <c r="B18" s="29">
        <v>26299.1662</v>
      </c>
      <c r="C18" s="30" t="s">
        <v>100</v>
      </c>
      <c r="D18" s="30">
        <f>IF(15429.7581="","-",15429.7581/1550863.02837*100)</f>
        <v>0.99491430369689715</v>
      </c>
      <c r="E18" s="30">
        <f>IF(26299.1662="","-",26299.1662/2037614.19121*100)</f>
        <v>1.2906842872144857</v>
      </c>
      <c r="F18" s="30">
        <f>IF(OR(1365113.41163="",14741.23123="",15429.7581=""),"-",(15429.7581-14741.23123)/1365113.41163*100)</f>
        <v>5.0437338329118828E-2</v>
      </c>
      <c r="G18" s="30">
        <f>IF(OR(1550863.02837="",26299.1662="",15429.7581=""),"-",(26299.1662-15429.7581)/1550863.02837*100)</f>
        <v>0.70086190083621047</v>
      </c>
    </row>
    <row r="19" spans="1:7" s="33" customFormat="1" x14ac:dyDescent="0.2">
      <c r="A19" s="28" t="s">
        <v>9</v>
      </c>
      <c r="B19" s="29">
        <v>21300.57718</v>
      </c>
      <c r="C19" s="30">
        <f>IF(OR(16137.79956="",21300.57718=""),"-",21300.57718/16137.79956*100)</f>
        <v>131.99183135721137</v>
      </c>
      <c r="D19" s="30">
        <f>IF(16137.79956="","-",16137.79956/1550863.02837*100)</f>
        <v>1.0405689777105123</v>
      </c>
      <c r="E19" s="30">
        <f>IF(21300.57718="","-",21300.57718/2037614.19121*100)</f>
        <v>1.045368513425549</v>
      </c>
      <c r="F19" s="30">
        <f>IF(OR(1365113.41163="",14588.42311="",16137.79956=""),"-",(16137.79956-14588.42311)/1365113.41163*100)</f>
        <v>0.11349800220261425</v>
      </c>
      <c r="G19" s="30">
        <f>IF(OR(1550863.02837="",21300.57718="",16137.79956=""),"-",(21300.57718-16137.79956)/1550863.02837*100)</f>
        <v>0.3328970725046056</v>
      </c>
    </row>
    <row r="20" spans="1:7" s="33" customFormat="1" x14ac:dyDescent="0.2">
      <c r="A20" s="28" t="s">
        <v>7</v>
      </c>
      <c r="B20" s="36">
        <v>20429.871279999999</v>
      </c>
      <c r="C20" s="30">
        <f>IF(OR(21566.29886="",20429.87128=""),"-",20429.87128/21566.29886*100)</f>
        <v>94.730539591530089</v>
      </c>
      <c r="D20" s="30">
        <f>IF(21566.29886="","-",21566.29886/1550863.02837*100)</f>
        <v>1.3905998444406</v>
      </c>
      <c r="E20" s="30">
        <f>IF(20429.87128="","-",20429.87128/2037614.19121*100)</f>
        <v>1.0026368764082907</v>
      </c>
      <c r="F20" s="30">
        <f>IF(OR(1365113.41163="",16991.44188="",21566.29886=""),"-",(21566.29886-16991.44188)/1365113.41163*100)</f>
        <v>0.33512651337425792</v>
      </c>
      <c r="G20" s="30">
        <f>IF(OR(1550863.02837="",20429.87128="",21566.29886=""),"-",(20429.87128-21566.29886)/1550863.02837*100)</f>
        <v>-7.3277108243041705E-2</v>
      </c>
    </row>
    <row r="21" spans="1:7" s="33" customFormat="1" ht="15.75" customHeight="1" x14ac:dyDescent="0.2">
      <c r="A21" s="28" t="s">
        <v>40</v>
      </c>
      <c r="B21" s="29">
        <v>11913.45276</v>
      </c>
      <c r="C21" s="30">
        <f>IF(OR(10953.54546="",11913.45276=""),"-",11913.45276/10953.54546*100)</f>
        <v>108.76343923075298</v>
      </c>
      <c r="D21" s="30">
        <f>IF(10953.54546="","-",10953.54546/1550863.02837*100)</f>
        <v>0.70628709690194102</v>
      </c>
      <c r="E21" s="30">
        <f>IF(11913.45276="","-",11913.45276/2037614.19121*100)</f>
        <v>0.58467656985277539</v>
      </c>
      <c r="F21" s="30">
        <f>IF(OR(1365113.41163="",8848.44548="",10953.54546=""),"-",(10953.54546-8848.44548)/1365113.41163*100)</f>
        <v>0.15420696640042716</v>
      </c>
      <c r="G21" s="30">
        <f>IF(OR(1550863.02837="",11913.45276="",10953.54546=""),"-",(11913.45276-10953.54546)/1550863.02837*100)</f>
        <v>6.1895040531650944E-2</v>
      </c>
    </row>
    <row r="22" spans="1:7" s="33" customFormat="1" x14ac:dyDescent="0.2">
      <c r="A22" s="28" t="s">
        <v>43</v>
      </c>
      <c r="B22" s="29">
        <v>11052.098840000001</v>
      </c>
      <c r="C22" s="30">
        <f>IF(OR(7433.47874="",11052.09884=""),"-",11052.09884/7433.47874*100)</f>
        <v>148.6800356410248</v>
      </c>
      <c r="D22" s="30">
        <f>IF(7433.47874="","-",7433.47874/1550863.02837*100)</f>
        <v>0.47931239600268194</v>
      </c>
      <c r="E22" s="30">
        <f>IF(11052.09884="","-",11052.09884/2037614.19121*100)</f>
        <v>0.54240389999624572</v>
      </c>
      <c r="F22" s="30">
        <f>IF(OR(1365113.41163="",6414.84165="",7433.47874=""),"-",(7433.47874-6414.84165)/1365113.41163*100)</f>
        <v>7.4619228067190832E-2</v>
      </c>
      <c r="G22" s="30">
        <f>IF(OR(1550863.02837="",11052.09884="",7433.47874=""),"-",(11052.09884-7433.47874)/1550863.02837*100)</f>
        <v>0.23332944520595547</v>
      </c>
    </row>
    <row r="23" spans="1:7" s="33" customFormat="1" x14ac:dyDescent="0.2">
      <c r="A23" s="28" t="s">
        <v>8</v>
      </c>
      <c r="B23" s="36">
        <v>8113.7349700000004</v>
      </c>
      <c r="C23" s="30">
        <f>IF(OR(6120.95733="",8113.73497=""),"-",8113.73497/6120.95733*100)</f>
        <v>132.55663342453002</v>
      </c>
      <c r="D23" s="30">
        <f>IF(6120.95733="","-",6120.95733/1550863.02837*100)</f>
        <v>0.39468071764102181</v>
      </c>
      <c r="E23" s="30">
        <f>IF(8113.73497="","-",8113.73497/2037614.19121*100)</f>
        <v>0.39819780432437052</v>
      </c>
      <c r="F23" s="30">
        <f>IF(OR(1365113.41163="",6268.80369="",6120.95733=""),"-",(6120.95733-6268.80369)/1365113.41163*100)</f>
        <v>-1.0830335321624677E-2</v>
      </c>
      <c r="G23" s="30">
        <f>IF(OR(1550863.02837="",8113.73497="",6120.95733=""),"-",(8113.73497-6120.95733)/1550863.02837*100)</f>
        <v>0.12849475443969186</v>
      </c>
    </row>
    <row r="24" spans="1:7" s="33" customFormat="1" x14ac:dyDescent="0.2">
      <c r="A24" s="28" t="s">
        <v>51</v>
      </c>
      <c r="B24" s="29">
        <v>7660.0253899999998</v>
      </c>
      <c r="C24" s="30">
        <f>IF(OR(7235.50435="",7660.02539=""),"-",7660.02539/7235.50435*100)</f>
        <v>105.86719348734826</v>
      </c>
      <c r="D24" s="30">
        <f>IF(7235.50435="","-",7235.50435/1550863.02837*100)</f>
        <v>0.46654696241000182</v>
      </c>
      <c r="E24" s="30">
        <f>IF(7660.02539="","-",7660.02539/2037614.19121*100)</f>
        <v>0.37593109741011538</v>
      </c>
      <c r="F24" s="30">
        <f>IF(OR(1365113.41163="",7026.7421="",7235.50435=""),"-",(7235.50435-7026.7421)/1365113.41163*100)</f>
        <v>1.5292667130911071E-2</v>
      </c>
      <c r="G24" s="30">
        <f>IF(OR(1550863.02837="",7660.02539="",7235.50435=""),"-",(7660.02539-7235.50435)/1550863.02837*100)</f>
        <v>2.7373212993940736E-2</v>
      </c>
    </row>
    <row r="25" spans="1:7" s="33" customFormat="1" x14ac:dyDescent="0.2">
      <c r="A25" s="28" t="s">
        <v>50</v>
      </c>
      <c r="B25" s="29">
        <v>7071.3158599999997</v>
      </c>
      <c r="C25" s="30">
        <f>IF(OR(6783.422="",7071.31586=""),"-",7071.31586/6783.422*100)</f>
        <v>104.2440800528111</v>
      </c>
      <c r="D25" s="30">
        <f>IF(6783.422="","-",6783.422/1550863.02837*100)</f>
        <v>0.4373965898928911</v>
      </c>
      <c r="E25" s="30">
        <f>IF(7071.31586="","-",7071.31586/2037614.19121*100)</f>
        <v>0.34703899739728589</v>
      </c>
      <c r="F25" s="30">
        <f>IF(OR(1365113.41163="",4975.23317="",6783.422=""),"-",(6783.422-4975.23317)/1365113.41163*100)</f>
        <v>0.1324570409018947</v>
      </c>
      <c r="G25" s="30">
        <f>IF(OR(1550863.02837="",7071.31586="",6783.422=""),"-",(7071.31586-6783.422)/1550863.02837*100)</f>
        <v>1.8563461423320184E-2</v>
      </c>
    </row>
    <row r="26" spans="1:7" s="33" customFormat="1" x14ac:dyDescent="0.2">
      <c r="A26" s="28" t="s">
        <v>49</v>
      </c>
      <c r="B26" s="29">
        <v>6664.2379199999996</v>
      </c>
      <c r="C26" s="30">
        <f>IF(OR(6126.16149="",6664.23792=""),"-",6664.23792/6126.16149*100)</f>
        <v>108.78325572837615</v>
      </c>
      <c r="D26" s="30">
        <f>IF(6126.16149="","-",6126.16149/1550863.02837*100)</f>
        <v>0.39501628305877956</v>
      </c>
      <c r="E26" s="30">
        <f>IF(6664.23792="","-",6664.23792/2037614.19121*100)</f>
        <v>0.32706083167012906</v>
      </c>
      <c r="F26" s="30">
        <f>IF(OR(1365113.41163="",5190.20359="",6126.16149=""),"-",(6126.16149-5190.20359)/1365113.41163*100)</f>
        <v>6.8562647764366269E-2</v>
      </c>
      <c r="G26" s="30">
        <f>IF(OR(1550863.02837="",6664.23792="",6126.16149=""),"-",(6664.23792-6126.16149)/1550863.02837*100)</f>
        <v>3.4695290309778831E-2</v>
      </c>
    </row>
    <row r="27" spans="1:7" s="33" customFormat="1" x14ac:dyDescent="0.2">
      <c r="A27" s="28" t="s">
        <v>47</v>
      </c>
      <c r="B27" s="29">
        <v>4601.5318100000004</v>
      </c>
      <c r="C27" s="30">
        <f>IF(OR(3551.77662="",4601.53181=""),"-",4601.53181/3551.77662*100)</f>
        <v>129.55577735629106</v>
      </c>
      <c r="D27" s="30">
        <f>IF(3551.77662="","-",3551.77662/1550863.02837*100)</f>
        <v>0.2290193624470509</v>
      </c>
      <c r="E27" s="30">
        <f>IF(4601.53181="","-",4601.53181/2037614.19121*100)</f>
        <v>0.22582939546899528</v>
      </c>
      <c r="F27" s="30">
        <f>IF(OR(1365113.41163="",2955.99531="",3551.77662=""),"-",(3551.77662-2955.99531)/1365113.41163*100)</f>
        <v>4.3643356289981332E-2</v>
      </c>
      <c r="G27" s="30">
        <f>IF(OR(1550863.02837="",4601.53181="",3551.77662=""),"-",(4601.53181-3551.77662)/1550863.02837*100)</f>
        <v>6.7688452867647644E-2</v>
      </c>
    </row>
    <row r="28" spans="1:7" s="33" customFormat="1" x14ac:dyDescent="0.2">
      <c r="A28" s="28" t="s">
        <v>42</v>
      </c>
      <c r="B28" s="29">
        <v>4350.6400100000001</v>
      </c>
      <c r="C28" s="30" t="s">
        <v>102</v>
      </c>
      <c r="D28" s="30">
        <f>IF(2268.45516="","-",2268.45516/1550863.02837*100)</f>
        <v>0.14627050348761031</v>
      </c>
      <c r="E28" s="30">
        <f>IF(4350.64001="","-",4350.64001/2037614.19121*100)</f>
        <v>0.21351637757373743</v>
      </c>
      <c r="F28" s="30">
        <f>IF(OR(1365113.41163="",3652.19867="",2268.45516=""),"-",(2268.45516-3652.19867)/1365113.41163*100)</f>
        <v>-0.10136472898231622</v>
      </c>
      <c r="G28" s="30">
        <f>IF(OR(1550863.02837="",4350.64001="",2268.45516=""),"-",(4350.64001-2268.45516)/1550863.02837*100)</f>
        <v>0.13425975162928697</v>
      </c>
    </row>
    <row r="29" spans="1:7" s="33" customFormat="1" x14ac:dyDescent="0.2">
      <c r="A29" s="28" t="s">
        <v>44</v>
      </c>
      <c r="B29" s="29">
        <v>4029.70498</v>
      </c>
      <c r="C29" s="30">
        <f>IF(OR(3591.07146="",4029.70498=""),"-",4029.70498/3591.07146*100)</f>
        <v>112.21455838141409</v>
      </c>
      <c r="D29" s="30">
        <f>IF(3591.07146="","-",3591.07146/1550863.02837*100)</f>
        <v>0.23155310264726059</v>
      </c>
      <c r="E29" s="30">
        <f>IF(4029.70498="","-",4029.70498/2037614.19121*100)</f>
        <v>0.19776584779315032</v>
      </c>
      <c r="F29" s="30">
        <f>IF(OR(1365113.41163="",2971.30283="",3591.07146=""),"-",(3591.07146-2971.30283)/1365113.41163*100)</f>
        <v>4.5400523115509614E-2</v>
      </c>
      <c r="G29" s="30">
        <f>IF(OR(1550863.02837="",4029.70498="",3591.07146=""),"-",(4029.70498-3591.07146)/1550863.02837*100)</f>
        <v>2.8283188906825373E-2</v>
      </c>
    </row>
    <row r="30" spans="1:7" s="33" customFormat="1" x14ac:dyDescent="0.2">
      <c r="A30" s="28" t="s">
        <v>48</v>
      </c>
      <c r="B30" s="29">
        <v>2979.0033100000001</v>
      </c>
      <c r="C30" s="30">
        <f>IF(OR(2719.92417="",2979.00331=""),"-",2979.00331/2719.92417*100)</f>
        <v>109.52523393326807</v>
      </c>
      <c r="D30" s="30">
        <f>IF(2719.92417="","-",2719.92417/1550863.02837*100)</f>
        <v>0.17538132770233847</v>
      </c>
      <c r="E30" s="30">
        <f>IF(2979.00331="","-",2979.00331/2037614.19121*100)</f>
        <v>0.14620055763505324</v>
      </c>
      <c r="F30" s="30">
        <f>IF(OR(1365113.41163="",2760.88922="",2719.92417=""),"-",(2719.92417-2760.88922)/1365113.41163*100)</f>
        <v>-3.0008532368813474E-3</v>
      </c>
      <c r="G30" s="30">
        <f>IF(OR(1550863.02837="",2979.00331="",2719.92417=""),"-",(2979.00331-2719.92417)/1550863.02837*100)</f>
        <v>1.6705481738919243E-2</v>
      </c>
    </row>
    <row r="31" spans="1:7" s="33" customFormat="1" x14ac:dyDescent="0.2">
      <c r="A31" s="28" t="s">
        <v>52</v>
      </c>
      <c r="B31" s="29">
        <v>2241.34211</v>
      </c>
      <c r="C31" s="30">
        <f>IF(OR(1887.88902="",2241.34211=""),"-",2241.34211/1887.88902*100)</f>
        <v>118.7221328296088</v>
      </c>
      <c r="D31" s="30">
        <f>IF(1887.88902="","-",1887.88902/1550863.02837*100)</f>
        <v>0.12173151242016671</v>
      </c>
      <c r="E31" s="30">
        <f>IF(2241.34211="","-",2241.34211/2037614.19121*100)</f>
        <v>0.10999835590411844</v>
      </c>
      <c r="F31" s="30">
        <f>IF(OR(1365113.41163="",2401.31801="",1887.88902=""),"-",(1887.88902-2401.31801)/1365113.41163*100)</f>
        <v>-3.7610720517861233E-2</v>
      </c>
      <c r="G31" s="30">
        <f>IF(OR(1550863.02837="",2241.34211="",1887.88902=""),"-",(2241.34211-1887.88902)/1550863.02837*100)</f>
        <v>2.2790735450795352E-2</v>
      </c>
    </row>
    <row r="32" spans="1:7" s="33" customFormat="1" x14ac:dyDescent="0.2">
      <c r="A32" s="28" t="s">
        <v>301</v>
      </c>
      <c r="B32" s="29">
        <v>1758.3903499999999</v>
      </c>
      <c r="C32" s="30">
        <f>IF(OR(1757.48178="",1758.39035=""),"-",1758.39035/1757.48178*100)</f>
        <v>100.05169726425271</v>
      </c>
      <c r="D32" s="30">
        <f>IF(1757.48178="","-",1757.48178/1550863.02837*100)</f>
        <v>0.11332282399221046</v>
      </c>
      <c r="E32" s="30">
        <f>IF(1758.39035="","-",1758.39035/2037614.19121*100)</f>
        <v>8.6296530402343335E-2</v>
      </c>
      <c r="F32" s="30">
        <f>IF(OR(1365113.41163="",1321.32681="",1757.48178=""),"-",(1757.48178-1321.32681)/1365113.41163*100)</f>
        <v>3.1950090467517532E-2</v>
      </c>
      <c r="G32" s="30">
        <f>IF(OR(1550863.02837="",1758.39035="",1757.48178=""),"-",(1758.39035-1757.48178)/1550863.02837*100)</f>
        <v>5.8584799777886191E-5</v>
      </c>
    </row>
    <row r="33" spans="1:7" s="33" customFormat="1" x14ac:dyDescent="0.2">
      <c r="A33" s="28" t="s">
        <v>45</v>
      </c>
      <c r="B33" s="29">
        <v>869.01445999999999</v>
      </c>
      <c r="C33" s="30">
        <f>IF(OR(1384.20191="",869.01446=""),"-",869.01446/1384.20191*100)</f>
        <v>62.780903112610211</v>
      </c>
      <c r="D33" s="30">
        <f>IF(1384.20191="","-",1384.20191/1550863.02837*100)</f>
        <v>8.9253653267808875E-2</v>
      </c>
      <c r="E33" s="30">
        <f>IF(869.01446="","-",869.01446/2037614.19121*100)</f>
        <v>4.2648626209456836E-2</v>
      </c>
      <c r="F33" s="30">
        <f>IF(OR(1365113.41163="",878.69361="",1384.20191=""),"-",(1384.20191-878.69361)/1365113.41163*100)</f>
        <v>3.7030498396203058E-2</v>
      </c>
      <c r="G33" s="30">
        <f>IF(OR(1550863.02837="",869.01446="",1384.20191=""),"-",(869.01446-1384.20191)/1550863.02837*100)</f>
        <v>-3.3219403685280723E-2</v>
      </c>
    </row>
    <row r="34" spans="1:7" s="33" customFormat="1" x14ac:dyDescent="0.2">
      <c r="A34" s="28" t="s">
        <v>53</v>
      </c>
      <c r="B34" s="29">
        <v>579.00450000000001</v>
      </c>
      <c r="C34" s="30">
        <f>IF(OR(950.6016="",579.0045=""),"-",579.0045/950.6016*100)</f>
        <v>60.909270508276023</v>
      </c>
      <c r="D34" s="30">
        <f>IF(950.6016="","-",950.6016/1550863.02837*100)</f>
        <v>6.1295006883948261E-2</v>
      </c>
      <c r="E34" s="30">
        <f>IF(579.0045="","-",579.0045/2037614.19121*100)</f>
        <v>2.841580621580618E-2</v>
      </c>
      <c r="F34" s="30">
        <f>IF(OR(1365113.41163="",256.1703="",950.6016=""),"-",(950.6016-256.1703)/1365113.41163*100)</f>
        <v>5.0869861367109512E-2</v>
      </c>
      <c r="G34" s="30">
        <f>IF(OR(1550863.02837="",579.0045="",950.6016=""),"-",(579.0045-950.6016)/1550863.02837*100)</f>
        <v>-2.3960665332937805E-2</v>
      </c>
    </row>
    <row r="35" spans="1:7" s="33" customFormat="1" x14ac:dyDescent="0.2">
      <c r="A35" s="28" t="s">
        <v>46</v>
      </c>
      <c r="B35" s="29">
        <v>164.28183999999999</v>
      </c>
      <c r="C35" s="30">
        <f>IF(OR(169.11711="",164.28184=""),"-",164.28184/169.11711*100)</f>
        <v>97.140874746499634</v>
      </c>
      <c r="D35" s="30">
        <f>IF(169.11711="","-",169.11711/1550863.02837*100)</f>
        <v>1.0904709629821194E-2</v>
      </c>
      <c r="E35" s="30">
        <f>IF(164.28184="","-",164.28184/2037614.19121*100)</f>
        <v>8.0624605339268962E-3</v>
      </c>
      <c r="F35" s="30">
        <f>IF(OR(1365113.41163="",163.3947="",169.11711=""),"-",(169.11711-163.3947)/1365113.41163*100)</f>
        <v>4.1918934729146131E-4</v>
      </c>
      <c r="G35" s="30">
        <f>IF(OR(1550863.02837="",164.28184="",169.11711=""),"-",(164.28184-169.11711)/1550863.02837*100)</f>
        <v>-3.1177930684710505E-4</v>
      </c>
    </row>
    <row r="36" spans="1:7" s="33" customFormat="1" x14ac:dyDescent="0.2">
      <c r="A36" s="28" t="s">
        <v>54</v>
      </c>
      <c r="B36" s="29">
        <v>20.672129999999999</v>
      </c>
      <c r="C36" s="30">
        <f>IF(OR(33.55809="",20.67213=""),"-",20.67213/33.55809*100)</f>
        <v>61.601032716701098</v>
      </c>
      <c r="D36" s="30">
        <f>IF(33.55809="","-",33.55809/1550863.02837*100)</f>
        <v>2.1638332583935852E-3</v>
      </c>
      <c r="E36" s="30">
        <f>IF(20.67213="","-",20.67213/2037614.19121*100)</f>
        <v>1.0145262086010615E-3</v>
      </c>
      <c r="F36" s="30">
        <f>IF(OR(1365113.41163="",1.07388="",33.55809=""),"-",(33.55809-1.07388)/1365113.41163*100)</f>
        <v>2.3795978944498499E-3</v>
      </c>
      <c r="G36" s="30">
        <f>IF(OR(1550863.02837="",20.67213="",33.55809=""),"-",(20.67213-33.55809)/1550863.02837*100)</f>
        <v>-8.3088962495569334E-4</v>
      </c>
    </row>
    <row r="37" spans="1:7" s="33" customFormat="1" x14ac:dyDescent="0.2">
      <c r="A37" s="25" t="s">
        <v>197</v>
      </c>
      <c r="B37" s="26">
        <v>628892.04844000004</v>
      </c>
      <c r="C37" s="27" t="s">
        <v>100</v>
      </c>
      <c r="D37" s="27">
        <f>IF(360583.47945="","-",360583.47945/1550863.02837*100)</f>
        <v>23.250504580600083</v>
      </c>
      <c r="E37" s="27">
        <f>IF(628892.04844="","-",628892.04844/2037614.19121*100)</f>
        <v>30.86413763473761</v>
      </c>
      <c r="F37" s="27">
        <f>IF(1365113.41163="","-",(360583.47945-341258.26906)/1365113.41163*100)</f>
        <v>1.4156487091372789</v>
      </c>
      <c r="G37" s="27">
        <f>IF(1550863.02837="","-",(628892.04844-360583.47945)/1550863.02837*100)</f>
        <v>17.300597414589205</v>
      </c>
    </row>
    <row r="38" spans="1:7" s="33" customFormat="1" x14ac:dyDescent="0.2">
      <c r="A38" s="28" t="s">
        <v>302</v>
      </c>
      <c r="B38" s="29">
        <v>446934.71078999998</v>
      </c>
      <c r="C38" s="30" t="s">
        <v>204</v>
      </c>
      <c r="D38" s="30">
        <f>IF(195586.84294="","-",195586.84294/1550863.02837*100)</f>
        <v>12.611484016455481</v>
      </c>
      <c r="E38" s="30">
        <f>IF(446934.71079="","-",446934.71079/2037614.19121*100)</f>
        <v>21.934216630312921</v>
      </c>
      <c r="F38" s="30">
        <f>IF(OR(1365113.41163="",187655.33397="",195586.84294=""),"-",(195586.84294-187655.33397)/1365113.41163*100)</f>
        <v>0.58101465434505228</v>
      </c>
      <c r="G38" s="30">
        <f>IF(OR(1550863.02837="",446934.71079="",195586.84294=""),"-",(446934.71079-195586.84294)/1550863.02837*100)</f>
        <v>16.206967556262757</v>
      </c>
    </row>
    <row r="39" spans="1:7" s="33" customFormat="1" x14ac:dyDescent="0.2">
      <c r="A39" s="28" t="s">
        <v>11</v>
      </c>
      <c r="B39" s="29">
        <v>132840.60993999999</v>
      </c>
      <c r="C39" s="30">
        <f>IF(OR(129154.6166="",132840.60994=""),"-",132840.60994/129154.6166*100)</f>
        <v>102.85393850954299</v>
      </c>
      <c r="D39" s="30">
        <f>IF(129154.6166="","-",129154.6166/1550863.02837*100)</f>
        <v>8.3279189868717847</v>
      </c>
      <c r="E39" s="30">
        <f>IF(132840.60994="","-",132840.60994/2037614.19121*100)</f>
        <v>6.5194191576136902</v>
      </c>
      <c r="F39" s="30">
        <f>IF(OR(1365113.41163="",119200.85812="",129154.6166=""),"-",(129154.6166-119200.85812)/1365113.41163*100)</f>
        <v>0.72915249349977485</v>
      </c>
      <c r="G39" s="30">
        <f>IF(OR(1550863.02837="",132840.60994="",129154.6166=""),"-",(132840.60994-129154.6166)/1550863.02837*100)</f>
        <v>0.23767368700987618</v>
      </c>
    </row>
    <row r="40" spans="1:7" s="33" customFormat="1" x14ac:dyDescent="0.2">
      <c r="A40" s="28" t="s">
        <v>10</v>
      </c>
      <c r="B40" s="29">
        <v>27704.482889999999</v>
      </c>
      <c r="C40" s="30">
        <f>IF(OR(29061.11823="",27704.48289=""),"-",27704.48289/29061.11823*100)</f>
        <v>95.331785483052968</v>
      </c>
      <c r="D40" s="30">
        <f>IF(29061.11823="","-",29061.11823/1550863.02837*100)</f>
        <v>1.8738674981854484</v>
      </c>
      <c r="E40" s="30">
        <f>IF(27704.48289="","-",27704.48289/2037614.19121*100)</f>
        <v>1.3596530201602197</v>
      </c>
      <c r="F40" s="30">
        <f>IF(OR(1365113.41163="",24936.52785="",29061.11823=""),"-",(29061.11823-24936.52785)/1365113.41163*100)</f>
        <v>0.30214268974729913</v>
      </c>
      <c r="G40" s="30">
        <f>IF(OR(1550863.02837="",27704.48289="",29061.11823=""),"-",(27704.48289-29061.11823)/1550863.02837*100)</f>
        <v>-8.7476154578645285E-2</v>
      </c>
    </row>
    <row r="41" spans="1:7" s="33" customFormat="1" x14ac:dyDescent="0.2">
      <c r="A41" s="28" t="s">
        <v>13</v>
      </c>
      <c r="B41" s="29">
        <v>5636.2643500000004</v>
      </c>
      <c r="C41" s="30" t="s">
        <v>351</v>
      </c>
      <c r="D41" s="30">
        <f>IF(211.5006="","-",211.5006/1550863.02837*100)</f>
        <v>1.3637606682924991E-2</v>
      </c>
      <c r="E41" s="30">
        <f>IF(5636.26435="","-",5636.26435/2037614.19121*100)</f>
        <v>0.27661096856873613</v>
      </c>
      <c r="F41" s="30">
        <f>IF(OR(1365113.41163="",2780.83354="",211.5006=""),"-",(211.5006-2780.83354)/1365113.41163*100)</f>
        <v>-0.18821388158014754</v>
      </c>
      <c r="G41" s="30">
        <f>IF(OR(1550863.02837="",5636.26435="",211.5006=""),"-",(5636.26435-211.5006)/1550863.02837*100)</f>
        <v>0.34978999761839558</v>
      </c>
    </row>
    <row r="42" spans="1:7" s="33" customFormat="1" x14ac:dyDescent="0.2">
      <c r="A42" s="28" t="s">
        <v>14</v>
      </c>
      <c r="B42" s="29">
        <v>5515.2279099999996</v>
      </c>
      <c r="C42" s="30" t="s">
        <v>19</v>
      </c>
      <c r="D42" s="30">
        <f>IF(2819.24028="","-",2819.24028/1550863.02837*100)</f>
        <v>0.1817852530125178</v>
      </c>
      <c r="E42" s="30">
        <f>IF(5515.22791="","-",5515.22791/2037614.19121*100)</f>
        <v>0.27067086270757085</v>
      </c>
      <c r="F42" s="30">
        <f>IF(OR(1365113.41163="",2175.41091="",2819.24028=""),"-",(2819.24028-2175.41091)/1365113.41163*100)</f>
        <v>4.7163068248757586E-2</v>
      </c>
      <c r="G42" s="30">
        <f>IF(OR(1550863.02837="",5515.22791="",2819.24028=""),"-",(5515.22791-2819.24028)/1550863.02837*100)</f>
        <v>0.17383789417132198</v>
      </c>
    </row>
    <row r="43" spans="1:7" s="33" customFormat="1" x14ac:dyDescent="0.2">
      <c r="A43" s="28" t="s">
        <v>15</v>
      </c>
      <c r="B43" s="29">
        <v>4176.2549399999998</v>
      </c>
      <c r="C43" s="30" t="s">
        <v>352</v>
      </c>
      <c r="D43" s="30">
        <f>IF(76.84934="","-",76.84934/1550863.02837*100)</f>
        <v>4.9552628822914675E-3</v>
      </c>
      <c r="E43" s="30">
        <f>IF(4176.25494="","-",4176.25494/2037614.19121*100)</f>
        <v>0.20495808077975775</v>
      </c>
      <c r="F43" s="30">
        <f>IF(OR(1365113.41163="",1260.74422="",76.84934=""),"-",(76.84934-1260.74422)/1365113.41163*100)</f>
        <v>-8.6725020054295873E-2</v>
      </c>
      <c r="G43" s="30">
        <f>IF(OR(1550863.02837="",4176.25494="",76.84934=""),"-",(4176.25494-76.84934)/1550863.02837*100)</f>
        <v>0.26433060334854902</v>
      </c>
    </row>
    <row r="44" spans="1:7" s="33" customFormat="1" x14ac:dyDescent="0.2">
      <c r="A44" s="28" t="s">
        <v>12</v>
      </c>
      <c r="B44" s="29">
        <v>4048.9634799999999</v>
      </c>
      <c r="C44" s="30">
        <f>IF(OR(3295.09559="",4048.96348=""),"-",4048.96348/3295.09559*100)</f>
        <v>122.87848317019538</v>
      </c>
      <c r="D44" s="30">
        <f>IF(3295.09559="","-",3295.09559/1550863.02837*100)</f>
        <v>0.21246851138512451</v>
      </c>
      <c r="E44" s="30">
        <f>IF(4048.96348="","-",4048.96348/2037614.19121*100)</f>
        <v>0.19871099727645675</v>
      </c>
      <c r="F44" s="30">
        <f>IF(OR(1365113.41163="",3066.0693="",3295.09559=""),"-",(3295.09559-3066.0693)/1365113.41163*100)</f>
        <v>1.6777088852019499E-2</v>
      </c>
      <c r="G44" s="30">
        <f>IF(OR(1550863.02837="",4048.96348="",3295.09559=""),"-",(4048.96348-3295.09559)/1550863.02837*100)</f>
        <v>4.8609572619210353E-2</v>
      </c>
    </row>
    <row r="45" spans="1:7" s="33" customFormat="1" x14ac:dyDescent="0.2">
      <c r="A45" s="28" t="s">
        <v>318</v>
      </c>
      <c r="B45" s="29">
        <v>1843.1025400000001</v>
      </c>
      <c r="C45" s="30" t="s">
        <v>353</v>
      </c>
      <c r="D45" s="30">
        <f>IF(40.37531="","-",40.37531/1550863.02837*100)</f>
        <v>2.6034091509961111E-3</v>
      </c>
      <c r="E45" s="30">
        <f>IF(1843.10254="","-",1843.10254/2037614.19121*100)</f>
        <v>9.0453950897618512E-2</v>
      </c>
      <c r="F45" s="30">
        <f>IF(OR(1365113.41163="",22.37023="",40.37531=""),"-",(40.37531-22.37023)/1365113.41163*100)</f>
        <v>1.3189438948153923E-3</v>
      </c>
      <c r="G45" s="30">
        <f>IF(OR(1550863.02837="",1843.10254="",40.37531=""),"-",(1843.10254-40.37531)/1550863.02837*100)</f>
        <v>0.11624026087556658</v>
      </c>
    </row>
    <row r="46" spans="1:7" s="33" customFormat="1" x14ac:dyDescent="0.2">
      <c r="A46" s="28" t="s">
        <v>16</v>
      </c>
      <c r="B46" s="29">
        <v>190.81885</v>
      </c>
      <c r="C46" s="30">
        <f>IF(OR(324.08152="",190.81885=""),"-",190.81885/324.08152*100)</f>
        <v>58.879892318451233</v>
      </c>
      <c r="D46" s="30">
        <f>IF(324.08152="","-",324.08152/1550863.02837*100)</f>
        <v>2.0896849952030817E-2</v>
      </c>
      <c r="E46" s="30">
        <f>IF(190.81885="","-",190.81885/2037614.19121*100)</f>
        <v>9.3648174822872476E-3</v>
      </c>
      <c r="F46" s="30">
        <f>IF(OR(1365113.41163="",159.93541="",324.08152=""),"-",(324.08152-159.93541)/1365113.41163*100)</f>
        <v>1.2024356994925645E-2</v>
      </c>
      <c r="G46" s="30">
        <f>IF(OR(1550863.02837="",190.81885="",324.08152=""),"-",(190.81885-324.08152)/1550863.02837*100)</f>
        <v>-8.5928072023267448E-3</v>
      </c>
    </row>
    <row r="47" spans="1:7" s="33" customFormat="1" x14ac:dyDescent="0.2">
      <c r="A47" s="28" t="s">
        <v>17</v>
      </c>
      <c r="B47" s="29">
        <v>1.6127499999999999</v>
      </c>
      <c r="C47" s="30">
        <f>IF(OR(13.75904="",1.61275=""),"-",1.61275/13.75904*100)</f>
        <v>11.721384631485916</v>
      </c>
      <c r="D47" s="30">
        <f>IF(13.75904="","-",13.75904/1550863.02837*100)</f>
        <v>8.8718602147999702E-4</v>
      </c>
      <c r="E47" s="30">
        <f>IF(1.61275="","-",1.61275/2037614.19121*100)</f>
        <v>7.9148938349428048E-5</v>
      </c>
      <c r="F47" s="30">
        <f>IF(OR(1365113.41163="",0.18551="",13.75904=""),"-",(13.75904-0.18551)/1365113.41163*100)</f>
        <v>9.9431518907961368E-4</v>
      </c>
      <c r="G47" s="30">
        <f>IF(OR(1550863.02837="",1.61275="",13.75904=""),"-",(1.61275-13.75904)/1550863.02837*100)</f>
        <v>-7.8319553550554939E-4</v>
      </c>
    </row>
    <row r="48" spans="1:7" s="33" customFormat="1" x14ac:dyDescent="0.2">
      <c r="A48" s="25" t="s">
        <v>131</v>
      </c>
      <c r="B48" s="26">
        <v>510415.08545999997</v>
      </c>
      <c r="C48" s="27">
        <f>IF(458952.66032="","-",510415.08546/458952.66032*100)</f>
        <v>111.21301380062125</v>
      </c>
      <c r="D48" s="27">
        <f>IF(458952.66032="","-",458952.66032/1550863.02837*100)</f>
        <v>29.593371685594438</v>
      </c>
      <c r="E48" s="27">
        <f>IF(510415.08546="","-",510415.08546/2037614.19121*100)</f>
        <v>25.049643237756371</v>
      </c>
      <c r="F48" s="27">
        <f>IF(1365113.41163="","-",(458952.66032-376507.56338)/1365113.41163*100)</f>
        <v>6.0394320528693122</v>
      </c>
      <c r="G48" s="27">
        <f>IF(1550863.02837="","-",(510415.08546-458952.66032)/1550863.02837*100)</f>
        <v>3.318308851174844</v>
      </c>
    </row>
    <row r="49" spans="1:7" s="33" customFormat="1" x14ac:dyDescent="0.2">
      <c r="A49" s="114" t="s">
        <v>58</v>
      </c>
      <c r="B49" s="29">
        <v>183479.60597999999</v>
      </c>
      <c r="C49" s="30">
        <f>IF(OR(182850.55843="",183479.60598=""),"-",183479.60598/182850.55843*100)</f>
        <v>100.3440227666796</v>
      </c>
      <c r="D49" s="30">
        <f>IF(182850.55843="","-",182850.55843/1550863.02837*100)</f>
        <v>11.790245501060207</v>
      </c>
      <c r="E49" s="30">
        <f>IF(183479.60598="","-",183479.60598/2037614.19121*100)</f>
        <v>9.0046293734852707</v>
      </c>
      <c r="F49" s="30">
        <f>IF(OR(1365113.41163="",136714.05773="",182850.55843=""),"-",(182850.55843-136714.05773)/1365113.41163*100)</f>
        <v>3.3796826188170828</v>
      </c>
      <c r="G49" s="30">
        <f>IF(OR(1550863.02837="",183479.60598="",182850.55843=""),"-",(183479.60598-182850.55843)/1550863.02837*100)</f>
        <v>4.0561128771064638E-2</v>
      </c>
    </row>
    <row r="50" spans="1:7" s="33" customFormat="1" x14ac:dyDescent="0.2">
      <c r="A50" s="35" t="s">
        <v>55</v>
      </c>
      <c r="B50" s="36">
        <v>133030.18557999999</v>
      </c>
      <c r="C50" s="30">
        <f>IF(OR(115342.49214="",133030.18558=""),"-",133030.18558/115342.49214*100)</f>
        <v>115.3349326096848</v>
      </c>
      <c r="D50" s="30">
        <f>IF(115342.49214="","-",115342.49214/1550863.02837*100)</f>
        <v>7.437310067364761</v>
      </c>
      <c r="E50" s="30">
        <f>IF(133030.18558="","-",133030.18558/2037614.19121*100)</f>
        <v>6.5287229620737204</v>
      </c>
      <c r="F50" s="30">
        <f>IF(OR(1365113.41163="",96309.40905="",115342.49214=""),"-",(115342.49214-96309.40905)/1365113.41163*100)</f>
        <v>1.3942492197240768</v>
      </c>
      <c r="G50" s="30">
        <f>IF(OR(1550863.02837="",133030.18558="",115342.49214=""),"-",(133030.18558-115342.49214)/1550863.02837*100)</f>
        <v>1.1405064868036892</v>
      </c>
    </row>
    <row r="51" spans="1:7" s="33" customFormat="1" x14ac:dyDescent="0.2">
      <c r="A51" s="35" t="s">
        <v>18</v>
      </c>
      <c r="B51" s="36">
        <v>29195.75316</v>
      </c>
      <c r="C51" s="30">
        <f>IF(OR(21565.75766="",29195.75316=""),"-",29195.75316/21565.75766*100)</f>
        <v>135.3801411491888</v>
      </c>
      <c r="D51" s="30">
        <f>IF(21565.75766="","-",21565.75766/1550863.02837*100)</f>
        <v>1.3905649477417878</v>
      </c>
      <c r="E51" s="30">
        <f>IF(29195.75316="","-",29195.75316/2037614.19121*100)</f>
        <v>1.4328400973033386</v>
      </c>
      <c r="F51" s="30">
        <f>IF(OR(1365113.41163="",17854.79525="",21565.75766=""),"-",(21565.75766-17854.79525)/1365113.41163*100)</f>
        <v>0.27184279184313065</v>
      </c>
      <c r="G51" s="30">
        <f>IF(OR(1550863.02837="",29195.75316="",21565.75766=""),"-",(29195.75316-21565.75766)/1550863.02837*100)</f>
        <v>0.49198384128218836</v>
      </c>
    </row>
    <row r="52" spans="1:7" s="33" customFormat="1" x14ac:dyDescent="0.2">
      <c r="A52" s="114" t="s">
        <v>68</v>
      </c>
      <c r="B52" s="29">
        <v>25106.887569999999</v>
      </c>
      <c r="C52" s="30" t="s">
        <v>195</v>
      </c>
      <c r="D52" s="30">
        <f>IF(11433.91986="","-",11433.91986/1550863.02837*100)</f>
        <v>0.73726174722324556</v>
      </c>
      <c r="E52" s="30">
        <f>IF(25106.88757="","-",25106.88757/2037614.19121*100)</f>
        <v>1.2321708240111311</v>
      </c>
      <c r="F52" s="30">
        <f>IF(OR(1365113.41163="",9958.29505="",11433.91986=""),"-",(11433.91986-9958.29505)/1365113.41163*100)</f>
        <v>0.10809540053071812</v>
      </c>
      <c r="G52" s="30">
        <f>IF(OR(1550863.02837="",25106.88757="",11433.91986=""),"-",(25106.88757-11433.91986)/1550863.02837*100)</f>
        <v>0.88163606068878098</v>
      </c>
    </row>
    <row r="53" spans="1:7" s="33" customFormat="1" ht="24" x14ac:dyDescent="0.2">
      <c r="A53" s="35" t="s">
        <v>304</v>
      </c>
      <c r="B53" s="36">
        <v>16220.97099</v>
      </c>
      <c r="C53" s="30">
        <f>IF(OR(14459.55656="",16220.97099=""),"-",16220.97099/14459.55656*100)</f>
        <v>112.18166285176866</v>
      </c>
      <c r="D53" s="30">
        <f>IF(14459.55656="","-",14459.55656/1550863.02837*100)</f>
        <v>0.9323554882340187</v>
      </c>
      <c r="E53" s="30">
        <f>IF(16220.97099="","-",16220.97099/2037614.19121*100)</f>
        <v>0.79607665965299701</v>
      </c>
      <c r="F53" s="30">
        <f>IF(OR(1365113.41163="",16178.76222="",14459.55656=""),"-",(14459.55656-16178.76222)/1365113.41163*100)</f>
        <v>-0.12593866893060551</v>
      </c>
      <c r="G53" s="30">
        <f>IF(OR(1550863.02837="",16220.97099="",14459.55656=""),"-",(16220.97099-14459.55656)/1550863.02837*100)</f>
        <v>0.1135764021566298</v>
      </c>
    </row>
    <row r="54" spans="1:7" s="33" customFormat="1" x14ac:dyDescent="0.2">
      <c r="A54" s="114" t="s">
        <v>35</v>
      </c>
      <c r="B54" s="29">
        <v>13745.784180000001</v>
      </c>
      <c r="C54" s="30">
        <f>IF(OR(9591.89952="",13745.78418=""),"-",13745.78418/9591.89952*100)</f>
        <v>143.30617362430417</v>
      </c>
      <c r="D54" s="30">
        <f>IF(9591.89952="","-",9591.89952/1550863.02837*100)</f>
        <v>0.61848785769826198</v>
      </c>
      <c r="E54" s="30">
        <f>IF(13745.78418="","-",13745.78418/2037614.19121*100)</f>
        <v>0.67460190645007811</v>
      </c>
      <c r="F54" s="30">
        <f>IF(OR(1365113.41163="",8413.36784="",9591.89952=""),"-",(9591.89952-8413.36784)/1365113.41163*100)</f>
        <v>8.6332144271645983E-2</v>
      </c>
      <c r="G54" s="30">
        <f>IF(OR(1550863.02837="",13745.78418="",9591.89952=""),"-",(13745.78418-9591.89952)/1550863.02837*100)</f>
        <v>0.26784342550004869</v>
      </c>
    </row>
    <row r="55" spans="1:7" s="33" customFormat="1" x14ac:dyDescent="0.2">
      <c r="A55" s="35" t="s">
        <v>74</v>
      </c>
      <c r="B55" s="36">
        <v>11818.599850000001</v>
      </c>
      <c r="C55" s="30">
        <f>IF(OR(14532.73016="",11818.59985=""),"-",11818.59985/14532.73016*100)</f>
        <v>81.324016340230472</v>
      </c>
      <c r="D55" s="30">
        <f>IF(14532.73016="","-",14532.73016/1550863.02837*100)</f>
        <v>0.93707373856699006</v>
      </c>
      <c r="E55" s="30">
        <f>IF(11818.59985="","-",11818.59985/2037614.19121*100)</f>
        <v>0.58002147320056407</v>
      </c>
      <c r="F55" s="30">
        <f>IF(OR(1365113.41163="",12775.39865="",14532.73016=""),"-",(14532.73016-12775.39865)/1365113.41163*100)</f>
        <v>0.12873153944782331</v>
      </c>
      <c r="G55" s="30">
        <f>IF(OR(1550863.02837="",11818.59985="",14532.73016=""),"-",(11818.59985-14532.73016)/1550863.02837*100)</f>
        <v>-0.17500773829476254</v>
      </c>
    </row>
    <row r="56" spans="1:7" s="33" customFormat="1" x14ac:dyDescent="0.2">
      <c r="A56" s="35" t="s">
        <v>65</v>
      </c>
      <c r="B56" s="36">
        <v>9033.8841599999996</v>
      </c>
      <c r="C56" s="30">
        <f>IF(OR(6953.56959="",9033.88416=""),"-",9033.88416/6953.56959*100)</f>
        <v>129.91721795654021</v>
      </c>
      <c r="D56" s="30">
        <f>IF(6953.56959="","-",6953.56959/1550863.02837*100)</f>
        <v>0.44836774510695471</v>
      </c>
      <c r="E56" s="30">
        <f>IF(9033.88416="","-",9033.88416/2037614.19121*100)</f>
        <v>0.44335596988728232</v>
      </c>
      <c r="F56" s="30">
        <f>IF(OR(1365113.41163="",7960.81148="",6953.56959=""),"-",(6953.56959-7960.81148)/1365113.41163*100)</f>
        <v>-7.3784484235438957E-2</v>
      </c>
      <c r="G56" s="30">
        <f>IF(OR(1550863.02837="",9033.88416="",6953.56959=""),"-",(9033.88416-6953.56959)/1550863.02837*100)</f>
        <v>0.13413915555047229</v>
      </c>
    </row>
    <row r="57" spans="1:7" s="33" customFormat="1" x14ac:dyDescent="0.2">
      <c r="A57" s="35" t="s">
        <v>70</v>
      </c>
      <c r="B57" s="36">
        <v>8819.6898700000002</v>
      </c>
      <c r="C57" s="30">
        <f>IF(OR(12474.54527="",8819.68987=""),"-",8819.68987/12474.54527*100)</f>
        <v>70.701493955137977</v>
      </c>
      <c r="D57" s="30">
        <f>IF(12474.54527="","-",12474.54527/1550863.02837*100)</f>
        <v>0.80436150980471144</v>
      </c>
      <c r="E57" s="30">
        <f>IF(8819.68987="","-",8819.68987/2037614.19121*100)</f>
        <v>0.43284395584046204</v>
      </c>
      <c r="F57" s="30">
        <f>IF(OR(1365113.41163="",6700.847="",12474.54527=""),"-",(12474.54527-6700.847)/1365113.41163*100)</f>
        <v>0.42294641755119633</v>
      </c>
      <c r="G57" s="30">
        <f>IF(OR(1550863.02837="",8819.68987="",12474.54527=""),"-",(8819.68987-12474.54527)/1550863.02837*100)</f>
        <v>-0.23566590557267683</v>
      </c>
    </row>
    <row r="58" spans="1:7" s="33" customFormat="1" x14ac:dyDescent="0.2">
      <c r="A58" s="114" t="s">
        <v>303</v>
      </c>
      <c r="B58" s="29">
        <v>8642.60772</v>
      </c>
      <c r="C58" s="30">
        <f>IF(OR(8293.69906="",8642.60772=""),"-",8642.60772/8293.69906*100)</f>
        <v>104.20691247024823</v>
      </c>
      <c r="D58" s="30">
        <f>IF(8293.69906="","-",8293.69906/1550863.02837*100)</f>
        <v>0.53477959744239367</v>
      </c>
      <c r="E58" s="30">
        <f>IF(8642.60772="","-",8642.60772/2037614.19121*100)</f>
        <v>0.42415329444028582</v>
      </c>
      <c r="F58" s="30">
        <f>IF(OR(1365113.41163="",6590.64353="",8293.69906=""),"-",(8293.69906-6590.64353)/1365113.41163*100)</f>
        <v>0.12475560751882764</v>
      </c>
      <c r="G58" s="30">
        <f>IF(OR(1550863.02837="",8642.60772="",8293.69906=""),"-",(8642.60772-8293.69906)/1550863.02837*100)</f>
        <v>2.249770957314727E-2</v>
      </c>
    </row>
    <row r="59" spans="1:7" s="33" customFormat="1" x14ac:dyDescent="0.2">
      <c r="A59" s="114" t="s">
        <v>77</v>
      </c>
      <c r="B59" s="29">
        <v>5957.3229700000002</v>
      </c>
      <c r="C59" s="30">
        <f>IF(OR(6219.44981="",5957.32297=""),"-",5957.32297/6219.44981*100)</f>
        <v>95.785369317097206</v>
      </c>
      <c r="D59" s="30">
        <f>IF(6219.44981="","-",6219.44981/1550863.02837*100)</f>
        <v>0.40103153510189832</v>
      </c>
      <c r="E59" s="30">
        <f>IF(5957.32297="","-",5957.32297/2037614.19121*100)</f>
        <v>0.29236756377625894</v>
      </c>
      <c r="F59" s="30">
        <f>IF(OR(1365113.41163="",5586.28384="",6219.44981=""),"-",(6219.44981-5586.28384)/1365113.41163*100)</f>
        <v>4.6381931684633775E-2</v>
      </c>
      <c r="G59" s="30">
        <f>IF(OR(1550863.02837="",5957.32297="",6219.44981=""),"-",(5957.32297-6219.44981)/1550863.02837*100)</f>
        <v>-1.6901998126520722E-2</v>
      </c>
    </row>
    <row r="60" spans="1:7" s="33" customFormat="1" x14ac:dyDescent="0.2">
      <c r="A60" s="35" t="s">
        <v>72</v>
      </c>
      <c r="B60" s="36">
        <v>5423.9740300000003</v>
      </c>
      <c r="C60" s="30" t="s">
        <v>102</v>
      </c>
      <c r="D60" s="30">
        <f>IF(2807.22432="","-",2807.22432/1550863.02837*100)</f>
        <v>0.18101046118498748</v>
      </c>
      <c r="E60" s="30">
        <f>IF(5423.97403="","-",5423.97403/2037614.19121*100)</f>
        <v>0.26619239566539687</v>
      </c>
      <c r="F60" s="30">
        <f>IF(OR(1365113.41163="",2441.93134="",2807.22432=""),"-",(2807.22432-2441.93134)/1365113.41163*100)</f>
        <v>2.6759167178925104E-2</v>
      </c>
      <c r="G60" s="30">
        <f>IF(OR(1550863.02837="",5423.97403="",2807.22432=""),"-",(5423.97403-2807.22432)/1550863.02837*100)</f>
        <v>0.16872861510860035</v>
      </c>
    </row>
    <row r="61" spans="1:7" s="33" customFormat="1" x14ac:dyDescent="0.2">
      <c r="A61" s="35" t="s">
        <v>320</v>
      </c>
      <c r="B61" s="36">
        <v>4610.9921000000004</v>
      </c>
      <c r="C61" s="30">
        <f>IF(OR(4490.10111="",4610.9921=""),"-",4610.9921/4490.10111*100)</f>
        <v>102.69238903620148</v>
      </c>
      <c r="D61" s="30">
        <f>IF(4490.10111="","-",4490.10111/1550863.02837*100)</f>
        <v>0.28952273849220717</v>
      </c>
      <c r="E61" s="30">
        <f>IF(4610.9921="","-",4610.9921/2037614.19121*100)</f>
        <v>0.22629367816003709</v>
      </c>
      <c r="F61" s="30">
        <f>IF(OR(1365113.41163="",3963.90588="",4490.10111=""),"-",(4490.10111-3963.90588)/1365113.41163*100)</f>
        <v>3.8545898495840114E-2</v>
      </c>
      <c r="G61" s="30">
        <f>IF(OR(1550863.02837="",4610.9921="",4490.10111=""),"-",(4610.9921-4490.10111)/1550863.02837*100)</f>
        <v>7.7950784684744576E-3</v>
      </c>
    </row>
    <row r="62" spans="1:7" s="33" customFormat="1" x14ac:dyDescent="0.2">
      <c r="A62" s="35" t="s">
        <v>61</v>
      </c>
      <c r="B62" s="36">
        <v>3777.2610599999998</v>
      </c>
      <c r="C62" s="30">
        <f>IF(OR(2921.76544="",3777.26106=""),"-",3777.26106/2921.76544*100)</f>
        <v>129.28009238140621</v>
      </c>
      <c r="D62" s="30">
        <f>IF(2921.76544="","-",2921.76544/1550863.02837*100)</f>
        <v>0.1883960985949131</v>
      </c>
      <c r="E62" s="30">
        <f>IF(3777.26106="","-",3777.26106/2037614.19121*100)</f>
        <v>0.18537665649830121</v>
      </c>
      <c r="F62" s="30">
        <f>IF(OR(1365113.41163="",3191.01873="",2921.76544=""),"-",(2921.76544-3191.01873)/1365113.41163*100)</f>
        <v>-1.9723876983854437E-2</v>
      </c>
      <c r="G62" s="30">
        <f>IF(OR(1550863.02837="",3777.26106="",2921.76544=""),"-",(3777.26106-2921.76544)/1550863.02837*100)</f>
        <v>5.516255171155568E-2</v>
      </c>
    </row>
    <row r="63" spans="1:7" s="33" customFormat="1" x14ac:dyDescent="0.2">
      <c r="A63" s="35" t="s">
        <v>76</v>
      </c>
      <c r="B63" s="36">
        <v>3238.7939200000001</v>
      </c>
      <c r="C63" s="30">
        <f>IF(OR(2892.47075="",3238.79392=""),"-",3238.79392/2892.47075*100)</f>
        <v>111.97326437959659</v>
      </c>
      <c r="D63" s="30">
        <f>IF(2892.47075="","-",2892.47075/1550863.02837*100)</f>
        <v>0.18650717033599459</v>
      </c>
      <c r="E63" s="30">
        <f>IF(3238.79392="","-",3238.79392/2037614.19121*100)</f>
        <v>0.15895030246509528</v>
      </c>
      <c r="F63" s="30">
        <f>IF(OR(1365113.41163="",2500.29423="",2892.47075=""),"-",(2892.47075-2500.29423)/1365113.41163*100)</f>
        <v>2.8728493666451166E-2</v>
      </c>
      <c r="G63" s="30">
        <f>IF(OR(1550863.02837="",3238.79392="",2892.47075=""),"-",(3238.79392-2892.47075)/1550863.02837*100)</f>
        <v>2.2330996591233165E-2</v>
      </c>
    </row>
    <row r="64" spans="1:7" s="33" customFormat="1" x14ac:dyDescent="0.2">
      <c r="A64" s="35" t="s">
        <v>80</v>
      </c>
      <c r="B64" s="36">
        <v>3138.3030800000001</v>
      </c>
      <c r="C64" s="30">
        <f>IF(OR(2892.15616="",3138.30308=""),"-",3138.30308/2892.15616*100)</f>
        <v>108.51084472561814</v>
      </c>
      <c r="D64" s="30">
        <f>IF(2892.15616="","-",2892.15616/1550863.02837*100)</f>
        <v>0.18648688550140605</v>
      </c>
      <c r="E64" s="30">
        <f>IF(3138.30308="","-",3138.30308/2037614.19121*100)</f>
        <v>0.15401851309920334</v>
      </c>
      <c r="F64" s="30">
        <f>IF(OR(1365113.41163="",2078.52645="",2892.15616=""),"-",(2892.15616-2078.52645)/1365113.41163*100)</f>
        <v>5.96016201341465E-2</v>
      </c>
      <c r="G64" s="30">
        <f>IF(OR(1550863.02837="",3138.30308="",2892.15616=""),"-",(3138.30308-2892.15616)/1550863.02837*100)</f>
        <v>1.5871609258665955E-2</v>
      </c>
    </row>
    <row r="65" spans="1:7" s="33" customFormat="1" x14ac:dyDescent="0.2">
      <c r="A65" s="114" t="s">
        <v>69</v>
      </c>
      <c r="B65" s="29">
        <v>2719.8531200000002</v>
      </c>
      <c r="C65" s="30">
        <f>IF(OR(2665.78595="",2719.85312=""),"-",2719.85312/2665.78595*100)</f>
        <v>102.0281887223541</v>
      </c>
      <c r="D65" s="30">
        <f>IF(2665.78595="","-",2665.78595/1550863.02837*100)</f>
        <v>0.17189048299138415</v>
      </c>
      <c r="E65" s="30">
        <f>IF(2719.85312="","-",2719.85312/2037614.19121*100)</f>
        <v>0.13348224269997183</v>
      </c>
      <c r="F65" s="30">
        <f>IF(OR(1365113.41163="",2739.20545="",2665.78595=""),"-",(2665.78595-2739.20545)/1365113.41163*100)</f>
        <v>-5.3782710926804349E-3</v>
      </c>
      <c r="G65" s="30">
        <f>IF(OR(1550863.02837="",2719.85312="",2665.78595=""),"-",(2719.85312-2665.78595)/1550863.02837*100)</f>
        <v>3.4862633908312561E-3</v>
      </c>
    </row>
    <row r="66" spans="1:7" s="33" customFormat="1" x14ac:dyDescent="0.2">
      <c r="A66" s="35" t="s">
        <v>60</v>
      </c>
      <c r="B66" s="36">
        <v>2677.83268</v>
      </c>
      <c r="C66" s="30">
        <f>IF(OR(3557.77632="",2677.83268=""),"-",2677.83268/3557.77632*100)</f>
        <v>75.267033088803075</v>
      </c>
      <c r="D66" s="30">
        <f>IF(3557.77632="","-",3557.77632/1550863.02837*100)</f>
        <v>0.22940622446453712</v>
      </c>
      <c r="E66" s="30">
        <f>IF(2677.83268="","-",2677.83268/2037614.19121*100)</f>
        <v>0.13142000539414275</v>
      </c>
      <c r="F66" s="30">
        <f>IF(OR(1365113.41163="",2554.65931="",3557.77632=""),"-",(3557.77632-2554.65931)/1365113.41163*100)</f>
        <v>7.3482320329871939E-2</v>
      </c>
      <c r="G66" s="30">
        <f>IF(OR(1550863.02837="",2677.83268="",3557.77632=""),"-",(2677.83268-3557.77632)/1550863.02837*100)</f>
        <v>-5.6738965589040131E-2</v>
      </c>
    </row>
    <row r="67" spans="1:7" s="33" customFormat="1" x14ac:dyDescent="0.2">
      <c r="A67" s="114" t="s">
        <v>81</v>
      </c>
      <c r="B67" s="29">
        <v>2519.0610799999999</v>
      </c>
      <c r="C67" s="30">
        <f>IF(OR(1786.10668="",2519.06108=""),"-",2519.06108/1786.10668*100)</f>
        <v>141.03642902225749</v>
      </c>
      <c r="D67" s="30">
        <f>IF(1786.10668="","-",1786.10668/1550863.02837*100)</f>
        <v>0.11516856403993637</v>
      </c>
      <c r="E67" s="30">
        <f>IF(2519.06108="","-",2519.06108/2037614.19121*100)</f>
        <v>0.12362797093124393</v>
      </c>
      <c r="F67" s="30">
        <f>IF(OR(1365113.41163="",2272.71885="",1786.10668=""),"-",(1786.10668-2272.71885)/1365113.41163*100)</f>
        <v>-3.5646281536342514E-2</v>
      </c>
      <c r="G67" s="30">
        <f>IF(OR(1550863.02837="",2519.06108="",1786.10668=""),"-",(2519.06108-1786.10668)/1550863.02837*100)</f>
        <v>4.7261066038201661E-2</v>
      </c>
    </row>
    <row r="68" spans="1:7" s="33" customFormat="1" x14ac:dyDescent="0.2">
      <c r="A68" s="35" t="s">
        <v>71</v>
      </c>
      <c r="B68" s="36">
        <v>2280.43921</v>
      </c>
      <c r="C68" s="30" t="s">
        <v>277</v>
      </c>
      <c r="D68" s="30">
        <f>IF(885.95384="","-",885.95384/1550863.02837*100)</f>
        <v>5.7126504648909074E-2</v>
      </c>
      <c r="E68" s="30">
        <f>IF(2280.43921="","-",2280.43921/2037614.19121*100)</f>
        <v>0.11191712444080508</v>
      </c>
      <c r="F68" s="30">
        <f>IF(OR(1365113.41163="",699.2074="",885.95384=""),"-",(885.95384-699.2074)/1365113.41163*100)</f>
        <v>1.3679921273135635E-2</v>
      </c>
      <c r="G68" s="30">
        <f>IF(OR(1550863.02837="",2280.43921="",885.95384=""),"-",(2280.43921-885.95384)/1550863.02837*100)</f>
        <v>8.991673310219038E-2</v>
      </c>
    </row>
    <row r="69" spans="1:7" s="33" customFormat="1" x14ac:dyDescent="0.2">
      <c r="A69" s="114" t="s">
        <v>64</v>
      </c>
      <c r="B69" s="29">
        <v>2140.6856899999998</v>
      </c>
      <c r="C69" s="30">
        <f>IF(OR(2003.30328="",2140.68569=""),"-",2140.68569/2003.30328*100)</f>
        <v>106.85779389329406</v>
      </c>
      <c r="D69" s="30">
        <f>IF(2003.30328="","-",2003.30328/1550863.02837*100)</f>
        <v>0.12917345009543024</v>
      </c>
      <c r="E69" s="30">
        <f>IF(2140.68569="","-",2140.68569/2037614.19121*100)</f>
        <v>0.10505844036788892</v>
      </c>
      <c r="F69" s="30">
        <f>IF(OR(1365113.41163="",1708.98371="",2003.30328=""),"-",(2003.30328-1708.98371)/1365113.41163*100)</f>
        <v>2.1560081931110087E-2</v>
      </c>
      <c r="G69" s="30">
        <f>IF(OR(1550863.02837="",2140.68569="",2003.30328=""),"-",(2140.68569-2003.30328)/1550863.02837*100)</f>
        <v>8.858448972401671E-3</v>
      </c>
    </row>
    <row r="70" spans="1:7" s="33" customFormat="1" x14ac:dyDescent="0.2">
      <c r="A70" s="35" t="s">
        <v>82</v>
      </c>
      <c r="B70" s="36">
        <v>2068.31032</v>
      </c>
      <c r="C70" s="30">
        <f>IF(OR(1602.74254="",2068.31032=""),"-",2068.31032/1602.74254*100)</f>
        <v>129.04819510187829</v>
      </c>
      <c r="D70" s="30">
        <f>IF(1602.74254="","-",1602.74254/1550863.02837*100)</f>
        <v>0.1033452026826977</v>
      </c>
      <c r="E70" s="30">
        <f>IF(2068.31032="","-",2068.31032/2037614.19121*100)</f>
        <v>0.10150647403823643</v>
      </c>
      <c r="F70" s="30">
        <f>IF(OR(1365113.41163="",1486.35475="",1602.74254=""),"-",(1602.74254-1486.35475)/1365113.41163*100)</f>
        <v>8.5258696463195918E-3</v>
      </c>
      <c r="G70" s="30">
        <f>IF(OR(1550863.02837="",2068.31032="",1602.74254=""),"-",(2068.31032-1602.74254)/1550863.02837*100)</f>
        <v>3.001991610370161E-2</v>
      </c>
    </row>
    <row r="71" spans="1:7" s="33" customFormat="1" x14ac:dyDescent="0.2">
      <c r="A71" s="114" t="s">
        <v>73</v>
      </c>
      <c r="B71" s="29">
        <v>2035.1172799999999</v>
      </c>
      <c r="C71" s="30" t="s">
        <v>102</v>
      </c>
      <c r="D71" s="30">
        <f>IF(1080.73253="","-",1080.73253/1550863.02837*100)</f>
        <v>6.9685878780402666E-2</v>
      </c>
      <c r="E71" s="30">
        <f>IF(2035.11728="","-",2035.11728/2037614.19121*100)</f>
        <v>9.9877459078329386E-2</v>
      </c>
      <c r="F71" s="30">
        <f>IF(OR(1365113.41163="",1683.1502="",1080.73253=""),"-",(1080.73253-1683.1502)/1365113.41163*100)</f>
        <v>-4.4129496118618397E-2</v>
      </c>
      <c r="G71" s="30">
        <f>IF(OR(1550863.02837="",2035.11728="",1080.73253=""),"-",(2035.11728-1080.73253)/1550863.02837*100)</f>
        <v>6.1538945254442277E-2</v>
      </c>
    </row>
    <row r="72" spans="1:7" s="33" customFormat="1" x14ac:dyDescent="0.2">
      <c r="A72" s="114" t="s">
        <v>67</v>
      </c>
      <c r="B72" s="29">
        <v>1796.96568</v>
      </c>
      <c r="C72" s="30">
        <f>IF(OR(1544.88411="",1796.96568=""),"-",1796.96568/1544.88411*100)</f>
        <v>116.31718317045801</v>
      </c>
      <c r="D72" s="30">
        <f>IF(1544.88411="","-",1544.88411/1550863.02837*100)</f>
        <v>9.9614477986732064E-2</v>
      </c>
      <c r="E72" s="30">
        <f>IF(1796.96568="","-",1796.96568/2037614.19121*100)</f>
        <v>8.8189692030604894E-2</v>
      </c>
      <c r="F72" s="30">
        <f>IF(OR(1365113.41163="",1270.77275="",1544.88411=""),"-",(1544.88411-1270.77275)/1365113.41163*100)</f>
        <v>2.0079749980091394E-2</v>
      </c>
      <c r="G72" s="30">
        <f>IF(OR(1550863.02837="",1796.96568="",1544.88411=""),"-",(1796.96568-1544.88411)/1550863.02837*100)</f>
        <v>1.6254276837390648E-2</v>
      </c>
    </row>
    <row r="73" spans="1:7" s="33" customFormat="1" x14ac:dyDescent="0.2">
      <c r="A73" s="114" t="s">
        <v>62</v>
      </c>
      <c r="B73" s="29">
        <v>1616.2388599999999</v>
      </c>
      <c r="C73" s="30">
        <f>IF(OR(1727.81831="",1616.23886=""),"-",1616.23886/1727.81831*100)</f>
        <v>93.542176897060429</v>
      </c>
      <c r="D73" s="30">
        <f>IF(1727.81831="","-",1727.81831/1550863.02837*100)</f>
        <v>0.11141011671520631</v>
      </c>
      <c r="E73" s="30">
        <f>IF(1616.23886="","-",1616.23886/2037614.19121*100)</f>
        <v>7.9320161145924592E-2</v>
      </c>
      <c r="F73" s="30">
        <f>IF(OR(1365113.41163="",2660.48532="",1727.81831=""),"-",(1727.81831-2660.48532)/1365113.41163*100)</f>
        <v>-6.8321576951350729E-2</v>
      </c>
      <c r="G73" s="30">
        <f>IF(OR(1550863.02837="",1616.23886="",1727.81831=""),"-",(1616.23886-1727.81831)/1550863.02837*100)</f>
        <v>-7.1946682562465418E-3</v>
      </c>
    </row>
    <row r="74" spans="1:7" s="33" customFormat="1" x14ac:dyDescent="0.2">
      <c r="A74" s="35" t="s">
        <v>78</v>
      </c>
      <c r="B74" s="36">
        <v>1194.86177</v>
      </c>
      <c r="C74" s="30">
        <f>IF(OR(1079.21556="",1194.86177=""),"-",1194.86177/1079.21556*100)</f>
        <v>110.71576562517316</v>
      </c>
      <c r="D74" s="30">
        <f>IF(1079.21556="","-",1079.21556/1550863.02837*100)</f>
        <v>6.9588064210563169E-2</v>
      </c>
      <c r="E74" s="30">
        <f>IF(1194.86177="","-",1194.86177/2037614.19121*100)</f>
        <v>5.8640235975705148E-2</v>
      </c>
      <c r="F74" s="30">
        <f>IF(OR(1365113.41163="",1722.07421="",1079.21556=""),"-",(1079.21556-1722.07421)/1365113.41163*100)</f>
        <v>-4.7091959138574502E-2</v>
      </c>
      <c r="G74" s="30">
        <f>IF(OR(1550863.02837="",1194.86177="",1079.21556=""),"-",(1194.86177-1079.21556)/1550863.02837*100)</f>
        <v>7.4568938638989446E-3</v>
      </c>
    </row>
    <row r="75" spans="1:7" s="33" customFormat="1" x14ac:dyDescent="0.2">
      <c r="A75" s="35" t="s">
        <v>83</v>
      </c>
      <c r="B75" s="36">
        <v>1153.0605800000001</v>
      </c>
      <c r="C75" s="30">
        <f>IF(OR(1864.31522="",1153.06058=""),"-",1153.06058/1864.31522*100)</f>
        <v>61.849013923729061</v>
      </c>
      <c r="D75" s="30">
        <f>IF(1864.31522="","-",1864.31522/1550863.02837*100)</f>
        <v>0.12021146844666526</v>
      </c>
      <c r="E75" s="30">
        <f>IF(1153.06058="","-",1153.06058/2037614.19121*100)</f>
        <v>5.6588758803023255E-2</v>
      </c>
      <c r="F75" s="30">
        <f>IF(OR(1365113.41163="",1436.59076="",1864.31522=""),"-",(1864.31522-1436.59076)/1365113.41163*100)</f>
        <v>3.1332521998247737E-2</v>
      </c>
      <c r="G75" s="30">
        <f>IF(OR(1550863.02837="",1153.06058="",1864.31522=""),"-",(1153.06058-1864.31522)/1550863.02837*100)</f>
        <v>-4.5861860589168101E-2</v>
      </c>
    </row>
    <row r="76" spans="1:7" s="33" customFormat="1" x14ac:dyDescent="0.2">
      <c r="A76" s="114" t="s">
        <v>86</v>
      </c>
      <c r="B76" s="29">
        <v>1140.9019599999999</v>
      </c>
      <c r="C76" s="30">
        <f>IF(OR(1883.8009="",1140.90196=""),"-",1140.90196/1883.8009*100)</f>
        <v>60.563829224203047</v>
      </c>
      <c r="D76" s="30">
        <f>IF(1883.8009="","-",1883.8009/1550863.02837*100)</f>
        <v>0.12146790951486715</v>
      </c>
      <c r="E76" s="30">
        <f>IF(1140.90196="","-",1140.90196/2037614.19121*100)</f>
        <v>5.5992050159529766E-2</v>
      </c>
      <c r="F76" s="30">
        <f>IF(OR(1365113.41163="",760.74126="",1883.8009=""),"-",(1883.8009-760.74126)/1365113.41163*100)</f>
        <v>8.226859617905459E-2</v>
      </c>
      <c r="G76" s="30">
        <f>IF(OR(1550863.02837="",1140.90196="",1883.8009=""),"-",(1140.90196-1883.8009)/1550863.02837*100)</f>
        <v>-4.7902292234073524E-2</v>
      </c>
    </row>
    <row r="77" spans="1:7" s="33" customFormat="1" x14ac:dyDescent="0.2">
      <c r="A77" s="35" t="s">
        <v>88</v>
      </c>
      <c r="B77" s="36">
        <v>1049.9073599999999</v>
      </c>
      <c r="C77" s="30">
        <f>IF(OR(1016.9437="",1049.90736=""),"-",1049.90736/1016.9437*100)</f>
        <v>103.24144394620862</v>
      </c>
      <c r="D77" s="30">
        <f>IF(1016.9437="","-",1016.9437/1550863.02837*100)</f>
        <v>6.5572760546676781E-2</v>
      </c>
      <c r="E77" s="30">
        <f>IF(1049.90736="","-",1049.90736/2037614.19121*100)</f>
        <v>5.1526307802976748E-2</v>
      </c>
      <c r="F77" s="30">
        <f>IF(OR(1365113.41163="",483.34219="",1016.9437=""),"-",(1016.9437-483.34219)/1365113.41163*100)</f>
        <v>3.9088438034086737E-2</v>
      </c>
      <c r="G77" s="30">
        <f>IF(OR(1550863.02837="",1049.90736="",1016.9437=""),"-",(1049.90736-1016.9437)/1550863.02837*100)</f>
        <v>2.1255042771021249E-3</v>
      </c>
    </row>
    <row r="78" spans="1:7" s="33" customFormat="1" x14ac:dyDescent="0.2">
      <c r="A78" s="35" t="s">
        <v>123</v>
      </c>
      <c r="B78" s="36">
        <v>961.18962999999997</v>
      </c>
      <c r="C78" s="30">
        <f>IF(OR(952.29278="",961.18963=""),"-",961.18963/952.29278*100)</f>
        <v>100.93425574433105</v>
      </c>
      <c r="D78" s="30">
        <f>IF(952.29278="","-",952.29278/1550863.02837*100)</f>
        <v>6.1404054554120492E-2</v>
      </c>
      <c r="E78" s="30">
        <f>IF(961.18963="","-",961.18963/2037614.19121*100)</f>
        <v>4.7172307404730773E-2</v>
      </c>
      <c r="F78" s="30">
        <f>IF(OR(1365113.41163="",535.89416="",952.29278=""),"-",(952.29278-535.89416)/1365113.41163*100)</f>
        <v>3.0502859063028565E-2</v>
      </c>
      <c r="G78" s="30">
        <f>IF(OR(1550863.02837="",961.18963="",952.29278=""),"-",(961.18963-952.29278)/1550863.02837*100)</f>
        <v>5.7367090692405037E-4</v>
      </c>
    </row>
    <row r="79" spans="1:7" s="33" customFormat="1" x14ac:dyDescent="0.2">
      <c r="A79" s="114" t="s">
        <v>305</v>
      </c>
      <c r="B79" s="29">
        <v>949.50325999999995</v>
      </c>
      <c r="C79" s="30" t="s">
        <v>195</v>
      </c>
      <c r="D79" s="30">
        <f>IF(422.77016="","-",422.77016/1550863.02837*100)</f>
        <v>2.7260315854221062E-2</v>
      </c>
      <c r="E79" s="30">
        <f>IF(949.50326="","-",949.50326/2037614.19121*100)</f>
        <v>4.6598775376419752E-2</v>
      </c>
      <c r="F79" s="30">
        <f>IF(OR(1365113.41163="",287.16184="",422.77016=""),"-",(422.77016-287.16184)/1365113.41163*100)</f>
        <v>9.933850099537022E-3</v>
      </c>
      <c r="G79" s="30">
        <f>IF(OR(1550863.02837="",949.50326="",422.77016=""),"-",(949.50326-422.77016)/1550863.02837*100)</f>
        <v>3.3963869817285608E-2</v>
      </c>
    </row>
    <row r="80" spans="1:7" s="33" customFormat="1" x14ac:dyDescent="0.2">
      <c r="A80" s="114" t="s">
        <v>85</v>
      </c>
      <c r="B80" s="29">
        <v>775.43384000000003</v>
      </c>
      <c r="C80" s="30">
        <f>IF(OR(880.43344="",775.43384=""),"-",775.43384/880.43344*100)</f>
        <v>88.074101319913524</v>
      </c>
      <c r="D80" s="30">
        <f>IF(880.43344="","-",880.43344/1550863.02837*100)</f>
        <v>5.6770548004188348E-2</v>
      </c>
      <c r="E80" s="30">
        <f>IF(775.43384="","-",775.43384/2037614.19121*100)</f>
        <v>3.8055969738781746E-2</v>
      </c>
      <c r="F80" s="30">
        <f>IF(OR(1365113.41163="",514.76691="",880.43344=""),"-",(880.43344-514.76691)/1365113.41163*100)</f>
        <v>2.6786531205739126E-2</v>
      </c>
      <c r="G80" s="30">
        <f>IF(OR(1550863.02837="",775.43384="",880.43344=""),"-",(775.43384-880.43344)/1550863.02837*100)</f>
        <v>-6.7703980351093594E-3</v>
      </c>
    </row>
    <row r="81" spans="1:7" s="33" customFormat="1" x14ac:dyDescent="0.2">
      <c r="A81" s="114" t="s">
        <v>87</v>
      </c>
      <c r="B81" s="29">
        <v>772.18647999999996</v>
      </c>
      <c r="C81" s="30">
        <f>IF(OR(725.91858="",772.18648=""),"-",772.18648/725.91858*100)</f>
        <v>106.37370378369431</v>
      </c>
      <c r="D81" s="30">
        <f>IF(725.91858="","-",725.91858/1550863.02837*100)</f>
        <v>4.6807394767993185E-2</v>
      </c>
      <c r="E81" s="30">
        <f>IF(772.18648="","-",772.18648/2037614.19121*100)</f>
        <v>3.7896599038773432E-2</v>
      </c>
      <c r="F81" s="30">
        <f>IF(OR(1365113.41163="",350.29264="",725.91858=""),"-",(725.91858-350.29264)/1365113.41163*100)</f>
        <v>2.7516097695611069E-2</v>
      </c>
      <c r="G81" s="30">
        <f>IF(OR(1550863.02837="",772.18648="",725.91858=""),"-",(772.18648-725.91858)/1550863.02837*100)</f>
        <v>2.98336469137631E-3</v>
      </c>
    </row>
    <row r="82" spans="1:7" s="33" customFormat="1" x14ac:dyDescent="0.2">
      <c r="A82" s="114" t="s">
        <v>79</v>
      </c>
      <c r="B82" s="29">
        <v>753.20029</v>
      </c>
      <c r="C82" s="30" t="s">
        <v>277</v>
      </c>
      <c r="D82" s="30">
        <f>IF(287.09005="","-",287.09005/1550863.02837*100)</f>
        <v>1.8511631572115019E-2</v>
      </c>
      <c r="E82" s="30">
        <f>IF(753.20029="","-",753.20029/2037614.19121*100)</f>
        <v>3.6964813714451296E-2</v>
      </c>
      <c r="F82" s="30">
        <f>IF(OR(1365113.41163="",1096.66041="",287.09005=""),"-",(287.09005-1096.66041)/1365113.41163*100)</f>
        <v>-5.9304256562342367E-2</v>
      </c>
      <c r="G82" s="30">
        <f>IF(OR(1550863.02837="",753.20029="",287.09005=""),"-",(753.20029-287.09005)/1550863.02837*100)</f>
        <v>3.0054894047599725E-2</v>
      </c>
    </row>
    <row r="83" spans="1:7" s="33" customFormat="1" x14ac:dyDescent="0.2">
      <c r="A83" s="114" t="s">
        <v>38</v>
      </c>
      <c r="B83" s="29">
        <v>709.40540999999996</v>
      </c>
      <c r="C83" s="30">
        <f>IF(OR(600.71496="",709.40541=""),"-",709.40541/600.71496*100)</f>
        <v>118.09351476780267</v>
      </c>
      <c r="D83" s="30">
        <f>IF(600.71496="","-",600.71496/1550863.02837*100)</f>
        <v>3.8734236938472132E-2</v>
      </c>
      <c r="E83" s="30">
        <f>IF(709.40541="","-",709.40541/2037614.19121*100)</f>
        <v>3.4815492209481151E-2</v>
      </c>
      <c r="F83" s="30">
        <f>IF(OR(1365113.41163="",712.51292="",600.71496=""),"-",(600.71496-712.51292)/1365113.41163*100)</f>
        <v>-8.189646299534099E-3</v>
      </c>
      <c r="G83" s="30">
        <f>IF(OR(1550863.02837="",709.40541="",600.71496=""),"-",(709.40541-600.71496)/1550863.02837*100)</f>
        <v>7.0083848806581335E-3</v>
      </c>
    </row>
    <row r="84" spans="1:7" s="33" customFormat="1" x14ac:dyDescent="0.2">
      <c r="A84" s="114" t="s">
        <v>99</v>
      </c>
      <c r="B84" s="29">
        <v>642.22398999999996</v>
      </c>
      <c r="C84" s="30" t="s">
        <v>102</v>
      </c>
      <c r="D84" s="30">
        <f>IF(344.78847="","-",344.78847/1550863.02837*100)</f>
        <v>2.2232038786970262E-2</v>
      </c>
      <c r="E84" s="30">
        <f>IF(642.22399="","-",642.22399/2037614.19121*100)</f>
        <v>3.1518429385232485E-2</v>
      </c>
      <c r="F84" s="30">
        <f>IF(OR(1365113.41163="",197.60985="",344.78847=""),"-",(344.78847-197.60985)/1365113.41163*100)</f>
        <v>1.0781420704398682E-2</v>
      </c>
      <c r="G84" s="30">
        <f>IF(OR(1550863.02837="",642.22399="",344.78847=""),"-",(642.22399-344.78847)/1550863.02837*100)</f>
        <v>1.9178709825368196E-2</v>
      </c>
    </row>
    <row r="85" spans="1:7" s="33" customFormat="1" x14ac:dyDescent="0.2">
      <c r="A85" s="114" t="s">
        <v>57</v>
      </c>
      <c r="B85" s="29">
        <v>503.05727000000002</v>
      </c>
      <c r="C85" s="30">
        <f>IF(OR(1109.44967="",503.05727=""),"-",503.05727/1109.44967*100)</f>
        <v>45.342955485308316</v>
      </c>
      <c r="D85" s="30">
        <f>IF(1109.44967="","-",1109.44967/1550863.02837*100)</f>
        <v>7.1537566484260212E-2</v>
      </c>
      <c r="E85" s="30">
        <f>IF(503.05727="","-",503.05727/2037614.19121*100)</f>
        <v>2.4688543698317519E-2</v>
      </c>
      <c r="F85" s="30">
        <f>IF(OR(1365113.41163="",1516.20857="",1109.44967=""),"-",(1109.44967-1516.20857)/1365113.41163*100)</f>
        <v>-2.9796711140235126E-2</v>
      </c>
      <c r="G85" s="30">
        <f>IF(OR(1550863.02837="",503.05727="",1109.44967=""),"-",(503.05727-1109.44967)/1550863.02837*100)</f>
        <v>-3.9100319558029256E-2</v>
      </c>
    </row>
    <row r="86" spans="1:7" s="33" customFormat="1" x14ac:dyDescent="0.2">
      <c r="A86" s="35" t="s">
        <v>308</v>
      </c>
      <c r="B86" s="36">
        <v>462.93209000000002</v>
      </c>
      <c r="C86" s="30">
        <f>IF(OR(349.13877="",462.93209=""),"-",462.93209/349.13877*100)</f>
        <v>132.59257629853022</v>
      </c>
      <c r="D86" s="30">
        <f>IF(349.13877="","-",349.13877/1550863.02837*100)</f>
        <v>2.2512547118165204E-2</v>
      </c>
      <c r="E86" s="30">
        <f>IF(462.93209="","-",462.93209/2037614.19121*100)</f>
        <v>2.2719320075263918E-2</v>
      </c>
      <c r="F86" s="30">
        <f>IF(OR(1365113.41163="",248.25217="",349.13877=""),"-",(349.13877-248.25217)/1365113.41163*100)</f>
        <v>7.3903456768135752E-3</v>
      </c>
      <c r="G86" s="30">
        <f>IF(OR(1550863.02837="",462.93209="",349.13877=""),"-",(462.93209-349.13877)/1550863.02837*100)</f>
        <v>7.337419096230563E-3</v>
      </c>
    </row>
    <row r="87" spans="1:7" s="33" customFormat="1" x14ac:dyDescent="0.2">
      <c r="A87" s="35" t="s">
        <v>94</v>
      </c>
      <c r="B87" s="36">
        <v>450.35199</v>
      </c>
      <c r="C87" s="30">
        <f>IF(OR(343.92746="",450.35199=""),"-",450.35199/343.92746*100)</f>
        <v>130.94388857464304</v>
      </c>
      <c r="D87" s="30">
        <f>IF(343.92746="","-",343.92746/1550863.02837*100)</f>
        <v>2.2176520666784952E-2</v>
      </c>
      <c r="E87" s="30">
        <f>IF(450.35199="","-",450.35199/2037614.19121*100)</f>
        <v>2.2101926456085715E-2</v>
      </c>
      <c r="F87" s="30">
        <f>IF(OR(1365113.41163="",294.16995="",343.92746=""),"-",(343.92746-294.16995)/1365113.41163*100)</f>
        <v>3.6449359867168525E-3</v>
      </c>
      <c r="G87" s="30">
        <f>IF(OR(1550863.02837="",450.35199="",343.92746=""),"-",(450.35199-343.92746)/1550863.02837*100)</f>
        <v>6.8622778448626208E-3</v>
      </c>
    </row>
    <row r="88" spans="1:7" s="33" customFormat="1" x14ac:dyDescent="0.2">
      <c r="A88" s="114" t="s">
        <v>325</v>
      </c>
      <c r="B88" s="29">
        <v>438.13371999999998</v>
      </c>
      <c r="C88" s="30">
        <f>IF(OR(1153.092="",438.13372=""),"-",438.13372/1153.092*100)</f>
        <v>37.99642352908527</v>
      </c>
      <c r="D88" s="30">
        <f>IF(1153.092="","-",1153.092/1550863.02837*100)</f>
        <v>7.435163382622717E-2</v>
      </c>
      <c r="E88" s="30">
        <f>IF(438.13372="","-",438.13372/2037614.19121*100)</f>
        <v>2.1502290369298138E-2</v>
      </c>
      <c r="F88" s="30">
        <f>IF(OR(1365113.41163="",537.3987="",1153.092=""),"-",(1153.092-537.3987)/1365113.41163*100)</f>
        <v>4.5101988944994523E-2</v>
      </c>
      <c r="G88" s="30">
        <f>IF(OR(1550863.02837="",438.13372="",1153.092=""),"-",(438.13372-1153.092)/1550863.02837*100)</f>
        <v>-4.6100672136819267E-2</v>
      </c>
    </row>
    <row r="89" spans="1:7" x14ac:dyDescent="0.2">
      <c r="A89" s="35" t="s">
        <v>91</v>
      </c>
      <c r="B89" s="36">
        <v>435.54289999999997</v>
      </c>
      <c r="C89" s="30" t="s">
        <v>202</v>
      </c>
      <c r="D89" s="30">
        <f>IF(177.05382="","-",177.05382/1550863.02837*100)</f>
        <v>1.141647049166479E-2</v>
      </c>
      <c r="E89" s="30">
        <f>IF(435.5429="","-",435.5429/2037614.19121*100)</f>
        <v>2.1375140685556415E-2</v>
      </c>
      <c r="F89" s="30">
        <f>IF(OR(1365113.41163="",366.07941="",177.05382=""),"-",(177.05382-366.07941)/1365113.41163*100)</f>
        <v>-1.3846878097424584E-2</v>
      </c>
      <c r="G89" s="30">
        <f>IF(OR(1550863.02837="",435.5429="",177.05382=""),"-",(435.5429-177.05382)/1550863.02837*100)</f>
        <v>1.6667434536219432E-2</v>
      </c>
    </row>
    <row r="90" spans="1:7" x14ac:dyDescent="0.2">
      <c r="A90" s="114" t="s">
        <v>89</v>
      </c>
      <c r="B90" s="29">
        <v>414.21690999999998</v>
      </c>
      <c r="C90" s="30" t="s">
        <v>286</v>
      </c>
      <c r="D90" s="30">
        <f>IF(170.69036="","-",170.69036/1550863.02837*100)</f>
        <v>1.1006153146832077E-2</v>
      </c>
      <c r="E90" s="30">
        <f>IF(414.21691="","-",414.21691/2037614.19121*100)</f>
        <v>2.0328524987059733E-2</v>
      </c>
      <c r="F90" s="30">
        <f>IF(OR(1365113.41163="",331.69887="",170.69036=""),"-",(170.69036-331.69887)/1365113.41163*100)</f>
        <v>-1.1794515285565131E-2</v>
      </c>
      <c r="G90" s="30">
        <f>IF(OR(1550863.02837="",414.21691="",170.69036=""),"-",(414.21691-170.69036)/1550863.02837*100)</f>
        <v>1.5702647206436608E-2</v>
      </c>
    </row>
    <row r="91" spans="1:7" x14ac:dyDescent="0.2">
      <c r="A91" s="114" t="s">
        <v>135</v>
      </c>
      <c r="B91" s="29">
        <v>384.32056999999998</v>
      </c>
      <c r="C91" s="30">
        <f>IF(OR(418.68472="",384.32057=""),"-",384.32057/418.68472*100)</f>
        <v>91.792356310495393</v>
      </c>
      <c r="D91" s="30">
        <f>IF(418.68472="","-",418.68472/1550863.02837*100)</f>
        <v>2.6996885755929668E-2</v>
      </c>
      <c r="E91" s="30">
        <f>IF(384.32057="","-",384.32057/2037614.19121*100)</f>
        <v>1.8861302186542889E-2</v>
      </c>
      <c r="F91" s="30">
        <f>IF(OR(1365113.41163="",261.04345="",418.68472=""),"-",(418.68472-261.04345)/1365113.41163*100)</f>
        <v>1.1547851530648287E-2</v>
      </c>
      <c r="G91" s="30">
        <f>IF(OR(1550863.02837="",384.32057="",418.68472=""),"-",(384.32057-418.68472)/1550863.02837*100)</f>
        <v>-2.2158081901093307E-3</v>
      </c>
    </row>
    <row r="92" spans="1:7" x14ac:dyDescent="0.2">
      <c r="A92" s="35" t="s">
        <v>84</v>
      </c>
      <c r="B92" s="36">
        <v>348.96257000000003</v>
      </c>
      <c r="C92" s="30">
        <f>IF(OR(771.7356="",348.96257=""),"-",348.96257/771.7356*100)</f>
        <v>45.217891982694596</v>
      </c>
      <c r="D92" s="30">
        <f>IF(771.7356="","-",771.7356/1550863.02837*100)</f>
        <v>4.9761686614653231E-2</v>
      </c>
      <c r="E92" s="30">
        <f>IF(348.96257="","-",348.96257/2037614.19121*100)</f>
        <v>1.712603747585675E-2</v>
      </c>
      <c r="F92" s="30">
        <f>IF(OR(1365113.41163="",1321.16369="",771.7356=""),"-",(771.7356-1321.16369)/1365113.41163*100)</f>
        <v>-4.0247798118396697E-2</v>
      </c>
      <c r="G92" s="30">
        <f>IF(OR(1550863.02837="",348.96257="",771.7356=""),"-",(348.96257-771.7356)/1550863.02837*100)</f>
        <v>-2.7260500912472337E-2</v>
      </c>
    </row>
    <row r="93" spans="1:7" x14ac:dyDescent="0.2">
      <c r="A93" s="114" t="s">
        <v>36</v>
      </c>
      <c r="B93" s="29">
        <v>345.01398999999998</v>
      </c>
      <c r="C93" s="30">
        <f>IF(OR(731.96517="",345.01399=""),"-",345.01399/731.96517*100)</f>
        <v>47.135301533541551</v>
      </c>
      <c r="D93" s="30">
        <f>IF(731.96517="","-",731.96517/1550863.02837*100)</f>
        <v>4.7197280263319943E-2</v>
      </c>
      <c r="E93" s="30">
        <f>IF(345.01399="","-",345.01399/2037614.19121*100)</f>
        <v>1.6932252999039023E-2</v>
      </c>
      <c r="F93" s="30">
        <f>IF(OR(1365113.41163="",1052.80437="",731.96517=""),"-",(731.96517-1052.80437)/1365113.41163*100)</f>
        <v>-2.3502750560256039E-2</v>
      </c>
      <c r="G93" s="30">
        <f>IF(OR(1550863.02837="",345.01399="",731.96517=""),"-",(345.01399-731.96517)/1550863.02837*100)</f>
        <v>-2.4950699895573393E-2</v>
      </c>
    </row>
    <row r="94" spans="1:7" x14ac:dyDescent="0.2">
      <c r="A94" s="35" t="s">
        <v>66</v>
      </c>
      <c r="B94" s="36">
        <v>335.38600000000002</v>
      </c>
      <c r="C94" s="30">
        <f>IF(OR(450.10113="",335.386=""),"-",335.386/450.10113*100)</f>
        <v>74.513476560256592</v>
      </c>
      <c r="D94" s="30">
        <f>IF(450.10113="","-",450.10113/1550863.02837*100)</f>
        <v>2.9022623001920989E-2</v>
      </c>
      <c r="E94" s="30">
        <f>IF(335.386="","-",335.386/2037614.19121*100)</f>
        <v>1.6459740094410962E-2</v>
      </c>
      <c r="F94" s="30">
        <f>IF(OR(1365113.41163="",328.37703="",450.10113=""),"-",(450.10113-328.37703)/1365113.41163*100)</f>
        <v>8.916775629261204E-3</v>
      </c>
      <c r="G94" s="30">
        <f>IF(OR(1550863.02837="",335.386="",450.10113=""),"-",(335.386-450.10113)/1550863.02837*100)</f>
        <v>-7.3968576142129563E-3</v>
      </c>
    </row>
    <row r="95" spans="1:7" x14ac:dyDescent="0.2">
      <c r="A95" s="35" t="s">
        <v>63</v>
      </c>
      <c r="B95" s="36">
        <v>271.66714000000002</v>
      </c>
      <c r="C95" s="30">
        <f>IF(OR(332.31382="",271.66714=""),"-",271.66714/332.31382*100)</f>
        <v>81.75017819000125</v>
      </c>
      <c r="D95" s="30">
        <f>IF(332.31382="","-",332.31382/1550863.02837*100)</f>
        <v>2.1427670524151385E-2</v>
      </c>
      <c r="E95" s="30">
        <f>IF(271.66714="","-",271.66714/2037614.19121*100)</f>
        <v>1.3332609341451212E-2</v>
      </c>
      <c r="F95" s="30">
        <f>IF(OR(1365113.41163="",214.53702="",332.31382=""),"-",(332.31382-214.53702)/1365113.41163*100)</f>
        <v>8.6276201666914843E-3</v>
      </c>
      <c r="G95" s="30">
        <f>IF(OR(1550863.02837="",271.66714="",332.31382=""),"-",(271.66714-332.31382)/1550863.02837*100)</f>
        <v>-3.9105116886912535E-3</v>
      </c>
    </row>
    <row r="96" spans="1:7" x14ac:dyDescent="0.2">
      <c r="A96" s="114" t="s">
        <v>90</v>
      </c>
      <c r="B96" s="29">
        <v>228.77047999999999</v>
      </c>
      <c r="C96" s="30">
        <f>IF(OR(1110.23109="",228.77048=""),"-",228.77048/1110.23109*100)</f>
        <v>20.605663276822845</v>
      </c>
      <c r="D96" s="30">
        <f>IF(1110.23109="","-",1110.23109/1550863.02837*100)</f>
        <v>7.15879526231845E-2</v>
      </c>
      <c r="E96" s="30">
        <f>IF(228.77048="","-",228.77048/2037614.19121*100)</f>
        <v>1.1227369783096613E-2</v>
      </c>
      <c r="F96" s="30">
        <f>IF(OR(1365113.41163="",180.33406="",1110.23109=""),"-",(1110.23109-180.33406)/1365113.41163*100)</f>
        <v>6.8118664872661813E-2</v>
      </c>
      <c r="G96" s="30">
        <f>IF(OR(1550863.02837="",228.77048="",1110.23109=""),"-",(228.77048-1110.23109)/1550863.02837*100)</f>
        <v>-5.6836780158879635E-2</v>
      </c>
    </row>
    <row r="97" spans="1:7" x14ac:dyDescent="0.2">
      <c r="A97" s="114" t="s">
        <v>296</v>
      </c>
      <c r="B97" s="29">
        <v>217.15460999999999</v>
      </c>
      <c r="C97" s="30" t="s">
        <v>354</v>
      </c>
      <c r="D97" s="30">
        <f>IF(13.50966="","-",13.50966/1550863.02837*100)</f>
        <v>8.7110594248926204E-4</v>
      </c>
      <c r="E97" s="30">
        <f>IF(217.15461="","-",217.15461/2037614.19121*100)</f>
        <v>1.0657297683574077E-2</v>
      </c>
      <c r="F97" s="30">
        <f>IF(OR(1365113.41163="",1.30483="",13.50966=""),"-",(13.50966-1.30483)/1365113.41163*100)</f>
        <v>8.9405245718206998E-4</v>
      </c>
      <c r="G97" s="30">
        <f>IF(OR(1550863.02837="",217.15461="",13.50966=""),"-",(217.15461-13.50966)/1550863.02837*100)</f>
        <v>1.3131072588275993E-2</v>
      </c>
    </row>
    <row r="98" spans="1:7" x14ac:dyDescent="0.2">
      <c r="A98" s="35" t="s">
        <v>206</v>
      </c>
      <c r="B98" s="36">
        <v>214.26080999999999</v>
      </c>
      <c r="C98" s="30">
        <f>IF(OR(385.90234="",214.26081=""),"-",214.26081/385.90234*100)</f>
        <v>55.52202922635815</v>
      </c>
      <c r="D98" s="30">
        <f>IF(385.90234="","-",385.90234/1550863.02837*100)</f>
        <v>2.4883070454364626E-2</v>
      </c>
      <c r="E98" s="30">
        <f>IF(214.26081="","-",214.26081/2037614.19121*100)</f>
        <v>1.0515278649132547E-2</v>
      </c>
      <c r="F98" s="30">
        <f>IF(OR(1365113.41163="",36.35014="",385.90234=""),"-",(385.90234-36.35014)/1365113.41163*100)</f>
        <v>2.5606092286692916E-2</v>
      </c>
      <c r="G98" s="30">
        <f>IF(OR(1550863.02837="",214.26081="",385.90234=""),"-",(214.26081-385.90234)/1550863.02837*100)</f>
        <v>-1.106748480427701E-2</v>
      </c>
    </row>
    <row r="99" spans="1:7" x14ac:dyDescent="0.2">
      <c r="A99" s="35" t="s">
        <v>104</v>
      </c>
      <c r="B99" s="36">
        <v>187.71200999999999</v>
      </c>
      <c r="C99" s="30" t="str">
        <f>IF(OR(""="",187.71201=""),"-",187.71201/""*100)</f>
        <v>-</v>
      </c>
      <c r="D99" s="30" t="str">
        <f>IF(""="","-",""/1550863.02837*100)</f>
        <v>-</v>
      </c>
      <c r="E99" s="30">
        <f>IF(187.71201="","-",187.71201/2037614.19121*100)</f>
        <v>9.2123430828939534E-3</v>
      </c>
      <c r="F99" s="30" t="str">
        <f>IF(OR(1365113.41163="",75.38107="",""=""),"-",(""-75.38107)/1365113.41163*100)</f>
        <v>-</v>
      </c>
      <c r="G99" s="30" t="str">
        <f>IF(OR(1550863.02837="",187.71201="",""=""),"-",(187.71201-"")/1550863.02837*100)</f>
        <v>-</v>
      </c>
    </row>
    <row r="100" spans="1:7" x14ac:dyDescent="0.2">
      <c r="A100" s="35" t="s">
        <v>126</v>
      </c>
      <c r="B100" s="36">
        <v>184.33590000000001</v>
      </c>
      <c r="C100" s="30" t="s">
        <v>204</v>
      </c>
      <c r="D100" s="30">
        <f>IF(78.65367="","-",78.65367/1550863.02837*100)</f>
        <v>5.0716064901403443E-3</v>
      </c>
      <c r="E100" s="30">
        <f>IF(184.3359="","-",184.3359/2037614.19121*100)</f>
        <v>9.0466537186087957E-3</v>
      </c>
      <c r="F100" s="30">
        <f>IF(OR(1365113.41163="",108.26423="",78.65367=""),"-",(78.65367-108.26423)/1365113.41163*100)</f>
        <v>-2.1690915749368986E-3</v>
      </c>
      <c r="G100" s="30">
        <f>IF(OR(1550863.02837="",184.3359="",78.65367=""),"-",(184.3359-78.65367)/1550863.02837*100)</f>
        <v>6.8144141724156629E-3</v>
      </c>
    </row>
    <row r="101" spans="1:7" x14ac:dyDescent="0.2">
      <c r="A101" s="114" t="s">
        <v>37</v>
      </c>
      <c r="B101" s="29">
        <v>175.60234</v>
      </c>
      <c r="C101" s="30">
        <f>IF(OR(596.95037="",175.60234=""),"-",175.60234/596.95037*100)</f>
        <v>29.41657277136791</v>
      </c>
      <c r="D101" s="30">
        <f>IF(596.95037="","-",596.95037/1550863.02837*100)</f>
        <v>3.8491495320989846E-2</v>
      </c>
      <c r="E101" s="30">
        <f>IF(175.60234="","-",175.60234/2037614.19121*100)</f>
        <v>8.6180367587507696E-3</v>
      </c>
      <c r="F101" s="30">
        <f>IF(OR(1365113.41163="",751.77431="",596.95037=""),"-",(596.95037-751.77431)/1365113.41163*100)</f>
        <v>-1.1341470875678675E-2</v>
      </c>
      <c r="G101" s="30">
        <f>IF(OR(1550863.02837="",175.60234="",596.95037=""),"-",(175.60234-596.95037)/1550863.02837*100)</f>
        <v>-2.7168616589103196E-2</v>
      </c>
    </row>
    <row r="102" spans="1:7" x14ac:dyDescent="0.2">
      <c r="A102" s="35" t="s">
        <v>95</v>
      </c>
      <c r="B102" s="36">
        <v>173.00308999999999</v>
      </c>
      <c r="C102" s="30">
        <f>IF(OR(341.14878="",173.00309=""),"-",173.00309/341.14878*100)</f>
        <v>50.711918125575593</v>
      </c>
      <c r="D102" s="30">
        <f>IF(341.14878="","-",341.14878/1550863.02837*100)</f>
        <v>2.1997350749831002E-2</v>
      </c>
      <c r="E102" s="30">
        <f>IF(173.00309="","-",173.00309/2037614.19121*100)</f>
        <v>8.4904733558645498E-3</v>
      </c>
      <c r="F102" s="30">
        <f>IF(OR(1365113.41163="",157.47="",341.14878=""),"-",(341.14878-157.47)/1365113.41163*100)</f>
        <v>1.3455202947620313E-2</v>
      </c>
      <c r="G102" s="30">
        <f>IF(OR(1550863.02837="",173.00309="",341.14878=""),"-",(173.00309-341.14878)/1550863.02837*100)</f>
        <v>-1.0842072247781017E-2</v>
      </c>
    </row>
    <row r="103" spans="1:7" x14ac:dyDescent="0.2">
      <c r="A103" s="35" t="s">
        <v>59</v>
      </c>
      <c r="B103" s="36">
        <v>122.11687999999999</v>
      </c>
      <c r="C103" s="30" t="s">
        <v>355</v>
      </c>
      <c r="D103" s="30">
        <f>IF(1.01171="","-",1.01171/1550863.02837*100)</f>
        <v>6.5235290383015669E-5</v>
      </c>
      <c r="E103" s="30">
        <f>IF(122.11688="","-",122.11688/2037614.19121*100)</f>
        <v>5.993130619466441E-3</v>
      </c>
      <c r="F103" s="30">
        <f>IF(OR(1365113.41163="",3.72133="",1.01171=""),"-",(1.01171-3.72133)/1365113.41163*100)</f>
        <v>-1.9849046803844712E-4</v>
      </c>
      <c r="G103" s="30">
        <f>IF(OR(1550863.02837="",122.11688="",1.01171=""),"-",(122.11688-1.01171)/1550863.02837*100)</f>
        <v>7.8088888434773573E-3</v>
      </c>
    </row>
    <row r="104" spans="1:7" x14ac:dyDescent="0.2">
      <c r="A104" s="114" t="s">
        <v>119</v>
      </c>
      <c r="B104" s="29">
        <v>121.71702999999999</v>
      </c>
      <c r="C104" s="30">
        <f>IF(OR(176.79672="",121.71703=""),"-",121.71703/176.79672*100)</f>
        <v>68.845751210769066</v>
      </c>
      <c r="D104" s="30">
        <f>IF(176.79672="","-",176.79672/1550863.02837*100)</f>
        <v>1.139989262532219E-2</v>
      </c>
      <c r="E104" s="30">
        <f>IF(121.71703="","-",121.71703/2037614.19121*100)</f>
        <v>5.973507179380241E-3</v>
      </c>
      <c r="F104" s="30">
        <f>IF(OR(1365113.41163="",59.30321="",176.79672=""),"-",(176.79672-59.30321)/1365113.41163*100)</f>
        <v>8.6068680447368862E-3</v>
      </c>
      <c r="G104" s="30">
        <f>IF(OR(1550863.02837="",121.71703="",176.79672=""),"-",(121.71703-176.79672)/1550863.02837*100)</f>
        <v>-3.5515509101980646E-3</v>
      </c>
    </row>
    <row r="105" spans="1:7" x14ac:dyDescent="0.2">
      <c r="A105" s="114" t="s">
        <v>205</v>
      </c>
      <c r="B105" s="29">
        <v>101.88999</v>
      </c>
      <c r="C105" s="30" t="s">
        <v>356</v>
      </c>
      <c r="D105" s="30">
        <f>IF(7.35358="","-",7.35358/1550863.02837*100)</f>
        <v>4.7416050711640323E-4</v>
      </c>
      <c r="E105" s="30">
        <f>IF(101.88999="","-",101.88999/2037614.19121*100)</f>
        <v>5.0004554561673175E-3</v>
      </c>
      <c r="F105" s="30">
        <f>IF(OR(1365113.41163="",1.12235="",7.35358=""),"-",(7.35358-1.12235)/1365113.41163*100)</f>
        <v>4.5646244091614792E-4</v>
      </c>
      <c r="G105" s="30">
        <f>IF(OR(1550863.02837="",101.88999="",7.35358=""),"-",(101.88999-7.35358)/1550863.02837*100)</f>
        <v>6.0957291695424836E-3</v>
      </c>
    </row>
    <row r="106" spans="1:7" x14ac:dyDescent="0.2">
      <c r="A106" s="35" t="s">
        <v>98</v>
      </c>
      <c r="B106" s="36">
        <v>88.73</v>
      </c>
      <c r="C106" s="30" t="str">
        <f>IF(OR(""="",88.73=""),"-",88.73/""*100)</f>
        <v>-</v>
      </c>
      <c r="D106" s="30" t="str">
        <f>IF(""="","-",""/1550863.02837*100)</f>
        <v>-</v>
      </c>
      <c r="E106" s="30">
        <f>IF(88.73="","-",88.73/2037614.19121*100)</f>
        <v>4.3546025730861896E-3</v>
      </c>
      <c r="F106" s="30" t="str">
        <f>IF(OR(1365113.41163="",""="",""=""),"-",(""-"")/1365113.41163*100)</f>
        <v>-</v>
      </c>
      <c r="G106" s="30" t="str">
        <f>IF(OR(1550863.02837="",88.73="",""=""),"-",(88.73-"")/1550863.02837*100)</f>
        <v>-</v>
      </c>
    </row>
    <row r="107" spans="1:7" x14ac:dyDescent="0.2">
      <c r="A107" s="35" t="s">
        <v>294</v>
      </c>
      <c r="B107" s="36">
        <v>88.571899999999999</v>
      </c>
      <c r="C107" s="30" t="s">
        <v>357</v>
      </c>
      <c r="D107" s="30">
        <f>IF(4.87296="","-",4.87296/1550863.02837*100)</f>
        <v>3.1420956659993475E-4</v>
      </c>
      <c r="E107" s="30">
        <f>IF(88.5719="","-",88.5719/2037614.19121*100)</f>
        <v>4.3468434987392387E-3</v>
      </c>
      <c r="F107" s="30">
        <f>IF(OR(1365113.41163="",76.84242="",4.87296=""),"-",(4.87296-76.84242)/1365113.41163*100)</f>
        <v>-5.2720498814868124E-3</v>
      </c>
      <c r="G107" s="30">
        <f>IF(OR(1550863.02837="",88.5719="",4.87296=""),"-",(88.5719-4.87296)/1550863.02837*100)</f>
        <v>5.3969266446418484E-3</v>
      </c>
    </row>
    <row r="108" spans="1:7" x14ac:dyDescent="0.2">
      <c r="A108" s="115" t="s">
        <v>127</v>
      </c>
      <c r="B108" s="34">
        <v>79.425839999999994</v>
      </c>
      <c r="C108" s="38">
        <f>IF(OR(149.13327="",79.42584=""),"-",79.42584/149.13327*100)</f>
        <v>53.258297092258481</v>
      </c>
      <c r="D108" s="38">
        <f>IF(149.13327="","-",149.13327/1550863.02837*100)</f>
        <v>9.6161470917740053E-3</v>
      </c>
      <c r="E108" s="38">
        <f>IF(79.42584="","-",79.42584/2037614.19121*100)</f>
        <v>3.8979822746932481E-3</v>
      </c>
      <c r="F108" s="38">
        <f>IF(OR(1365113.41163="",65.73616="",149.13327=""),"-",(149.13327-65.73616)/1365113.41163*100)</f>
        <v>6.1091708051143187E-3</v>
      </c>
      <c r="G108" s="38">
        <f>IF(OR(1550863.02837="",79.42584="",149.13327=""),"-",(79.42584-149.13327)/1550863.02837*100)</f>
        <v>-4.4947509048084309E-3</v>
      </c>
    </row>
    <row r="109" spans="1:7" x14ac:dyDescent="0.2">
      <c r="A109" s="39" t="s">
        <v>295</v>
      </c>
      <c r="B109" s="40">
        <v>76.003200000000007</v>
      </c>
      <c r="C109" s="41" t="s">
        <v>358</v>
      </c>
      <c r="D109" s="41">
        <f>IF(0.49901="","-",0.49901/1550863.02837*100)</f>
        <v>3.2176278038201307E-5</v>
      </c>
      <c r="E109" s="41">
        <f>IF(76.0032="","-",76.0032/2037614.19121*100)</f>
        <v>3.7300093574076892E-3</v>
      </c>
      <c r="F109" s="41">
        <f>IF(OR(1365113.41163="",0.14802="",0.49901=""),"-",(0.49901-0.14802)/1365113.41163*100)</f>
        <v>2.5711416869086646E-5</v>
      </c>
      <c r="G109" s="41">
        <f>IF(OR(1550863.02837="",76.0032="",0.49901=""),"-",(76.0032-0.49901)/1550863.02837*100)</f>
        <v>4.8685273050423413E-3</v>
      </c>
    </row>
    <row r="110" spans="1:7" x14ac:dyDescent="0.2">
      <c r="A110" s="42" t="s">
        <v>283</v>
      </c>
      <c r="B110" s="43"/>
      <c r="C110" s="43"/>
      <c r="D110" s="43"/>
      <c r="E110" s="43"/>
      <c r="F110" s="33"/>
      <c r="G110" s="33"/>
    </row>
    <row r="111" spans="1:7" ht="13.5" x14ac:dyDescent="0.2">
      <c r="A111" s="44" t="s">
        <v>386</v>
      </c>
      <c r="B111" s="44"/>
      <c r="C111" s="44"/>
      <c r="D111" s="44"/>
      <c r="E111" s="44"/>
      <c r="F111" s="33"/>
      <c r="G111" s="33"/>
    </row>
    <row r="112" spans="1:7" x14ac:dyDescent="0.2">
      <c r="A112" s="33"/>
      <c r="B112" s="33"/>
      <c r="C112" s="33"/>
      <c r="D112" s="33"/>
      <c r="E112" s="33"/>
      <c r="F112" s="33"/>
      <c r="G112" s="33"/>
    </row>
  </sheetData>
  <mergeCells count="10">
    <mergeCell ref="A111:E11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G125"/>
  <sheetViews>
    <sheetView workbookViewId="0">
      <selection activeCell="A2" sqref="A2:D2"/>
    </sheetView>
  </sheetViews>
  <sheetFormatPr defaultRowHeight="12" x14ac:dyDescent="0.2"/>
  <cols>
    <col min="1" max="1" width="45.375" style="3" customWidth="1"/>
    <col min="2" max="2" width="14.625" style="3" customWidth="1"/>
    <col min="3" max="3" width="14.125" style="3" customWidth="1"/>
    <col min="4" max="4" width="15.25" style="3" customWidth="1"/>
    <col min="5" max="16384" width="9" style="3"/>
  </cols>
  <sheetData>
    <row r="2" spans="1:5" x14ac:dyDescent="0.2">
      <c r="A2" s="45" t="s">
        <v>394</v>
      </c>
      <c r="B2" s="45"/>
      <c r="C2" s="45"/>
      <c r="D2" s="45"/>
    </row>
    <row r="3" spans="1:5" x14ac:dyDescent="0.2">
      <c r="A3" s="46"/>
    </row>
    <row r="4" spans="1:5" ht="21.75" customHeight="1" x14ac:dyDescent="0.2">
      <c r="A4" s="47"/>
      <c r="B4" s="48" t="s">
        <v>342</v>
      </c>
      <c r="C4" s="49"/>
      <c r="D4" s="50" t="s">
        <v>362</v>
      </c>
      <c r="E4" s="18"/>
    </row>
    <row r="5" spans="1:5" ht="31.5" customHeight="1" x14ac:dyDescent="0.2">
      <c r="A5" s="51"/>
      <c r="B5" s="52" t="s">
        <v>315</v>
      </c>
      <c r="C5" s="53" t="s">
        <v>316</v>
      </c>
      <c r="D5" s="54"/>
      <c r="E5" s="18"/>
    </row>
    <row r="6" spans="1:5" ht="16.5" customHeight="1" x14ac:dyDescent="0.2">
      <c r="A6" s="90" t="s">
        <v>201</v>
      </c>
      <c r="B6" s="21">
        <v>-866103.63133999996</v>
      </c>
      <c r="C6" s="21">
        <v>-974849.42989000003</v>
      </c>
      <c r="D6" s="21">
        <f>IF(-866103.63134="","-",-974849.42989/-866103.63134*100)</f>
        <v>112.55574905993097</v>
      </c>
    </row>
    <row r="7" spans="1:5" x14ac:dyDescent="0.2">
      <c r="A7" s="93" t="s">
        <v>125</v>
      </c>
      <c r="B7" s="109"/>
      <c r="C7" s="109"/>
      <c r="D7" s="109"/>
    </row>
    <row r="8" spans="1:5" x14ac:dyDescent="0.2">
      <c r="A8" s="25" t="s">
        <v>327</v>
      </c>
      <c r="B8" s="27">
        <v>-291606.38780999999</v>
      </c>
      <c r="C8" s="27">
        <v>-184853.14298</v>
      </c>
      <c r="D8" s="27">
        <f>IF(-291606.38781="","-",-184853.14298/-291606.38781*100)</f>
        <v>63.391321557895196</v>
      </c>
    </row>
    <row r="9" spans="1:5" x14ac:dyDescent="0.2">
      <c r="A9" s="110" t="s">
        <v>4</v>
      </c>
      <c r="B9" s="30">
        <v>-59714.718580000001</v>
      </c>
      <c r="C9" s="30">
        <v>-76995.959140000006</v>
      </c>
      <c r="D9" s="30">
        <f>IF(OR(-59714.71858="",-76995.95914="",-59714.71858=0),"-",-76995.95914/-59714.71858*100)</f>
        <v>128.93966675376402</v>
      </c>
    </row>
    <row r="10" spans="1:5" x14ac:dyDescent="0.2">
      <c r="A10" s="110" t="s">
        <v>300</v>
      </c>
      <c r="B10" s="30">
        <v>-40034.353150000003</v>
      </c>
      <c r="C10" s="30">
        <v>-45128.239399999999</v>
      </c>
      <c r="D10" s="30">
        <f>IF(OR(-40034.35315="",-45128.2394="",-40034.35315=0),"-",-45128.2394/-40034.35315*100)</f>
        <v>112.72378806999657</v>
      </c>
    </row>
    <row r="11" spans="1:5" x14ac:dyDescent="0.2">
      <c r="A11" s="110" t="s">
        <v>41</v>
      </c>
      <c r="B11" s="99">
        <v>-22378.103579999999</v>
      </c>
      <c r="C11" s="99">
        <v>-36544.74179</v>
      </c>
      <c r="D11" s="30" t="s">
        <v>101</v>
      </c>
    </row>
    <row r="12" spans="1:5" x14ac:dyDescent="0.2">
      <c r="A12" s="110" t="s">
        <v>5</v>
      </c>
      <c r="B12" s="30">
        <v>-32291.935420000002</v>
      </c>
      <c r="C12" s="30">
        <v>-36439.04421</v>
      </c>
      <c r="D12" s="30">
        <f>IF(OR(-32291.93542="",-36439.04421="",-32291.93542=0),"-",-36439.04421/-32291.93542*100)</f>
        <v>112.84255259420432</v>
      </c>
    </row>
    <row r="13" spans="1:5" x14ac:dyDescent="0.2">
      <c r="A13" s="110" t="s">
        <v>39</v>
      </c>
      <c r="B13" s="30">
        <v>-7530.4249</v>
      </c>
      <c r="C13" s="30">
        <v>-16503.282910000002</v>
      </c>
      <c r="D13" s="30" t="s">
        <v>195</v>
      </c>
    </row>
    <row r="14" spans="1:5" x14ac:dyDescent="0.2">
      <c r="A14" s="110" t="s">
        <v>7</v>
      </c>
      <c r="B14" s="30">
        <v>-15991.830910000001</v>
      </c>
      <c r="C14" s="30">
        <v>-15017.004629999999</v>
      </c>
      <c r="D14" s="30">
        <f>IF(OR(-15991.83091="",-15017.00463="",-15991.83091=0),"-",-15017.00463/-15991.83091*100)</f>
        <v>93.904223440791739</v>
      </c>
    </row>
    <row r="15" spans="1:5" x14ac:dyDescent="0.2">
      <c r="A15" s="110" t="s">
        <v>9</v>
      </c>
      <c r="B15" s="30">
        <v>-6221.8960500000003</v>
      </c>
      <c r="C15" s="30">
        <v>-9487.0859199999995</v>
      </c>
      <c r="D15" s="30">
        <f>IF(OR(-6221.89605="",-9487.08592="",-6221.89605=0),"-",-9487.08592/-6221.89605*100)</f>
        <v>152.47901674602872</v>
      </c>
    </row>
    <row r="16" spans="1:5" x14ac:dyDescent="0.2">
      <c r="A16" s="110" t="s">
        <v>43</v>
      </c>
      <c r="B16" s="30">
        <v>-3777.3602999999998</v>
      </c>
      <c r="C16" s="30">
        <v>-8428.9581699999999</v>
      </c>
      <c r="D16" s="30" t="s">
        <v>195</v>
      </c>
    </row>
    <row r="17" spans="1:4" x14ac:dyDescent="0.2">
      <c r="A17" s="110" t="s">
        <v>51</v>
      </c>
      <c r="B17" s="30">
        <v>-7234.3444399999998</v>
      </c>
      <c r="C17" s="30">
        <v>-7650.5075900000002</v>
      </c>
      <c r="D17" s="30">
        <f>IF(OR(-7234.34444="",-7650.50759="",-7234.34444=0),"-",-7650.50759/-7234.34444*100)</f>
        <v>105.75260347985311</v>
      </c>
    </row>
    <row r="18" spans="1:4" x14ac:dyDescent="0.2">
      <c r="A18" s="110" t="s">
        <v>40</v>
      </c>
      <c r="B18" s="30">
        <v>-5516.8348100000003</v>
      </c>
      <c r="C18" s="30">
        <v>-6896.0320899999997</v>
      </c>
      <c r="D18" s="30">
        <f>IF(OR(-5516.83481="",-6896.03209="",-5516.83481=0),"-",-6896.03209/-5516.83481*100)</f>
        <v>124.99979295192998</v>
      </c>
    </row>
    <row r="19" spans="1:4" x14ac:dyDescent="0.2">
      <c r="A19" s="110" t="s">
        <v>50</v>
      </c>
      <c r="B19" s="30">
        <v>1905.2349200000001</v>
      </c>
      <c r="C19" s="30">
        <v>-6804.1083699999999</v>
      </c>
      <c r="D19" s="30" t="s">
        <v>21</v>
      </c>
    </row>
    <row r="20" spans="1:4" x14ac:dyDescent="0.2">
      <c r="A20" s="110" t="s">
        <v>49</v>
      </c>
      <c r="B20" s="30">
        <v>-5988.1300099999999</v>
      </c>
      <c r="C20" s="30">
        <v>-6227.2566999999999</v>
      </c>
      <c r="D20" s="30">
        <f>IF(OR(-5988.13001="",-6227.2567="",-5988.13001=0),"-",-6227.2567/-5988.13001*100)</f>
        <v>103.99334499419126</v>
      </c>
    </row>
    <row r="21" spans="1:4" x14ac:dyDescent="0.2">
      <c r="A21" s="110" t="s">
        <v>317</v>
      </c>
      <c r="B21" s="30">
        <v>-6267.5788000000002</v>
      </c>
      <c r="C21" s="30">
        <v>-5697.2565100000002</v>
      </c>
      <c r="D21" s="30">
        <f>IF(OR(-6267.5788="",-5697.25651="",-6267.5788=0),"-",-5697.25651/-6267.5788*100)</f>
        <v>90.900436864072603</v>
      </c>
    </row>
    <row r="22" spans="1:4" x14ac:dyDescent="0.2">
      <c r="A22" s="110" t="s">
        <v>47</v>
      </c>
      <c r="B22" s="30">
        <v>-2967.90706</v>
      </c>
      <c r="C22" s="30">
        <v>-4078.4762900000001</v>
      </c>
      <c r="D22" s="30">
        <f>IF(OR(-2967.90706="",-4078.47629="",-2967.90706=0),"-",-4078.47629/-2967.90706*100)</f>
        <v>137.41927248894376</v>
      </c>
    </row>
    <row r="23" spans="1:4" x14ac:dyDescent="0.2">
      <c r="A23" s="110" t="s">
        <v>48</v>
      </c>
      <c r="B23" s="30">
        <v>-2344.4677099999999</v>
      </c>
      <c r="C23" s="30">
        <v>-2927.7631299999998</v>
      </c>
      <c r="D23" s="30">
        <f>IF(OR(-2344.46771="",-2927.76313="",-2344.46771=0),"-",-2927.76313/-2344.46771*100)</f>
        <v>124.87965253315431</v>
      </c>
    </row>
    <row r="24" spans="1:4" x14ac:dyDescent="0.2">
      <c r="A24" s="110" t="s">
        <v>44</v>
      </c>
      <c r="B24" s="30">
        <v>-2063.99341</v>
      </c>
      <c r="C24" s="30">
        <v>-2818.5339600000002</v>
      </c>
      <c r="D24" s="30">
        <f>IF(OR(-2063.99341="",-2818.53396="",-2063.99341=0),"-",-2818.53396/-2063.99341*100)</f>
        <v>136.55731391119124</v>
      </c>
    </row>
    <row r="25" spans="1:4" x14ac:dyDescent="0.2">
      <c r="A25" s="110" t="s">
        <v>52</v>
      </c>
      <c r="B25" s="30">
        <v>-1757.54945</v>
      </c>
      <c r="C25" s="30">
        <v>-2008.9254599999999</v>
      </c>
      <c r="D25" s="30">
        <f>IF(OR(-1757.54945="",-2008.92546="",-1757.54945=0),"-",-2008.92546/-1757.54945*100)</f>
        <v>114.30264223860102</v>
      </c>
    </row>
    <row r="26" spans="1:4" x14ac:dyDescent="0.2">
      <c r="A26" s="110" t="s">
        <v>42</v>
      </c>
      <c r="B26" s="30">
        <v>-604.40089</v>
      </c>
      <c r="C26" s="30">
        <v>-1824.54026</v>
      </c>
      <c r="D26" s="30" t="s">
        <v>292</v>
      </c>
    </row>
    <row r="27" spans="1:4" x14ac:dyDescent="0.2">
      <c r="A27" s="110" t="s">
        <v>301</v>
      </c>
      <c r="B27" s="30">
        <v>-1640.47198</v>
      </c>
      <c r="C27" s="30">
        <v>-1468.31294</v>
      </c>
      <c r="D27" s="30">
        <f>IF(OR(-1640.47198="",-1468.31294="",-1640.47198=0),"-",-1468.31294/-1640.47198*100)</f>
        <v>89.50551779616498</v>
      </c>
    </row>
    <row r="28" spans="1:4" x14ac:dyDescent="0.2">
      <c r="A28" s="110" t="s">
        <v>53</v>
      </c>
      <c r="B28" s="30">
        <v>-946.95546000000002</v>
      </c>
      <c r="C28" s="30">
        <v>-579.00450000000001</v>
      </c>
      <c r="D28" s="30">
        <f>IF(OR(-946.95546="",-579.0045="",-946.95546=0),"-",-579.0045/-946.95546*100)</f>
        <v>61.143794450480286</v>
      </c>
    </row>
    <row r="29" spans="1:4" x14ac:dyDescent="0.2">
      <c r="A29" s="110" t="s">
        <v>45</v>
      </c>
      <c r="B29" s="30">
        <v>-667.58493999999996</v>
      </c>
      <c r="C29" s="30">
        <v>-64.684129999999996</v>
      </c>
      <c r="D29" s="30">
        <f>IF(OR(-667.58494="",-64.68413="",-667.58494=0),"-",-64.68413/-667.58494*100)</f>
        <v>9.6892733979289591</v>
      </c>
    </row>
    <row r="30" spans="1:4" x14ac:dyDescent="0.2">
      <c r="A30" s="110" t="s">
        <v>54</v>
      </c>
      <c r="B30" s="30">
        <v>-33.55809</v>
      </c>
      <c r="C30" s="30">
        <v>-18.06879</v>
      </c>
      <c r="D30" s="30">
        <f>IF(OR(-33.55809="",-18.06879="",-33.55809=0),"-",-18.06879/-33.55809*100)</f>
        <v>53.843320641907809</v>
      </c>
    </row>
    <row r="31" spans="1:4" x14ac:dyDescent="0.2">
      <c r="A31" s="110" t="s">
        <v>3</v>
      </c>
      <c r="B31" s="30">
        <v>-61064.410539999997</v>
      </c>
      <c r="C31" s="30">
        <v>7214.1373000000003</v>
      </c>
      <c r="D31" s="30" t="s">
        <v>21</v>
      </c>
    </row>
    <row r="32" spans="1:4" x14ac:dyDescent="0.2">
      <c r="A32" s="110" t="s">
        <v>8</v>
      </c>
      <c r="B32" s="30">
        <v>2542.7627299999999</v>
      </c>
      <c r="C32" s="30">
        <v>7467.80656</v>
      </c>
      <c r="D32" s="30" t="s">
        <v>324</v>
      </c>
    </row>
    <row r="33" spans="1:4" x14ac:dyDescent="0.2">
      <c r="A33" s="110" t="s">
        <v>46</v>
      </c>
      <c r="B33" s="30">
        <v>1124.46199</v>
      </c>
      <c r="C33" s="30">
        <v>8685.0845000000008</v>
      </c>
      <c r="D33" s="30" t="s">
        <v>363</v>
      </c>
    </row>
    <row r="34" spans="1:4" x14ac:dyDescent="0.2">
      <c r="A34" s="110" t="s">
        <v>6</v>
      </c>
      <c r="B34" s="30">
        <v>-3875.9937799999998</v>
      </c>
      <c r="C34" s="30">
        <v>22433.884389999999</v>
      </c>
      <c r="D34" s="30" t="s">
        <v>21</v>
      </c>
    </row>
    <row r="35" spans="1:4" x14ac:dyDescent="0.2">
      <c r="A35" s="110" t="s">
        <v>359</v>
      </c>
      <c r="B35" s="30">
        <v>-6257.3499099999999</v>
      </c>
      <c r="C35" s="30">
        <v>62953.731160000003</v>
      </c>
      <c r="D35" s="30" t="s">
        <v>21</v>
      </c>
    </row>
    <row r="36" spans="1:4" x14ac:dyDescent="0.2">
      <c r="A36" s="110" t="s">
        <v>360</v>
      </c>
      <c r="B36" s="30">
        <v>-6.6932799999999997</v>
      </c>
      <c r="C36" s="30" t="s">
        <v>284</v>
      </c>
      <c r="D36" s="30" t="s">
        <v>284</v>
      </c>
    </row>
    <row r="37" spans="1:4" x14ac:dyDescent="0.2">
      <c r="A37" s="25" t="s">
        <v>132</v>
      </c>
      <c r="B37" s="27">
        <v>-248563.57736</v>
      </c>
      <c r="C37" s="27">
        <v>-526294.15301000001</v>
      </c>
      <c r="D37" s="27" t="s">
        <v>92</v>
      </c>
    </row>
    <row r="38" spans="1:4" x14ac:dyDescent="0.2">
      <c r="A38" s="110" t="s">
        <v>302</v>
      </c>
      <c r="B38" s="30">
        <v>-129572.64542</v>
      </c>
      <c r="C38" s="30">
        <v>-390032.70588000002</v>
      </c>
      <c r="D38" s="30" t="s">
        <v>292</v>
      </c>
    </row>
    <row r="39" spans="1:4" x14ac:dyDescent="0.2">
      <c r="A39" s="110" t="s">
        <v>11</v>
      </c>
      <c r="B39" s="30">
        <v>-106384.17515</v>
      </c>
      <c r="C39" s="30">
        <v>-107760.60271000001</v>
      </c>
      <c r="D39" s="30">
        <f>IF(OR(-106384.17515="",-107760.60271="",-106384.17515=0),"-",-107760.60271/-106384.17515*100)</f>
        <v>101.29382735548711</v>
      </c>
    </row>
    <row r="40" spans="1:4" x14ac:dyDescent="0.2">
      <c r="A40" s="110" t="s">
        <v>10</v>
      </c>
      <c r="B40" s="30">
        <v>-12430.085779999999</v>
      </c>
      <c r="C40" s="30">
        <v>-13027.700790000001</v>
      </c>
      <c r="D40" s="30">
        <f>IF(OR(-12430.08578="",-13027.70079="",-12430.08578=0),"-",-13027.70079/-12430.08578*100)</f>
        <v>104.80781082751307</v>
      </c>
    </row>
    <row r="41" spans="1:4" x14ac:dyDescent="0.2">
      <c r="A41" s="110" t="s">
        <v>13</v>
      </c>
      <c r="B41" s="30">
        <v>566.68055000000004</v>
      </c>
      <c r="C41" s="30">
        <v>-4823.018</v>
      </c>
      <c r="D41" s="30" t="s">
        <v>21</v>
      </c>
    </row>
    <row r="42" spans="1:4" x14ac:dyDescent="0.2">
      <c r="A42" s="110" t="s">
        <v>15</v>
      </c>
      <c r="B42" s="30">
        <v>249.57413</v>
      </c>
      <c r="C42" s="30">
        <v>-3547.8593599999999</v>
      </c>
      <c r="D42" s="30" t="s">
        <v>21</v>
      </c>
    </row>
    <row r="43" spans="1:4" x14ac:dyDescent="0.2">
      <c r="A43" s="110" t="s">
        <v>14</v>
      </c>
      <c r="B43" s="30">
        <v>-1022.31543</v>
      </c>
      <c r="C43" s="30">
        <v>-3332.1561200000001</v>
      </c>
      <c r="D43" s="30" t="s">
        <v>297</v>
      </c>
    </row>
    <row r="44" spans="1:4" x14ac:dyDescent="0.2">
      <c r="A44" s="110" t="s">
        <v>12</v>
      </c>
      <c r="B44" s="30">
        <v>-133.78249</v>
      </c>
      <c r="C44" s="30">
        <v>-2154.54223</v>
      </c>
      <c r="D44" s="30" t="s">
        <v>354</v>
      </c>
    </row>
    <row r="45" spans="1:4" x14ac:dyDescent="0.2">
      <c r="A45" s="110" t="s">
        <v>318</v>
      </c>
      <c r="B45" s="30">
        <v>226.69461000000001</v>
      </c>
      <c r="C45" s="30">
        <v>-1536.2161699999999</v>
      </c>
      <c r="D45" s="30" t="s">
        <v>21</v>
      </c>
    </row>
    <row r="46" spans="1:4" x14ac:dyDescent="0.2">
      <c r="A46" s="110" t="s">
        <v>16</v>
      </c>
      <c r="B46" s="30">
        <v>-164.41455999999999</v>
      </c>
      <c r="C46" s="30">
        <v>-97.671180000000007</v>
      </c>
      <c r="D46" s="30">
        <f>IF(OR(-164.41456="",-97.67118="",-164.41456=0),"-",-97.67118/-164.41456*100)</f>
        <v>59.405432219628238</v>
      </c>
    </row>
    <row r="47" spans="1:4" x14ac:dyDescent="0.2">
      <c r="A47" s="110" t="s">
        <v>17</v>
      </c>
      <c r="B47" s="30">
        <v>100.89218</v>
      </c>
      <c r="C47" s="30">
        <v>18.319430000000001</v>
      </c>
      <c r="D47" s="30">
        <f>IF(OR(100.89218="",18.31943="",100.89218=0),"-",18.31943/100.89218*100)</f>
        <v>18.157433014134497</v>
      </c>
    </row>
    <row r="48" spans="1:4" x14ac:dyDescent="0.2">
      <c r="A48" s="25" t="s">
        <v>131</v>
      </c>
      <c r="B48" s="27">
        <v>-325933.66616999998</v>
      </c>
      <c r="C48" s="27">
        <v>-263702.13390000002</v>
      </c>
      <c r="D48" s="27">
        <f>IF(-325933.66617="","-",-263702.1339/-325933.66617*100)</f>
        <v>80.906687854226959</v>
      </c>
    </row>
    <row r="49" spans="1:5" x14ac:dyDescent="0.2">
      <c r="A49" s="28" t="s">
        <v>58</v>
      </c>
      <c r="B49" s="30">
        <v>-179742.65689000001</v>
      </c>
      <c r="C49" s="30">
        <v>-181944.92580999999</v>
      </c>
      <c r="D49" s="30">
        <f>IF(OR(-179742.65689="",-181944.92581="",-179742.65689=0),"-",-181944.92581/-179742.65689*100)</f>
        <v>101.22523443132796</v>
      </c>
    </row>
    <row r="50" spans="1:5" x14ac:dyDescent="0.2">
      <c r="A50" s="28" t="s">
        <v>68</v>
      </c>
      <c r="B50" s="30">
        <v>-11351.57877</v>
      </c>
      <c r="C50" s="99">
        <v>-25092.091970000001</v>
      </c>
      <c r="D50" s="30" t="s">
        <v>195</v>
      </c>
    </row>
    <row r="51" spans="1:5" x14ac:dyDescent="0.2">
      <c r="A51" s="28" t="s">
        <v>18</v>
      </c>
      <c r="B51" s="99">
        <v>-17449.89832</v>
      </c>
      <c r="C51" s="99">
        <v>-19324.43</v>
      </c>
      <c r="D51" s="30">
        <f>IF(OR(-17449.89832="",-19324.43="",-17449.89832=0),"-",-19324.43/-17449.89832*100)</f>
        <v>110.74236448616739</v>
      </c>
    </row>
    <row r="52" spans="1:5" x14ac:dyDescent="0.2">
      <c r="A52" s="28" t="s">
        <v>35</v>
      </c>
      <c r="B52" s="30">
        <v>-9312.2160000000003</v>
      </c>
      <c r="C52" s="30">
        <v>-12514.29674</v>
      </c>
      <c r="D52" s="30">
        <f>IF(OR(-9312.216="",-12514.29674="",-9312.216=0),"-",-12514.29674/-9312.216*100)</f>
        <v>134.38580827592486</v>
      </c>
    </row>
    <row r="53" spans="1:5" x14ac:dyDescent="0.2">
      <c r="A53" s="28" t="s">
        <v>74</v>
      </c>
      <c r="B53" s="99">
        <v>-14082.518609999999</v>
      </c>
      <c r="C53" s="99">
        <v>-11062.781779999999</v>
      </c>
      <c r="D53" s="30">
        <f>IF(OR(-14082.51861="",-11062.78178="",-14082.51861=0),"-",-11062.78178/-14082.51861*100)</f>
        <v>78.556841189929727</v>
      </c>
    </row>
    <row r="54" spans="1:5" x14ac:dyDescent="0.2">
      <c r="A54" s="28" t="s">
        <v>55</v>
      </c>
      <c r="B54" s="99">
        <v>-46921.766029999999</v>
      </c>
      <c r="C54" s="99">
        <v>-10491.39523</v>
      </c>
      <c r="D54" s="30">
        <f>IF(OR(-46921.76603="",-10491.39523="",-46921.76603=0),"-",-10491.39523/-46921.76603*100)</f>
        <v>22.359335800132072</v>
      </c>
    </row>
    <row r="55" spans="1:5" x14ac:dyDescent="0.2">
      <c r="A55" s="28" t="s">
        <v>70</v>
      </c>
      <c r="B55" s="99">
        <v>-12370.13826</v>
      </c>
      <c r="C55" s="99">
        <v>-8487.4818699999996</v>
      </c>
      <c r="D55" s="30">
        <f>IF(OR(-12370.13826="",-8487.48187="",-12370.13826=0),"-",-8487.48187/-12370.13826*100)</f>
        <v>68.612667794062304</v>
      </c>
    </row>
    <row r="56" spans="1:5" x14ac:dyDescent="0.2">
      <c r="A56" s="28" t="s">
        <v>77</v>
      </c>
      <c r="B56" s="30">
        <v>-6219.4498100000001</v>
      </c>
      <c r="C56" s="30">
        <v>-5957.3229700000002</v>
      </c>
      <c r="D56" s="30">
        <f>IF(OR(-6219.44981="",-5957.32297="",-6219.44981=0),"-",-5957.32297/-6219.44981*100)</f>
        <v>95.785369317097206</v>
      </c>
    </row>
    <row r="57" spans="1:5" x14ac:dyDescent="0.2">
      <c r="A57" s="28" t="s">
        <v>72</v>
      </c>
      <c r="B57" s="99">
        <v>-2761.4743199999998</v>
      </c>
      <c r="C57" s="99">
        <v>-5368.0442999999996</v>
      </c>
      <c r="D57" s="30" t="s">
        <v>102</v>
      </c>
    </row>
    <row r="58" spans="1:5" x14ac:dyDescent="0.2">
      <c r="A58" s="28" t="s">
        <v>65</v>
      </c>
      <c r="B58" s="99">
        <v>-4674.4387999999999</v>
      </c>
      <c r="C58" s="99">
        <v>-4991.8329000000003</v>
      </c>
      <c r="D58" s="30">
        <f>IF(OR(-4674.4388="",-4991.8329="",-4674.4388=0),"-",-4991.8329/-4674.4388*100)</f>
        <v>106.7899936993506</v>
      </c>
    </row>
    <row r="59" spans="1:5" x14ac:dyDescent="0.2">
      <c r="A59" s="28" t="s">
        <v>320</v>
      </c>
      <c r="B59" s="99">
        <v>-4451.8037100000001</v>
      </c>
      <c r="C59" s="99">
        <v>-4559.4490699999997</v>
      </c>
      <c r="D59" s="30">
        <f>IF(OR(-4451.80371="",-4559.44907="",-4451.80371=0),"-",-4559.44907/-4451.80371*100)</f>
        <v>102.41801676381638</v>
      </c>
    </row>
    <row r="60" spans="1:5" x14ac:dyDescent="0.2">
      <c r="A60" s="28" t="s">
        <v>80</v>
      </c>
      <c r="B60" s="99">
        <v>-2891.3030100000001</v>
      </c>
      <c r="C60" s="99">
        <v>-3137.3339000000001</v>
      </c>
      <c r="D60" s="30">
        <f>IF(OR(-2891.30301="",-3137.3339="",-2891.30301=0),"-",-3137.3339/-2891.30301*100)</f>
        <v>108.50934298996215</v>
      </c>
    </row>
    <row r="61" spans="1:5" x14ac:dyDescent="0.2">
      <c r="A61" s="28" t="s">
        <v>69</v>
      </c>
      <c r="B61" s="30">
        <v>-2665.78595</v>
      </c>
      <c r="C61" s="30">
        <v>-2699.0811199999998</v>
      </c>
      <c r="D61" s="30">
        <f>IF(OR(-2665.78595="",-2699.08112="",-2665.78595=0),"-",-2699.08112/-2665.78595*100)</f>
        <v>101.24898137451733</v>
      </c>
    </row>
    <row r="62" spans="1:5" x14ac:dyDescent="0.2">
      <c r="A62" s="28" t="s">
        <v>60</v>
      </c>
      <c r="B62" s="99">
        <v>-3556.7180699999999</v>
      </c>
      <c r="C62" s="99">
        <v>-2641.4189799999999</v>
      </c>
      <c r="D62" s="30">
        <f>IF(OR(-3556.71807="",-2641.41898="",-3556.71807=0),"-",-2641.41898/-3556.71807*100)</f>
        <v>74.265627131925029</v>
      </c>
      <c r="E62" s="18"/>
    </row>
    <row r="63" spans="1:5" x14ac:dyDescent="0.2">
      <c r="A63" s="28" t="s">
        <v>76</v>
      </c>
      <c r="B63" s="99">
        <v>-2872.1369300000001</v>
      </c>
      <c r="C63" s="99">
        <v>-2550.1819300000002</v>
      </c>
      <c r="D63" s="30">
        <f>IF(OR(-2872.13693="",-2550.18193="",-2872.13693=0),"-",-2550.18193/-2872.13693*100)</f>
        <v>88.790402134483188</v>
      </c>
    </row>
    <row r="64" spans="1:5" x14ac:dyDescent="0.2">
      <c r="A64" s="28" t="s">
        <v>81</v>
      </c>
      <c r="B64" s="30">
        <v>-1598.43685</v>
      </c>
      <c r="C64" s="30">
        <v>-2350.7281800000001</v>
      </c>
      <c r="D64" s="30">
        <f>IF(OR(-1598.43685="",-2350.72818="",-1598.43685=0),"-",-2350.72818/-1598.43685*100)</f>
        <v>147.06418836627796</v>
      </c>
    </row>
    <row r="65" spans="1:5" x14ac:dyDescent="0.2">
      <c r="A65" s="28" t="s">
        <v>71</v>
      </c>
      <c r="B65" s="99">
        <v>-875.94870000000003</v>
      </c>
      <c r="C65" s="99">
        <v>-2280.43921</v>
      </c>
      <c r="D65" s="30" t="s">
        <v>277</v>
      </c>
    </row>
    <row r="66" spans="1:5" x14ac:dyDescent="0.2">
      <c r="A66" s="28" t="s">
        <v>61</v>
      </c>
      <c r="B66" s="99">
        <v>-1601.7331300000001</v>
      </c>
      <c r="C66" s="99">
        <v>-2156.4684299999999</v>
      </c>
      <c r="D66" s="30">
        <f>IF(OR(-1601.73313="",-2156.46843="",-1601.73313=0),"-",-2156.46843/-1601.73313*100)</f>
        <v>134.6334410901521</v>
      </c>
    </row>
    <row r="67" spans="1:5" x14ac:dyDescent="0.2">
      <c r="A67" s="28" t="s">
        <v>64</v>
      </c>
      <c r="B67" s="30">
        <v>-1951.79728</v>
      </c>
      <c r="C67" s="99">
        <v>-1999.7013999999999</v>
      </c>
      <c r="D67" s="30">
        <f>IF(OR(-1951.79728="",-1999.7014="",-1951.79728=0),"-",-1999.7014/-1951.79728*100)</f>
        <v>102.45435939945567</v>
      </c>
    </row>
    <row r="68" spans="1:5" x14ac:dyDescent="0.2">
      <c r="A68" s="28" t="s">
        <v>78</v>
      </c>
      <c r="B68" s="99">
        <v>-1066.9251300000001</v>
      </c>
      <c r="C68" s="99">
        <v>-1192.66875</v>
      </c>
      <c r="D68" s="30">
        <f>IF(OR(-1066.92513="",-1192.66875="",-1066.92513=0),"-",-1192.66875/-1066.92513*100)</f>
        <v>111.78560861154334</v>
      </c>
    </row>
    <row r="69" spans="1:5" x14ac:dyDescent="0.2">
      <c r="A69" s="28" t="s">
        <v>83</v>
      </c>
      <c r="B69" s="99">
        <v>-1847.10247</v>
      </c>
      <c r="C69" s="99">
        <v>-1152.0557200000001</v>
      </c>
      <c r="D69" s="30">
        <f>IF(OR(-1847.10247="",-1152.05572="",-1847.10247=0),"-",-1152.05572/-1847.10247*100)</f>
        <v>62.370969597588164</v>
      </c>
      <c r="E69" s="18"/>
    </row>
    <row r="70" spans="1:5" x14ac:dyDescent="0.2">
      <c r="A70" s="28" t="s">
        <v>86</v>
      </c>
      <c r="B70" s="30">
        <v>-1703.15877</v>
      </c>
      <c r="C70" s="30">
        <v>-1070.6466499999999</v>
      </c>
      <c r="D70" s="30">
        <f>IF(OR(-1703.15877="",-1070.64665="",-1703.15877=0),"-",-1070.64665/-1703.15877*100)</f>
        <v>62.862410061746623</v>
      </c>
    </row>
    <row r="71" spans="1:5" x14ac:dyDescent="0.2">
      <c r="A71" s="28" t="s">
        <v>73</v>
      </c>
      <c r="B71" s="30">
        <v>-896.81408999999996</v>
      </c>
      <c r="C71" s="30">
        <v>-1067.7252900000001</v>
      </c>
      <c r="D71" s="30">
        <f>IF(OR(-896.81409="",-1067.72529="",-896.81409=0),"-",-1067.72529/-896.81409*100)</f>
        <v>119.05759531498887</v>
      </c>
    </row>
    <row r="72" spans="1:5" x14ac:dyDescent="0.2">
      <c r="A72" s="28" t="s">
        <v>87</v>
      </c>
      <c r="B72" s="30">
        <v>-725.91858000000002</v>
      </c>
      <c r="C72" s="30">
        <v>-772.18647999999996</v>
      </c>
      <c r="D72" s="30">
        <f>IF(OR(-725.91858="",-772.18648="",-725.91858=0),"-",-772.18648/-725.91858*100)</f>
        <v>106.37370378369431</v>
      </c>
    </row>
    <row r="73" spans="1:5" x14ac:dyDescent="0.2">
      <c r="A73" s="28" t="s">
        <v>85</v>
      </c>
      <c r="B73" s="30">
        <v>-854.63057000000003</v>
      </c>
      <c r="C73" s="30">
        <v>-700.77512999999999</v>
      </c>
      <c r="D73" s="30">
        <f>IF(OR(-854.63057="",-700.77513="",-854.63057=0),"-",-700.77513/-854.63057*100)</f>
        <v>81.997433113116927</v>
      </c>
    </row>
    <row r="74" spans="1:5" x14ac:dyDescent="0.2">
      <c r="A74" s="28" t="s">
        <v>38</v>
      </c>
      <c r="B74" s="30">
        <v>-147.06800999999999</v>
      </c>
      <c r="C74" s="30">
        <v>-695.12824000000001</v>
      </c>
      <c r="D74" s="30" t="s">
        <v>310</v>
      </c>
    </row>
    <row r="75" spans="1:5" x14ac:dyDescent="0.2">
      <c r="A75" s="28" t="s">
        <v>308</v>
      </c>
      <c r="B75" s="99">
        <v>-349.13877000000002</v>
      </c>
      <c r="C75" s="99">
        <v>-462.93209000000002</v>
      </c>
      <c r="D75" s="30">
        <f>IF(OR(-349.13877="",-462.93209="",-349.13877=0),"-",-462.93209/-349.13877*100)</f>
        <v>132.59257629853022</v>
      </c>
    </row>
    <row r="76" spans="1:5" x14ac:dyDescent="0.2">
      <c r="A76" s="28" t="s">
        <v>94</v>
      </c>
      <c r="B76" s="99">
        <v>-343.92746</v>
      </c>
      <c r="C76" s="99">
        <v>-446.10998999999998</v>
      </c>
      <c r="D76" s="30">
        <f>IF(OR(-343.92746="",-446.10999="",-343.92746=0),"-",-446.10999/-343.92746*100)</f>
        <v>129.71048895019896</v>
      </c>
    </row>
    <row r="77" spans="1:5" x14ac:dyDescent="0.2">
      <c r="A77" s="28" t="s">
        <v>325</v>
      </c>
      <c r="B77" s="30">
        <v>-1153.0920000000001</v>
      </c>
      <c r="C77" s="99">
        <v>-438.13371999999998</v>
      </c>
      <c r="D77" s="30">
        <f>IF(OR(-1153.092="",-438.13372="",-1153.092=0),"-",-438.13372/-1153.092*100)</f>
        <v>37.99642352908527</v>
      </c>
      <c r="E77" s="1"/>
    </row>
    <row r="78" spans="1:5" x14ac:dyDescent="0.2">
      <c r="A78" s="28" t="s">
        <v>91</v>
      </c>
      <c r="B78" s="99">
        <v>-155.70050000000001</v>
      </c>
      <c r="C78" s="99">
        <v>-434.99358000000001</v>
      </c>
      <c r="D78" s="30" t="s">
        <v>307</v>
      </c>
    </row>
    <row r="79" spans="1:5" x14ac:dyDescent="0.2">
      <c r="A79" s="28" t="s">
        <v>89</v>
      </c>
      <c r="B79" s="30">
        <v>-169.95782</v>
      </c>
      <c r="C79" s="30">
        <v>-409.59929</v>
      </c>
      <c r="D79" s="30" t="s">
        <v>286</v>
      </c>
    </row>
    <row r="80" spans="1:5" x14ac:dyDescent="0.2">
      <c r="A80" s="28" t="s">
        <v>135</v>
      </c>
      <c r="B80" s="30">
        <v>-418.68472000000003</v>
      </c>
      <c r="C80" s="30">
        <v>-384.32056999999998</v>
      </c>
      <c r="D80" s="30">
        <f>IF(OR(-418.68472="",-384.32057="",-418.68472=0),"-",-384.32057/-418.68472*100)</f>
        <v>91.792356310495393</v>
      </c>
    </row>
    <row r="81" spans="1:4" x14ac:dyDescent="0.2">
      <c r="A81" s="28" t="s">
        <v>99</v>
      </c>
      <c r="B81" s="30">
        <v>-200.57643999999999</v>
      </c>
      <c r="C81" s="30">
        <v>-377.64328999999998</v>
      </c>
      <c r="D81" s="30" t="s">
        <v>102</v>
      </c>
    </row>
    <row r="82" spans="1:4" x14ac:dyDescent="0.2">
      <c r="A82" s="28" t="s">
        <v>82</v>
      </c>
      <c r="B82" s="99">
        <v>-1602.18788</v>
      </c>
      <c r="C82" s="99">
        <v>-314.02766000000003</v>
      </c>
      <c r="D82" s="30">
        <f>IF(OR(-1602.18788="",-314.02766="",-1602.18788=0),"-",-314.02766/-1602.18788*100)</f>
        <v>19.599927319385291</v>
      </c>
    </row>
    <row r="83" spans="1:4" x14ac:dyDescent="0.2">
      <c r="A83" s="28" t="s">
        <v>84</v>
      </c>
      <c r="B83" s="99">
        <v>-752.00969999999995</v>
      </c>
      <c r="C83" s="99">
        <v>-292.10584</v>
      </c>
      <c r="D83" s="30">
        <f>IF(OR(-752.0097="",-292.10584="",-752.0097=0),"-",-292.10584/-752.0097*100)</f>
        <v>38.843360664097823</v>
      </c>
    </row>
    <row r="84" spans="1:4" x14ac:dyDescent="0.2">
      <c r="A84" s="28" t="s">
        <v>63</v>
      </c>
      <c r="B84" s="99">
        <v>-332.31382000000002</v>
      </c>
      <c r="C84" s="99">
        <v>-271.66714000000002</v>
      </c>
      <c r="D84" s="30">
        <f>IF(OR(-332.31382="",-271.66714="",-332.31382=0),"-",-271.66714/-332.31382*100)</f>
        <v>81.75017819000125</v>
      </c>
    </row>
    <row r="85" spans="1:4" x14ac:dyDescent="0.2">
      <c r="A85" s="28" t="s">
        <v>305</v>
      </c>
      <c r="B85" s="30">
        <v>123.56912</v>
      </c>
      <c r="C85" s="30">
        <v>-220.94304</v>
      </c>
      <c r="D85" s="30" t="s">
        <v>21</v>
      </c>
    </row>
    <row r="86" spans="1:4" x14ac:dyDescent="0.2">
      <c r="A86" s="28" t="s">
        <v>296</v>
      </c>
      <c r="B86" s="30">
        <v>-13.50966</v>
      </c>
      <c r="C86" s="30">
        <v>-217.15460999999999</v>
      </c>
      <c r="D86" s="30" t="s">
        <v>354</v>
      </c>
    </row>
    <row r="87" spans="1:4" x14ac:dyDescent="0.2">
      <c r="A87" s="28" t="s">
        <v>206</v>
      </c>
      <c r="B87" s="99">
        <v>-385.90233999999998</v>
      </c>
      <c r="C87" s="99">
        <v>-214.26080999999999</v>
      </c>
      <c r="D87" s="30">
        <f>IF(OR(-385.90234="",-214.26081="",-385.90234=0),"-",-214.26081/-385.90234*100)</f>
        <v>55.52202922635815</v>
      </c>
    </row>
    <row r="88" spans="1:4" x14ac:dyDescent="0.2">
      <c r="A88" s="28" t="s">
        <v>126</v>
      </c>
      <c r="B88" s="99">
        <v>-77.379540000000006</v>
      </c>
      <c r="C88" s="99">
        <v>-184.33590000000001</v>
      </c>
      <c r="D88" s="30" t="s">
        <v>286</v>
      </c>
    </row>
    <row r="89" spans="1:4" x14ac:dyDescent="0.2">
      <c r="A89" s="28" t="s">
        <v>119</v>
      </c>
      <c r="B89" s="30">
        <v>-176.79671999999999</v>
      </c>
      <c r="C89" s="30">
        <v>-121.71702999999999</v>
      </c>
      <c r="D89" s="30">
        <f>IF(OR(-176.79672="",-121.71703="",-176.79672=0),"-",-121.71703/-176.79672*100)</f>
        <v>68.845751210769066</v>
      </c>
    </row>
    <row r="90" spans="1:4" x14ac:dyDescent="0.2">
      <c r="A90" s="28" t="s">
        <v>90</v>
      </c>
      <c r="B90" s="30">
        <v>-997.79290000000003</v>
      </c>
      <c r="C90" s="30">
        <v>-118.57214</v>
      </c>
      <c r="D90" s="30">
        <f>IF(OR(-997.7929="",-118.57214="",-997.7929=0),"-",-118.57214/-997.7929*100)</f>
        <v>11.883441944716184</v>
      </c>
    </row>
    <row r="91" spans="1:4" x14ac:dyDescent="0.2">
      <c r="A91" s="28" t="s">
        <v>95</v>
      </c>
      <c r="B91" s="99">
        <v>-311.89861000000002</v>
      </c>
      <c r="C91" s="99">
        <v>-108.01625</v>
      </c>
      <c r="D91" s="30">
        <f>IF(OR(-311.89861="",-108.01625="",-311.89861=0),"-",-108.01625/-311.89861*100)</f>
        <v>34.631847189059286</v>
      </c>
    </row>
    <row r="92" spans="1:4" x14ac:dyDescent="0.2">
      <c r="A92" s="28" t="s">
        <v>294</v>
      </c>
      <c r="B92" s="99">
        <v>10.271470000000001</v>
      </c>
      <c r="C92" s="99">
        <v>-88.571899999999999</v>
      </c>
      <c r="D92" s="30" t="s">
        <v>21</v>
      </c>
    </row>
    <row r="93" spans="1:4" x14ac:dyDescent="0.2">
      <c r="A93" s="28" t="s">
        <v>295</v>
      </c>
      <c r="B93" s="99">
        <v>-0.49901000000000001</v>
      </c>
      <c r="C93" s="99">
        <v>-76.003200000000007</v>
      </c>
      <c r="D93" s="30" t="s">
        <v>358</v>
      </c>
    </row>
    <row r="94" spans="1:4" x14ac:dyDescent="0.2">
      <c r="A94" s="28" t="s">
        <v>98</v>
      </c>
      <c r="B94" s="99">
        <v>221.38569000000001</v>
      </c>
      <c r="C94" s="99">
        <v>-72.578500000000005</v>
      </c>
      <c r="D94" s="30" t="s">
        <v>21</v>
      </c>
    </row>
    <row r="95" spans="1:4" x14ac:dyDescent="0.2">
      <c r="A95" s="28" t="s">
        <v>328</v>
      </c>
      <c r="B95" s="30" t="str">
        <f>IF(OR(0="",-0.03338="",0=0),"-",-0.03338/0*100)</f>
        <v>-</v>
      </c>
      <c r="C95" s="99">
        <v>-52.076000000000001</v>
      </c>
      <c r="D95" s="30" t="str">
        <f>IF(OR(0="",-52.076="",0=0),"-",-52.076/0*100)</f>
        <v>-</v>
      </c>
    </row>
    <row r="96" spans="1:4" x14ac:dyDescent="0.2">
      <c r="A96" s="28" t="s">
        <v>361</v>
      </c>
      <c r="B96" s="99">
        <v>-45.027700000000003</v>
      </c>
      <c r="C96" s="99">
        <v>-50.16433</v>
      </c>
      <c r="D96" s="30">
        <f>IF(OR(-45.0277="",-50.16433="",-45.0277=0),"-",-50.16433/-45.0277*100)</f>
        <v>111.40771125329519</v>
      </c>
    </row>
    <row r="97" spans="1:5" x14ac:dyDescent="0.2">
      <c r="A97" s="28" t="s">
        <v>203</v>
      </c>
      <c r="B97" s="99">
        <v>2085.5038500000001</v>
      </c>
      <c r="C97" s="99">
        <v>48.742350000000002</v>
      </c>
      <c r="D97" s="30">
        <f>IF(OR(2085.50385="",48.74235="",2085.50385=0),"-",48.74235/2085.50385*100)</f>
        <v>2.3371977951515173</v>
      </c>
      <c r="E97" s="1"/>
    </row>
    <row r="98" spans="1:5" x14ac:dyDescent="0.2">
      <c r="A98" s="28" t="s">
        <v>129</v>
      </c>
      <c r="B98" s="99">
        <v>168.98978</v>
      </c>
      <c r="C98" s="99">
        <v>51.91357</v>
      </c>
      <c r="D98" s="30">
        <f>IF(OR(168.98978="",51.91357="",168.98978=0),"-",51.91357/168.98978*100)</f>
        <v>30.719946496172728</v>
      </c>
    </row>
    <row r="99" spans="1:5" x14ac:dyDescent="0.2">
      <c r="A99" s="28" t="s">
        <v>338</v>
      </c>
      <c r="B99" s="30">
        <v>161.83010999999999</v>
      </c>
      <c r="C99" s="30">
        <v>59.46499</v>
      </c>
      <c r="D99" s="30">
        <f>IF(OR(161.83011="",59.46499="",161.83011=0),"-",59.46499/161.83011*100)</f>
        <v>36.745318902644264</v>
      </c>
      <c r="E99" s="1"/>
    </row>
    <row r="100" spans="1:5" x14ac:dyDescent="0.2">
      <c r="A100" s="28" t="s">
        <v>337</v>
      </c>
      <c r="B100" s="99">
        <v>-17.787929999999999</v>
      </c>
      <c r="C100" s="99">
        <v>72.133309999999994</v>
      </c>
      <c r="D100" s="30" t="s">
        <v>21</v>
      </c>
    </row>
    <row r="101" spans="1:5" x14ac:dyDescent="0.2">
      <c r="A101" s="28" t="s">
        <v>336</v>
      </c>
      <c r="B101" s="99">
        <v>0</v>
      </c>
      <c r="C101" s="99">
        <v>73.530140000000003</v>
      </c>
      <c r="D101" s="30" t="str">
        <f>IF(OR(0="",73.53014="",0=0),"-",73.53014/0*100)</f>
        <v>-</v>
      </c>
      <c r="E101" s="1"/>
    </row>
    <row r="102" spans="1:5" x14ac:dyDescent="0.2">
      <c r="A102" s="28" t="s">
        <v>104</v>
      </c>
      <c r="B102" s="99">
        <v>37.459919999999997</v>
      </c>
      <c r="C102" s="99">
        <v>73.637460000000004</v>
      </c>
      <c r="D102" s="30" t="s">
        <v>19</v>
      </c>
      <c r="E102" s="18"/>
    </row>
    <row r="103" spans="1:5" x14ac:dyDescent="0.2">
      <c r="A103" s="28" t="s">
        <v>120</v>
      </c>
      <c r="B103" s="30">
        <v>140.52190999999999</v>
      </c>
      <c r="C103" s="30">
        <v>97.515749999999997</v>
      </c>
      <c r="D103" s="30">
        <f>IF(OR(140.52191="",97.51575="",140.52191=0),"-",97.51575/140.52191*100)</f>
        <v>69.39540602600691</v>
      </c>
    </row>
    <row r="104" spans="1:5" x14ac:dyDescent="0.2">
      <c r="A104" s="28" t="s">
        <v>319</v>
      </c>
      <c r="B104" s="99">
        <v>24.63456</v>
      </c>
      <c r="C104" s="99">
        <v>101.20835</v>
      </c>
      <c r="D104" s="30" t="s">
        <v>311</v>
      </c>
    </row>
    <row r="105" spans="1:5" x14ac:dyDescent="0.2">
      <c r="A105" s="28" t="s">
        <v>205</v>
      </c>
      <c r="B105" s="30">
        <v>9.5505300000000002</v>
      </c>
      <c r="C105" s="30">
        <v>113.81531</v>
      </c>
      <c r="D105" s="30" t="s">
        <v>364</v>
      </c>
    </row>
    <row r="106" spans="1:5" x14ac:dyDescent="0.2">
      <c r="A106" s="28" t="s">
        <v>37</v>
      </c>
      <c r="B106" s="30">
        <v>-411.98316</v>
      </c>
      <c r="C106" s="30">
        <v>124.47371</v>
      </c>
      <c r="D106" s="30" t="s">
        <v>21</v>
      </c>
      <c r="E106" s="1"/>
    </row>
    <row r="107" spans="1:5" x14ac:dyDescent="0.2">
      <c r="A107" s="28" t="s">
        <v>134</v>
      </c>
      <c r="B107" s="99">
        <v>269.14800000000002</v>
      </c>
      <c r="C107" s="99">
        <v>126.4494</v>
      </c>
      <c r="D107" s="30">
        <f>IF(OR(269.148="",126.4494="",269.148=0),"-",126.4494/269.148*100)</f>
        <v>46.981363413437954</v>
      </c>
      <c r="E107" s="1"/>
    </row>
    <row r="108" spans="1:5" x14ac:dyDescent="0.2">
      <c r="A108" s="28" t="s">
        <v>136</v>
      </c>
      <c r="B108" s="30">
        <v>242.54123000000001</v>
      </c>
      <c r="C108" s="30">
        <v>151.58294000000001</v>
      </c>
      <c r="D108" s="30">
        <f>IF(OR(242.54123="",151.58294="",242.54123=0),"-",151.58294/242.54123*100)</f>
        <v>62.497802950863246</v>
      </c>
    </row>
    <row r="109" spans="1:5" x14ac:dyDescent="0.2">
      <c r="A109" s="28" t="s">
        <v>299</v>
      </c>
      <c r="B109" s="99">
        <v>182.67859999999999</v>
      </c>
      <c r="C109" s="99">
        <v>176.90536</v>
      </c>
      <c r="D109" s="30">
        <f>IF(OR(182.6786="",176.90536="",182.6786=0),"-",176.90536/182.6786*100)</f>
        <v>96.839673612563274</v>
      </c>
    </row>
    <row r="110" spans="1:5" x14ac:dyDescent="0.2">
      <c r="A110" s="28" t="s">
        <v>123</v>
      </c>
      <c r="B110" s="99">
        <v>-283.68223</v>
      </c>
      <c r="C110" s="99">
        <v>225.43813</v>
      </c>
      <c r="D110" s="30" t="s">
        <v>21</v>
      </c>
    </row>
    <row r="111" spans="1:5" x14ac:dyDescent="0.2">
      <c r="A111" s="28" t="s">
        <v>79</v>
      </c>
      <c r="B111" s="30">
        <v>-287.09005000000002</v>
      </c>
      <c r="C111" s="30">
        <v>239.35905</v>
      </c>
      <c r="D111" s="30" t="s">
        <v>21</v>
      </c>
    </row>
    <row r="112" spans="1:5" x14ac:dyDescent="0.2">
      <c r="A112" s="28" t="s">
        <v>66</v>
      </c>
      <c r="B112" s="99">
        <v>-363.94974999999999</v>
      </c>
      <c r="C112" s="99">
        <v>243.45349999999999</v>
      </c>
      <c r="D112" s="30" t="s">
        <v>21</v>
      </c>
    </row>
    <row r="113" spans="1:7" x14ac:dyDescent="0.2">
      <c r="A113" s="28" t="s">
        <v>75</v>
      </c>
      <c r="B113" s="99">
        <v>557.86451999999997</v>
      </c>
      <c r="C113" s="99">
        <v>333.3655</v>
      </c>
      <c r="D113" s="30">
        <f>IF(OR(557.86452="",333.3655="",557.86452=0),"-",333.3655/557.86452*100)</f>
        <v>59.757429993934728</v>
      </c>
    </row>
    <row r="114" spans="1:7" x14ac:dyDescent="0.2">
      <c r="A114" s="28" t="s">
        <v>62</v>
      </c>
      <c r="B114" s="30">
        <v>-551.96594000000005</v>
      </c>
      <c r="C114" s="30">
        <v>475.71451999999999</v>
      </c>
      <c r="D114" s="30" t="s">
        <v>21</v>
      </c>
    </row>
    <row r="115" spans="1:7" x14ac:dyDescent="0.2">
      <c r="A115" s="28" t="s">
        <v>88</v>
      </c>
      <c r="B115" s="99">
        <v>-820.80002000000002</v>
      </c>
      <c r="C115" s="99">
        <v>512.32226000000003</v>
      </c>
      <c r="D115" s="30" t="s">
        <v>21</v>
      </c>
    </row>
    <row r="116" spans="1:7" x14ac:dyDescent="0.2">
      <c r="A116" s="28" t="s">
        <v>93</v>
      </c>
      <c r="B116" s="99">
        <v>119.72808000000001</v>
      </c>
      <c r="C116" s="99">
        <v>542.79813000000001</v>
      </c>
      <c r="D116" s="30" t="s">
        <v>347</v>
      </c>
    </row>
    <row r="117" spans="1:7" x14ac:dyDescent="0.2">
      <c r="A117" s="28" t="s">
        <v>36</v>
      </c>
      <c r="B117" s="30">
        <v>15.175280000000001</v>
      </c>
      <c r="C117" s="30">
        <v>1667.17785</v>
      </c>
      <c r="D117" s="30" t="s">
        <v>365</v>
      </c>
    </row>
    <row r="118" spans="1:7" x14ac:dyDescent="0.2">
      <c r="A118" s="28" t="s">
        <v>117</v>
      </c>
      <c r="B118" s="99">
        <v>-235.91269</v>
      </c>
      <c r="C118" s="99">
        <v>1739.59502</v>
      </c>
      <c r="D118" s="30" t="s">
        <v>21</v>
      </c>
    </row>
    <row r="119" spans="1:7" x14ac:dyDescent="0.2">
      <c r="A119" s="28" t="s">
        <v>67</v>
      </c>
      <c r="B119" s="30">
        <v>1191.5937200000001</v>
      </c>
      <c r="C119" s="30">
        <v>2327.3584900000001</v>
      </c>
      <c r="D119" s="30" t="s">
        <v>19</v>
      </c>
    </row>
    <row r="120" spans="1:7" x14ac:dyDescent="0.2">
      <c r="A120" s="28" t="s">
        <v>56</v>
      </c>
      <c r="B120" s="99">
        <v>1463.6411499999999</v>
      </c>
      <c r="C120" s="99">
        <v>2684.4530100000002</v>
      </c>
      <c r="D120" s="30" t="s">
        <v>196</v>
      </c>
    </row>
    <row r="121" spans="1:7" x14ac:dyDescent="0.2">
      <c r="A121" s="28" t="s">
        <v>57</v>
      </c>
      <c r="B121" s="30">
        <v>3898.1445899999999</v>
      </c>
      <c r="C121" s="30">
        <v>2861.40958</v>
      </c>
      <c r="D121" s="30">
        <f>IF(OR(3898.14459="",2861.40958="",3898.14459=0),"-",2861.40958/3898.14459*100)</f>
        <v>73.404398270408961</v>
      </c>
    </row>
    <row r="122" spans="1:7" x14ac:dyDescent="0.2">
      <c r="A122" s="28" t="s">
        <v>304</v>
      </c>
      <c r="B122" s="99">
        <v>-4946.3608299999996</v>
      </c>
      <c r="C122" s="99">
        <v>6608.5073700000003</v>
      </c>
      <c r="D122" s="30" t="s">
        <v>21</v>
      </c>
    </row>
    <row r="123" spans="1:7" x14ac:dyDescent="0.2">
      <c r="A123" s="28" t="s">
        <v>59</v>
      </c>
      <c r="B123" s="99">
        <v>7298.70784</v>
      </c>
      <c r="C123" s="99">
        <v>8589.2531799999906</v>
      </c>
      <c r="D123" s="30">
        <f>IF(OR(7298.70784="",8589.25317999999="",7298.70784=0),"-",8589.25317999999/7298.70784*100)</f>
        <v>117.68183311746303</v>
      </c>
    </row>
    <row r="124" spans="1:7" x14ac:dyDescent="0.2">
      <c r="A124" s="111" t="s">
        <v>303</v>
      </c>
      <c r="B124" s="41">
        <v>1362.11715</v>
      </c>
      <c r="C124" s="41">
        <v>26712.716090000002</v>
      </c>
      <c r="D124" s="41" t="s">
        <v>366</v>
      </c>
    </row>
    <row r="125" spans="1:7" x14ac:dyDescent="0.2">
      <c r="A125" s="42" t="s">
        <v>283</v>
      </c>
      <c r="B125" s="43"/>
      <c r="C125" s="43"/>
      <c r="D125" s="43"/>
      <c r="E125" s="43"/>
      <c r="F125" s="33"/>
      <c r="G125" s="33"/>
    </row>
  </sheetData>
  <sortState ref="A49:G114">
    <sortCondition ref="C49:C114"/>
  </sortState>
  <mergeCells count="4">
    <mergeCell ref="A2:D2"/>
    <mergeCell ref="A4:A5"/>
    <mergeCell ref="D4:D5"/>
    <mergeCell ref="B4:C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J40"/>
  <sheetViews>
    <sheetView workbookViewId="0">
      <selection activeCell="A2" sqref="A2:E2"/>
    </sheetView>
  </sheetViews>
  <sheetFormatPr defaultRowHeight="12" x14ac:dyDescent="0.2"/>
  <cols>
    <col min="1" max="1" width="30.375" style="3" customWidth="1"/>
    <col min="2" max="2" width="14.875" style="3" customWidth="1"/>
    <col min="3" max="3" width="13.875" style="3" customWidth="1"/>
    <col min="4" max="5" width="11.625" style="3" customWidth="1"/>
    <col min="6" max="16384" width="9" style="3"/>
  </cols>
  <sheetData>
    <row r="2" spans="1:6" x14ac:dyDescent="0.2">
      <c r="A2" s="2" t="s">
        <v>393</v>
      </c>
      <c r="B2" s="2"/>
      <c r="C2" s="2"/>
      <c r="D2" s="2"/>
      <c r="E2" s="2"/>
    </row>
    <row r="3" spans="1:6" x14ac:dyDescent="0.2">
      <c r="A3" s="33"/>
      <c r="B3" s="33"/>
      <c r="C3" s="33"/>
      <c r="D3" s="33"/>
      <c r="E3" s="33"/>
    </row>
    <row r="4" spans="1:6" ht="18.75" customHeight="1" x14ac:dyDescent="0.2">
      <c r="A4" s="4"/>
      <c r="B4" s="5" t="s">
        <v>339</v>
      </c>
      <c r="C4" s="6"/>
      <c r="D4" s="5" t="s">
        <v>105</v>
      </c>
      <c r="E4" s="89"/>
      <c r="F4" s="18"/>
    </row>
    <row r="5" spans="1:6" ht="18.75" customHeight="1" x14ac:dyDescent="0.2">
      <c r="A5" s="9"/>
      <c r="B5" s="10" t="s">
        <v>116</v>
      </c>
      <c r="C5" s="11" t="s">
        <v>340</v>
      </c>
      <c r="D5" s="12" t="s">
        <v>341</v>
      </c>
      <c r="E5" s="5"/>
      <c r="F5" s="18"/>
    </row>
    <row r="6" spans="1:6" ht="23.25" customHeight="1" x14ac:dyDescent="0.2">
      <c r="A6" s="13"/>
      <c r="B6" s="14"/>
      <c r="C6" s="15"/>
      <c r="D6" s="16" t="s">
        <v>315</v>
      </c>
      <c r="E6" s="17" t="s">
        <v>316</v>
      </c>
      <c r="F6" s="18"/>
    </row>
    <row r="7" spans="1:6" ht="15.75" customHeight="1" x14ac:dyDescent="0.2">
      <c r="A7" s="90" t="s">
        <v>128</v>
      </c>
      <c r="B7" s="27">
        <v>1062764.76132</v>
      </c>
      <c r="C7" s="21">
        <v>155.20265452792893</v>
      </c>
      <c r="D7" s="105">
        <v>100</v>
      </c>
      <c r="E7" s="105">
        <v>100</v>
      </c>
    </row>
    <row r="8" spans="1:6" ht="15.75" customHeight="1" x14ac:dyDescent="0.2">
      <c r="A8" s="93" t="s">
        <v>121</v>
      </c>
      <c r="B8" s="99"/>
      <c r="C8" s="106"/>
      <c r="D8" s="105"/>
      <c r="E8" s="105"/>
    </row>
    <row r="9" spans="1:6" x14ac:dyDescent="0.2">
      <c r="A9" s="95" t="s">
        <v>107</v>
      </c>
      <c r="B9" s="30">
        <v>163427.20373000001</v>
      </c>
      <c r="C9" s="106" t="s">
        <v>326</v>
      </c>
      <c r="D9" s="30">
        <f>IF(42008.56343="","-",42008.56343/684759.39703*100)</f>
        <v>6.1347918133293708</v>
      </c>
      <c r="E9" s="30">
        <f>IF(163427.20373="","-",163427.20373/1062764.76132*100)</f>
        <v>15.377551992504559</v>
      </c>
    </row>
    <row r="10" spans="1:6" x14ac:dyDescent="0.2">
      <c r="A10" s="95" t="s">
        <v>108</v>
      </c>
      <c r="B10" s="30">
        <v>91268.652430000002</v>
      </c>
      <c r="C10" s="106" t="s">
        <v>367</v>
      </c>
      <c r="D10" s="30">
        <f>IF(6506.55909="","-",6506.55909/684759.39703*100)</f>
        <v>0.950196392809041</v>
      </c>
      <c r="E10" s="30">
        <f>IF(91268.65243="","-",91268.65243/1062764.76132*100)</f>
        <v>8.5878508350841791</v>
      </c>
    </row>
    <row r="11" spans="1:6" x14ac:dyDescent="0.2">
      <c r="A11" s="95" t="s">
        <v>109</v>
      </c>
      <c r="B11" s="30">
        <v>800012.09927000001</v>
      </c>
      <c r="C11" s="106">
        <v>127.54607824882636</v>
      </c>
      <c r="D11" s="30">
        <f>IF(627233.78896="","-",627233.78896/684759.39703*100)</f>
        <v>91.599150253431333</v>
      </c>
      <c r="E11" s="30">
        <f>IF(800012.09927="","-",800012.09927/1062764.76132*100)</f>
        <v>75.27649846767126</v>
      </c>
    </row>
    <row r="12" spans="1:6" x14ac:dyDescent="0.2">
      <c r="A12" s="95" t="s">
        <v>110</v>
      </c>
      <c r="B12" s="30">
        <v>7840.1907199999996</v>
      </c>
      <c r="C12" s="106">
        <v>94.045015816499443</v>
      </c>
      <c r="D12" s="30">
        <f>IF(8336.63608="","-",8336.63608/684759.39703*100)</f>
        <v>1.2174547901289718</v>
      </c>
      <c r="E12" s="30">
        <f>IF(7840.19072="","-",7840.19072/1062764.76132*100)</f>
        <v>0.73771647361191595</v>
      </c>
    </row>
    <row r="13" spans="1:6" x14ac:dyDescent="0.2">
      <c r="A13" s="95" t="s">
        <v>111</v>
      </c>
      <c r="B13" s="30">
        <v>193.02924999999999</v>
      </c>
      <c r="C13" s="106">
        <v>31.172188828265927</v>
      </c>
      <c r="D13" s="30">
        <f>IF(619.23547="","-",619.23547/684759.39703*100)</f>
        <v>9.0431102177758155E-2</v>
      </c>
      <c r="E13" s="30">
        <f>IF(193.02925="","-",193.02925/1062764.76132*100)</f>
        <v>1.8162932854515167E-2</v>
      </c>
    </row>
    <row r="14" spans="1:6" x14ac:dyDescent="0.2">
      <c r="A14" s="95" t="s">
        <v>112</v>
      </c>
      <c r="B14" s="30">
        <v>1.6260699999999999</v>
      </c>
      <c r="C14" s="106">
        <v>116.38728240952818</v>
      </c>
      <c r="D14" s="30">
        <f>IF(1.39712="","-",1.39712/684759.39703*100)</f>
        <v>2.0403078892523627E-4</v>
      </c>
      <c r="E14" s="30">
        <f>IF(1.62607="","-",1.62607/1062764.76132*100)</f>
        <v>1.5300375578696741E-4</v>
      </c>
    </row>
    <row r="15" spans="1:6" x14ac:dyDescent="0.2">
      <c r="A15" s="95" t="s">
        <v>113</v>
      </c>
      <c r="B15" s="30">
        <v>21.959849999999999</v>
      </c>
      <c r="C15" s="106">
        <v>41.264820485530151</v>
      </c>
      <c r="D15" s="30">
        <f>IF(53.21688="","-",53.21688/684759.39703*100)</f>
        <v>7.7716173346166605E-3</v>
      </c>
      <c r="E15" s="30">
        <f>IF(21.95985="","-",21.95985/1062764.76132*100)</f>
        <v>2.0662945177750257E-3</v>
      </c>
    </row>
    <row r="16" spans="1:6" x14ac:dyDescent="0.2">
      <c r="A16" s="25" t="s">
        <v>198</v>
      </c>
      <c r="B16" s="27">
        <v>713453.91433000006</v>
      </c>
      <c r="C16" s="91" t="s">
        <v>101</v>
      </c>
      <c r="D16" s="27">
        <f>IF(439720.50079="","-",439720.50079/684759.39703*100)</f>
        <v>64.215329164841734</v>
      </c>
      <c r="E16" s="27">
        <f>IF(713453.91433="","-",713453.91433/1062764.76132*100)</f>
        <v>67.131875302664284</v>
      </c>
    </row>
    <row r="17" spans="1:10" x14ac:dyDescent="0.2">
      <c r="A17" s="93" t="s">
        <v>121</v>
      </c>
      <c r="B17" s="27"/>
      <c r="C17" s="91"/>
      <c r="D17" s="99"/>
      <c r="E17" s="99"/>
    </row>
    <row r="18" spans="1:10" x14ac:dyDescent="0.2">
      <c r="A18" s="95" t="s">
        <v>107</v>
      </c>
      <c r="B18" s="30">
        <v>141305.99554999999</v>
      </c>
      <c r="C18" s="96" t="s">
        <v>368</v>
      </c>
      <c r="D18" s="30">
        <f>IF(23591.67927="","-",23591.67927/684759.39703*100)</f>
        <v>3.4452508972237479</v>
      </c>
      <c r="E18" s="30">
        <f>IF(141305.99555="","-",141305.99555/1062764.76132*100)</f>
        <v>13.296074605869675</v>
      </c>
      <c r="J18" s="107"/>
    </row>
    <row r="19" spans="1:10" x14ac:dyDescent="0.2">
      <c r="A19" s="95" t="s">
        <v>108</v>
      </c>
      <c r="B19" s="30">
        <v>12468.87293</v>
      </c>
      <c r="C19" s="96" t="s">
        <v>313</v>
      </c>
      <c r="D19" s="30">
        <f>IF(1871.41124="","-",1871.41124/684759.39703*100)</f>
        <v>0.27329471462777333</v>
      </c>
      <c r="E19" s="30">
        <f>IF(12468.87293="","-",12468.87293/1062764.76132*100)</f>
        <v>1.1732486231960793</v>
      </c>
    </row>
    <row r="20" spans="1:10" x14ac:dyDescent="0.2">
      <c r="A20" s="95" t="s">
        <v>109</v>
      </c>
      <c r="B20" s="30">
        <v>558338.19938999997</v>
      </c>
      <c r="C20" s="96">
        <v>135.37642101612499</v>
      </c>
      <c r="D20" s="30">
        <f>IF(412433.86049="","-",412433.86049/684759.39703*100)</f>
        <v>60.230478366393392</v>
      </c>
      <c r="E20" s="30">
        <f>IF(558338.19939="","-",558338.19939/1062764.76132*100)</f>
        <v>52.536386198627781</v>
      </c>
    </row>
    <row r="21" spans="1:10" x14ac:dyDescent="0.2">
      <c r="A21" s="95" t="s">
        <v>110</v>
      </c>
      <c r="B21" s="30">
        <v>1220.1907900000001</v>
      </c>
      <c r="C21" s="96">
        <v>99.703888981096028</v>
      </c>
      <c r="D21" s="30">
        <f>IF(1223.81464="","-",1223.81464/684759.39703*100)</f>
        <v>0.17872184672573155</v>
      </c>
      <c r="E21" s="30">
        <f>IF(1220.19079="","-",1220.19079/1062764.76132*100)</f>
        <v>0.11481287622714081</v>
      </c>
    </row>
    <row r="22" spans="1:10" x14ac:dyDescent="0.2">
      <c r="A22" s="95" t="s">
        <v>111</v>
      </c>
      <c r="B22" s="30">
        <v>98.695819999999998</v>
      </c>
      <c r="C22" s="96">
        <v>16.966867152932117</v>
      </c>
      <c r="D22" s="30">
        <f>IF(581.69737="","-",581.69737/684759.39703*100)</f>
        <v>8.4949162074005866E-2</v>
      </c>
      <c r="E22" s="30">
        <f>IF(98.69582="","-",98.69582/1062764.76132*100)</f>
        <v>9.2867042258171512E-3</v>
      </c>
    </row>
    <row r="23" spans="1:10" x14ac:dyDescent="0.2">
      <c r="A23" s="108" t="s">
        <v>113</v>
      </c>
      <c r="B23" s="30">
        <v>21.959849999999999</v>
      </c>
      <c r="C23" s="96">
        <v>121.74364029276327</v>
      </c>
      <c r="D23" s="30">
        <f>IF(18.03778="","-",18.03778/684759.39703*100)</f>
        <v>2.6341777970824618E-3</v>
      </c>
      <c r="E23" s="30">
        <f>IF(21.95985="","-",21.95985/1062764.76132*100)</f>
        <v>2.0662945177750257E-3</v>
      </c>
    </row>
    <row r="24" spans="1:10" x14ac:dyDescent="0.2">
      <c r="A24" s="25" t="s">
        <v>199</v>
      </c>
      <c r="B24" s="27">
        <v>102597.89543</v>
      </c>
      <c r="C24" s="91">
        <v>91.588988667004827</v>
      </c>
      <c r="D24" s="27">
        <f>IF(112019.90209="","-",112019.90209/684759.39703*100)</f>
        <v>16.35901640428197</v>
      </c>
      <c r="E24" s="27">
        <f>IF(102597.89543="","-",102597.89543/1062764.76132*100)</f>
        <v>9.6538668917257802</v>
      </c>
    </row>
    <row r="25" spans="1:10" x14ac:dyDescent="0.2">
      <c r="A25" s="93" t="s">
        <v>121</v>
      </c>
      <c r="B25" s="27"/>
      <c r="C25" s="91"/>
      <c r="D25" s="99"/>
      <c r="E25" s="99"/>
    </row>
    <row r="26" spans="1:10" x14ac:dyDescent="0.2">
      <c r="A26" s="95" t="s">
        <v>107</v>
      </c>
      <c r="B26" s="30">
        <v>82.096980000000002</v>
      </c>
      <c r="C26" s="96">
        <v>0.79935114835495324</v>
      </c>
      <c r="D26" s="30">
        <f>IF(10270.4525="","-",10270.4525/684759.39703*100)</f>
        <v>1.4998629510665979</v>
      </c>
      <c r="E26" s="30">
        <f>IF(82.09698="","-",82.09698/1062764.76132*100)</f>
        <v>7.7248496551609392E-3</v>
      </c>
    </row>
    <row r="27" spans="1:10" x14ac:dyDescent="0.2">
      <c r="A27" s="95" t="s">
        <v>108</v>
      </c>
      <c r="B27" s="30">
        <v>6411.94121</v>
      </c>
      <c r="C27" s="96" t="s">
        <v>344</v>
      </c>
      <c r="D27" s="30">
        <f>IF(949.377="","-",949.377/684759.39703*100)</f>
        <v>0.13864388048089932</v>
      </c>
      <c r="E27" s="30">
        <f>IF(6411.94121="","-",6411.94121/1062764.76132*100)</f>
        <v>0.60332647857425103</v>
      </c>
      <c r="F27" s="18"/>
    </row>
    <row r="28" spans="1:10" x14ac:dyDescent="0.2">
      <c r="A28" s="95" t="s">
        <v>109</v>
      </c>
      <c r="B28" s="30">
        <v>94542.383679999999</v>
      </c>
      <c r="C28" s="96">
        <v>97.101291918839124</v>
      </c>
      <c r="D28" s="30">
        <f>IF(97364.70217="","-",97364.70217/684759.39703*100)</f>
        <v>14.21881942654587</v>
      </c>
      <c r="E28" s="30">
        <f>IF(94542.38368="","-",94542.38368/1062764.76132*100)</f>
        <v>8.89588995805377</v>
      </c>
      <c r="F28" s="1"/>
    </row>
    <row r="29" spans="1:10" x14ac:dyDescent="0.2">
      <c r="A29" s="95" t="s">
        <v>110</v>
      </c>
      <c r="B29" s="30">
        <v>1517.2589499999999</v>
      </c>
      <c r="C29" s="96">
        <v>44.751549475469801</v>
      </c>
      <c r="D29" s="30">
        <f>IF(3390.4054="","-",3390.4054/684759.39703*100)</f>
        <v>0.49512360322547905</v>
      </c>
      <c r="E29" s="30">
        <f>IF(1517.25895="","-",1517.25895/1062764.76132*100)</f>
        <v>0.14276526708652801</v>
      </c>
    </row>
    <row r="30" spans="1:10" x14ac:dyDescent="0.2">
      <c r="A30" s="95" t="s">
        <v>111</v>
      </c>
      <c r="B30" s="30">
        <v>42.588540000000002</v>
      </c>
      <c r="C30" s="96" t="s">
        <v>323</v>
      </c>
      <c r="D30" s="30">
        <f>IF(8.3888="","-",8.3888/684759.39703*100)</f>
        <v>1.2250726366640104E-3</v>
      </c>
      <c r="E30" s="30">
        <f>IF(42.58854="","-",42.58854/1062764.76132*100)</f>
        <v>4.0073346002838092E-3</v>
      </c>
    </row>
    <row r="31" spans="1:10" x14ac:dyDescent="0.2">
      <c r="A31" s="95" t="s">
        <v>112</v>
      </c>
      <c r="B31" s="30">
        <v>1.6260699999999999</v>
      </c>
      <c r="C31" s="96">
        <v>116.38728240952818</v>
      </c>
      <c r="D31" s="30">
        <f>IF(1.39712="","-",1.39712/684759.39703*100)</f>
        <v>2.0403078892523627E-4</v>
      </c>
      <c r="E31" s="30">
        <f>IF(1.62607="","-",1.62607/1062764.76132*100)</f>
        <v>1.5300375578696741E-4</v>
      </c>
    </row>
    <row r="32" spans="1:10" x14ac:dyDescent="0.2">
      <c r="A32" s="95" t="s">
        <v>113</v>
      </c>
      <c r="B32" s="30">
        <v>0</v>
      </c>
      <c r="C32" s="96">
        <v>0</v>
      </c>
      <c r="D32" s="30">
        <f>IF(35.1791="","-",35.1791/684759.39703*100)</f>
        <v>5.1374395375341983E-3</v>
      </c>
      <c r="E32" s="30" t="s">
        <v>284</v>
      </c>
    </row>
    <row r="33" spans="1:5" x14ac:dyDescent="0.2">
      <c r="A33" s="25" t="s">
        <v>293</v>
      </c>
      <c r="B33" s="27">
        <v>246712.95155999999</v>
      </c>
      <c r="C33" s="91" t="s">
        <v>102</v>
      </c>
      <c r="D33" s="27">
        <f>IF(133018.99415="","-",133018.99415/684759.39703*100)</f>
        <v>19.4256544308763</v>
      </c>
      <c r="E33" s="27">
        <f>IF(246712.95156="","-",246712.95156/1062764.76132*100)</f>
        <v>23.214257805609943</v>
      </c>
    </row>
    <row r="34" spans="1:5" x14ac:dyDescent="0.2">
      <c r="A34" s="93" t="s">
        <v>121</v>
      </c>
      <c r="B34" s="27"/>
      <c r="C34" s="91"/>
      <c r="D34" s="99"/>
      <c r="E34" s="99"/>
    </row>
    <row r="35" spans="1:5" x14ac:dyDescent="0.2">
      <c r="A35" s="95" t="s">
        <v>107</v>
      </c>
      <c r="B35" s="30">
        <v>22039.111199999999</v>
      </c>
      <c r="C35" s="96" t="s">
        <v>285</v>
      </c>
      <c r="D35" s="30">
        <f>IF(8146.43166="","-",8146.43166/684759.39703*100)</f>
        <v>1.1896779650390248</v>
      </c>
      <c r="E35" s="30">
        <f>IF(22039.1112="","-",22039.1112/1062764.76132*100)</f>
        <v>2.0737525369797232</v>
      </c>
    </row>
    <row r="36" spans="1:5" x14ac:dyDescent="0.2">
      <c r="A36" s="95" t="s">
        <v>108</v>
      </c>
      <c r="B36" s="30">
        <v>72387.83829</v>
      </c>
      <c r="C36" s="96" t="s">
        <v>366</v>
      </c>
      <c r="D36" s="30">
        <f>IF(3685.77085="","-",3685.77085/684759.39703*100)</f>
        <v>0.53825779770036841</v>
      </c>
      <c r="E36" s="30">
        <f>IF(72387.83829="","-",72387.83829/1062764.76132*100)</f>
        <v>6.8112757333138489</v>
      </c>
    </row>
    <row r="37" spans="1:5" x14ac:dyDescent="0.2">
      <c r="A37" s="95" t="s">
        <v>109</v>
      </c>
      <c r="B37" s="30">
        <v>147131.51620000001</v>
      </c>
      <c r="C37" s="96">
        <v>125.28737827280025</v>
      </c>
      <c r="D37" s="30">
        <f>IF(117435.2263="","-",117435.2263/684759.39703*100)</f>
        <v>17.149852460492053</v>
      </c>
      <c r="E37" s="30">
        <f>IF(147131.5162="","-",147131.5162/1062764.76132*100)</f>
        <v>13.844222310989712</v>
      </c>
    </row>
    <row r="38" spans="1:5" x14ac:dyDescent="0.2">
      <c r="A38" s="95" t="s">
        <v>110</v>
      </c>
      <c r="B38" s="38">
        <v>5102.7409799999996</v>
      </c>
      <c r="C38" s="100">
        <v>137.08142575057246</v>
      </c>
      <c r="D38" s="30">
        <f>IF(3722.41604="","-",3722.41604/684759.39703*100)</f>
        <v>0.5436093401777613</v>
      </c>
      <c r="E38" s="30">
        <f>IF(5102.74098="","-",5102.74098/1062764.76132*100)</f>
        <v>0.4801383302982471</v>
      </c>
    </row>
    <row r="39" spans="1:5" x14ac:dyDescent="0.2">
      <c r="A39" s="102" t="s">
        <v>111</v>
      </c>
      <c r="B39" s="41">
        <v>51.744889999999998</v>
      </c>
      <c r="C39" s="103" t="s">
        <v>196</v>
      </c>
      <c r="D39" s="41">
        <f>IF(29.1493="","-",29.1493/684759.39703*100)</f>
        <v>4.2568674670882892E-3</v>
      </c>
      <c r="E39" s="41">
        <f>IF(51.74489="","-",51.74489/1062764.76132*100)</f>
        <v>4.8688940284142088E-3</v>
      </c>
    </row>
    <row r="40" spans="1:5" x14ac:dyDescent="0.2">
      <c r="A40" s="104" t="s">
        <v>20</v>
      </c>
    </row>
  </sheetData>
  <mergeCells count="7">
    <mergeCell ref="A2:E2"/>
    <mergeCell ref="A4:A6"/>
    <mergeCell ref="B4:C4"/>
    <mergeCell ref="D4:E4"/>
    <mergeCell ref="B5:B6"/>
    <mergeCell ref="C5:C6"/>
    <mergeCell ref="D5:E5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F42"/>
  <sheetViews>
    <sheetView workbookViewId="0">
      <selection activeCell="A2" sqref="A2:E2"/>
    </sheetView>
  </sheetViews>
  <sheetFormatPr defaultRowHeight="12" x14ac:dyDescent="0.2"/>
  <cols>
    <col min="1" max="1" width="31.625" style="3" customWidth="1"/>
    <col min="2" max="2" width="14.5" style="3" customWidth="1"/>
    <col min="3" max="3" width="13.75" style="3" customWidth="1"/>
    <col min="4" max="4" width="11.25" style="3" customWidth="1"/>
    <col min="5" max="5" width="11.125" style="3" customWidth="1"/>
    <col min="6" max="16384" width="9" style="3"/>
  </cols>
  <sheetData>
    <row r="2" spans="1:5" x14ac:dyDescent="0.2">
      <c r="A2" s="2" t="s">
        <v>392</v>
      </c>
      <c r="B2" s="2"/>
      <c r="C2" s="2"/>
      <c r="D2" s="2"/>
      <c r="E2" s="2"/>
    </row>
    <row r="3" spans="1:5" x14ac:dyDescent="0.2">
      <c r="A3" s="33"/>
      <c r="B3" s="33"/>
      <c r="C3" s="33"/>
      <c r="D3" s="33"/>
      <c r="E3" s="33"/>
    </row>
    <row r="4" spans="1:5" ht="18.75" customHeight="1" x14ac:dyDescent="0.2">
      <c r="A4" s="4"/>
      <c r="B4" s="5" t="s">
        <v>339</v>
      </c>
      <c r="C4" s="6"/>
      <c r="D4" s="5" t="s">
        <v>105</v>
      </c>
      <c r="E4" s="89"/>
    </row>
    <row r="5" spans="1:5" ht="18.75" customHeight="1" x14ac:dyDescent="0.2">
      <c r="A5" s="9"/>
      <c r="B5" s="10" t="s">
        <v>116</v>
      </c>
      <c r="C5" s="11" t="s">
        <v>340</v>
      </c>
      <c r="D5" s="12" t="s">
        <v>341</v>
      </c>
      <c r="E5" s="5"/>
    </row>
    <row r="6" spans="1:5" ht="23.25" customHeight="1" x14ac:dyDescent="0.2">
      <c r="A6" s="13"/>
      <c r="B6" s="14"/>
      <c r="C6" s="15"/>
      <c r="D6" s="16" t="s">
        <v>315</v>
      </c>
      <c r="E6" s="17" t="s">
        <v>316</v>
      </c>
    </row>
    <row r="7" spans="1:5" ht="15.75" customHeight="1" x14ac:dyDescent="0.2">
      <c r="A7" s="90" t="s">
        <v>122</v>
      </c>
      <c r="B7" s="27">
        <v>2037614.1912100001</v>
      </c>
      <c r="C7" s="91">
        <v>131.38582543627913</v>
      </c>
      <c r="D7" s="92">
        <v>100</v>
      </c>
      <c r="E7" s="92">
        <v>100</v>
      </c>
    </row>
    <row r="8" spans="1:5" ht="15.75" customHeight="1" x14ac:dyDescent="0.2">
      <c r="A8" s="93" t="s">
        <v>121</v>
      </c>
      <c r="B8" s="94"/>
      <c r="C8" s="91"/>
      <c r="D8" s="94"/>
      <c r="E8" s="94"/>
    </row>
    <row r="9" spans="1:5" x14ac:dyDescent="0.2">
      <c r="A9" s="95" t="s">
        <v>107</v>
      </c>
      <c r="B9" s="38">
        <v>93576.424750000006</v>
      </c>
      <c r="C9" s="96" t="s">
        <v>324</v>
      </c>
      <c r="D9" s="30">
        <f>IF(32169.02649="","-",32169.02649/1550863.02837*100)</f>
        <v>2.0742661280545542</v>
      </c>
      <c r="E9" s="30">
        <f>IF(93576.42475="","-",93576.42475/2037614.19121*100)</f>
        <v>4.5924505803736748</v>
      </c>
    </row>
    <row r="10" spans="1:5" x14ac:dyDescent="0.2">
      <c r="A10" s="95" t="s">
        <v>108</v>
      </c>
      <c r="B10" s="38">
        <v>74703.40552</v>
      </c>
      <c r="C10" s="96">
        <v>101.79394618313373</v>
      </c>
      <c r="D10" s="30">
        <f>IF(73386.88431="","-",73386.88431/1550863.02837*100)</f>
        <v>4.7320029536800323</v>
      </c>
      <c r="E10" s="30">
        <f>IF(74703.40552="","-",74703.40552/2037614.19121*100)</f>
        <v>3.6662193383939257</v>
      </c>
    </row>
    <row r="11" spans="1:5" x14ac:dyDescent="0.2">
      <c r="A11" s="95" t="s">
        <v>109</v>
      </c>
      <c r="B11" s="38">
        <v>1517701.4443000001</v>
      </c>
      <c r="C11" s="96">
        <v>114.08452312082464</v>
      </c>
      <c r="D11" s="30">
        <f>IF(1330330.70813="","-",1330330.70813/1550863.02837*100)</f>
        <v>85.780025946470232</v>
      </c>
      <c r="E11" s="30">
        <f>IF(1517701.4443="","-",1517701.4443/2037614.19121*100)</f>
        <v>74.484239992397221</v>
      </c>
    </row>
    <row r="12" spans="1:5" x14ac:dyDescent="0.2">
      <c r="A12" s="95" t="s">
        <v>110</v>
      </c>
      <c r="B12" s="38">
        <v>30817.14244</v>
      </c>
      <c r="C12" s="96">
        <v>91.82076089546058</v>
      </c>
      <c r="D12" s="30">
        <f>IF(33562.28171="","-",33562.28171/1550863.02837*100)</f>
        <v>2.1641035408055922</v>
      </c>
      <c r="E12" s="30">
        <f>IF(30817.14244="","-",30817.14244/2037614.19121*100)</f>
        <v>1.5124130256326787</v>
      </c>
    </row>
    <row r="13" spans="1:5" x14ac:dyDescent="0.2">
      <c r="A13" s="95" t="s">
        <v>111</v>
      </c>
      <c r="B13" s="38">
        <v>2463.3038700000002</v>
      </c>
      <c r="C13" s="96">
        <v>85.409895619410563</v>
      </c>
      <c r="D13" s="30">
        <f>IF(2884.09657="","-",2884.09657/1550863.02837*100)</f>
        <v>0.1859672013092778</v>
      </c>
      <c r="E13" s="30">
        <f>IF(2463.30387="","-",2463.30387/2037614.19121*100)</f>
        <v>0.12089157410791354</v>
      </c>
    </row>
    <row r="14" spans="1:5" x14ac:dyDescent="0.2">
      <c r="A14" s="95" t="s">
        <v>112</v>
      </c>
      <c r="B14" s="38">
        <v>308418.63848999998</v>
      </c>
      <c r="C14" s="96" t="s">
        <v>331</v>
      </c>
      <c r="D14" s="30">
        <f>IF(69871.70116="","-",69871.70116/1550863.02837*100)</f>
        <v>4.5053431464825806</v>
      </c>
      <c r="E14" s="30">
        <f>IF(308418.63849="","-",308418.63849/2037614.19121*100)</f>
        <v>15.136262783233326</v>
      </c>
    </row>
    <row r="15" spans="1:5" x14ac:dyDescent="0.2">
      <c r="A15" s="95" t="s">
        <v>113</v>
      </c>
      <c r="B15" s="38">
        <v>9933.8318400000007</v>
      </c>
      <c r="C15" s="96">
        <v>114.73149949239634</v>
      </c>
      <c r="D15" s="30">
        <f>IF(8658.33="","-",8658.33/1550863.02837*100)</f>
        <v>0.55829108319773058</v>
      </c>
      <c r="E15" s="30">
        <f>IF(9933.83184="","-",9933.83184/2037614.19121*100)</f>
        <v>0.48752270586125906</v>
      </c>
    </row>
    <row r="16" spans="1:5" x14ac:dyDescent="0.2">
      <c r="A16" s="25" t="s">
        <v>198</v>
      </c>
      <c r="B16" s="97">
        <v>898307.05730999995</v>
      </c>
      <c r="C16" s="98">
        <v>122.83249410255583</v>
      </c>
      <c r="D16" s="27">
        <f>IF(731326.8886="","-",731326.8886/1550863.02837*100)</f>
        <v>47.15612373380548</v>
      </c>
      <c r="E16" s="27">
        <f>IF(898307.05731="","-",898307.05731/2037614.19121*100)</f>
        <v>44.086219127506013</v>
      </c>
    </row>
    <row r="17" spans="1:6" x14ac:dyDescent="0.2">
      <c r="A17" s="93" t="s">
        <v>121</v>
      </c>
      <c r="B17" s="99"/>
      <c r="C17" s="98"/>
      <c r="D17" s="99"/>
      <c r="E17" s="99"/>
    </row>
    <row r="18" spans="1:6" x14ac:dyDescent="0.2">
      <c r="A18" s="95" t="s">
        <v>107</v>
      </c>
      <c r="B18" s="38">
        <v>24052.661929999998</v>
      </c>
      <c r="C18" s="100" t="s">
        <v>102</v>
      </c>
      <c r="D18" s="30">
        <f>IF(12849.76119="","-",12849.76119/1550863.02837*100)</f>
        <v>0.82855551747245226</v>
      </c>
      <c r="E18" s="30">
        <f>IF(24052.66193="","-",24052.66193/2037614.19121*100)</f>
        <v>1.1804325879629236</v>
      </c>
    </row>
    <row r="19" spans="1:6" x14ac:dyDescent="0.2">
      <c r="A19" s="95" t="s">
        <v>108</v>
      </c>
      <c r="B19" s="38">
        <v>30287.633979999999</v>
      </c>
      <c r="C19" s="100">
        <v>144.92854585597811</v>
      </c>
      <c r="D19" s="30">
        <f>IF(20898.32186="","-",20898.32186/1550863.02837*100)</f>
        <v>1.3475285358994413</v>
      </c>
      <c r="E19" s="30">
        <f>IF(30287.63398="","-",30287.63398/2037614.19121*100)</f>
        <v>1.4864263367744921</v>
      </c>
    </row>
    <row r="20" spans="1:6" x14ac:dyDescent="0.2">
      <c r="A20" s="95" t="s">
        <v>109</v>
      </c>
      <c r="B20" s="38">
        <v>827521.36103999999</v>
      </c>
      <c r="C20" s="100">
        <v>121.45748455187268</v>
      </c>
      <c r="D20" s="30">
        <f>IF(681325.95047="","-",681325.95047/1550863.02837*100)</f>
        <v>43.93205189668442</v>
      </c>
      <c r="E20" s="30">
        <f>IF(827521.36104="","-",827521.36104/2037614.19121*100)</f>
        <v>40.612269222005736</v>
      </c>
    </row>
    <row r="21" spans="1:6" x14ac:dyDescent="0.2">
      <c r="A21" s="95" t="s">
        <v>110</v>
      </c>
      <c r="B21" s="38">
        <v>6078.50468</v>
      </c>
      <c r="C21" s="100">
        <v>78.368611343441955</v>
      </c>
      <c r="D21" s="30">
        <f>IF(7756.3001="","-",7756.3001/1550863.02837*100)</f>
        <v>0.50012799055195001</v>
      </c>
      <c r="E21" s="30">
        <f>IF(6078.50468="","-",6078.50468/2037614.19121*100)</f>
        <v>0.29831479905380864</v>
      </c>
    </row>
    <row r="22" spans="1:6" x14ac:dyDescent="0.2">
      <c r="A22" s="95" t="s">
        <v>111</v>
      </c>
      <c r="B22" s="38">
        <v>1798.9419499999999</v>
      </c>
      <c r="C22" s="100">
        <v>130.4793503273556</v>
      </c>
      <c r="D22" s="30">
        <f>IF(1378.71774="","-",1378.71774/1550863.02837*100)</f>
        <v>8.890003274170967E-2</v>
      </c>
      <c r="E22" s="30">
        <f>IF(1798.94195="","-",1798.94195/2037614.19121*100)</f>
        <v>8.8286681441481857E-2</v>
      </c>
    </row>
    <row r="23" spans="1:6" x14ac:dyDescent="0.2">
      <c r="A23" s="95" t="s">
        <v>113</v>
      </c>
      <c r="B23" s="38">
        <v>8567.9537299999993</v>
      </c>
      <c r="C23" s="100">
        <v>120.37299310316907</v>
      </c>
      <c r="D23" s="30">
        <f>IF(7117.83724="","-",7117.83724/1550863.02837*100)</f>
        <v>0.45895976045550874</v>
      </c>
      <c r="E23" s="30">
        <f>IF(8567.95373="","-",8567.95373/2037614.19121*100)</f>
        <v>0.42048950026756915</v>
      </c>
    </row>
    <row r="24" spans="1:6" x14ac:dyDescent="0.2">
      <c r="A24" s="25" t="s">
        <v>199</v>
      </c>
      <c r="B24" s="97">
        <v>628892.04844000004</v>
      </c>
      <c r="C24" s="56" t="s">
        <v>100</v>
      </c>
      <c r="D24" s="27">
        <f>IF(360583.47945="","-",360583.47945/1550863.02837*100)</f>
        <v>23.250504580600083</v>
      </c>
      <c r="E24" s="27">
        <f>IF(628892.04844="","-",628892.04844/2037614.19121*100)</f>
        <v>30.86413763473761</v>
      </c>
    </row>
    <row r="25" spans="1:6" x14ac:dyDescent="0.2">
      <c r="A25" s="95" t="s">
        <v>121</v>
      </c>
      <c r="B25" s="99"/>
      <c r="C25" s="99"/>
      <c r="D25" s="99"/>
      <c r="E25" s="99"/>
    </row>
    <row r="26" spans="1:6" x14ac:dyDescent="0.2">
      <c r="A26" s="95" t="s">
        <v>107</v>
      </c>
      <c r="B26" s="38">
        <v>55278.674749999998</v>
      </c>
      <c r="C26" s="99" t="s">
        <v>324</v>
      </c>
      <c r="D26" s="30">
        <f>IF(18760.39615="","-",18760.39615/1550863.02837*100)</f>
        <v>1.2096746009683201</v>
      </c>
      <c r="E26" s="30">
        <f>IF(55278.67475="","-",55278.67475/2037614.19121*100)</f>
        <v>2.7129117469079742</v>
      </c>
    </row>
    <row r="27" spans="1:6" x14ac:dyDescent="0.2">
      <c r="A27" s="95" t="s">
        <v>108</v>
      </c>
      <c r="B27" s="38">
        <v>44344.651089999999</v>
      </c>
      <c r="C27" s="99">
        <v>84.484407688326783</v>
      </c>
      <c r="D27" s="30">
        <f>IF(52488.56245="","-",52488.56245/1550863.02837*100)</f>
        <v>3.384474417780591</v>
      </c>
      <c r="E27" s="30">
        <f>IF(44344.65109="","-",44344.65109/2037614.19121*100)</f>
        <v>2.1763026230037559</v>
      </c>
      <c r="F27" s="18"/>
    </row>
    <row r="28" spans="1:6" x14ac:dyDescent="0.2">
      <c r="A28" s="95" t="s">
        <v>109</v>
      </c>
      <c r="B28" s="38">
        <v>217307.28</v>
      </c>
      <c r="C28" s="99">
        <v>101.73423648756092</v>
      </c>
      <c r="D28" s="30">
        <f>IF(213602.90056="","-",213602.90056/1550863.02837*100)</f>
        <v>13.77316350009985</v>
      </c>
      <c r="E28" s="30">
        <f>IF(217307.28="","-",217307.28/2037614.19121*100)</f>
        <v>10.664790269788808</v>
      </c>
      <c r="F28" s="18"/>
    </row>
    <row r="29" spans="1:6" x14ac:dyDescent="0.2">
      <c r="A29" s="95" t="s">
        <v>110</v>
      </c>
      <c r="B29" s="38">
        <v>3079.4617499999999</v>
      </c>
      <c r="C29" s="99">
        <v>57.300618032102712</v>
      </c>
      <c r="D29" s="30">
        <f>IF(5374.22083="","-",5374.22083/1550863.02837*100)</f>
        <v>0.34653097866730725</v>
      </c>
      <c r="E29" s="30">
        <f>IF(3079.46175="","-",3079.46175/2037614.19121*100)</f>
        <v>0.1511307569060126</v>
      </c>
      <c r="F29" s="1"/>
    </row>
    <row r="30" spans="1:6" x14ac:dyDescent="0.2">
      <c r="A30" s="95" t="s">
        <v>111</v>
      </c>
      <c r="B30" s="38">
        <v>28.471319999999999</v>
      </c>
      <c r="C30" s="99">
        <v>46.517424599763643</v>
      </c>
      <c r="D30" s="30">
        <f>IF(61.20571="","-",61.20571/1550863.02837*100)</f>
        <v>3.9465580699495368E-3</v>
      </c>
      <c r="E30" s="30">
        <f>IF(28.47132="","-",28.47132/2037614.19121*100)</f>
        <v>1.3972870881456133E-3</v>
      </c>
    </row>
    <row r="31" spans="1:6" x14ac:dyDescent="0.2">
      <c r="A31" s="95" t="s">
        <v>112</v>
      </c>
      <c r="B31" s="38">
        <v>308418.63848999998</v>
      </c>
      <c r="C31" s="99" t="s">
        <v>331</v>
      </c>
      <c r="D31" s="30">
        <f>IF(69871.70116="","-",69871.70116/1550863.02837*100)</f>
        <v>4.5053431464825806</v>
      </c>
      <c r="E31" s="30">
        <f>IF(308418.63849="","-",308418.63849/2037614.19121*100)</f>
        <v>15.136262783233326</v>
      </c>
    </row>
    <row r="32" spans="1:6" x14ac:dyDescent="0.2">
      <c r="A32" s="95" t="s">
        <v>113</v>
      </c>
      <c r="B32" s="38">
        <v>434.87103999999999</v>
      </c>
      <c r="C32" s="101">
        <v>102.44490722441115</v>
      </c>
      <c r="D32" s="30">
        <f>IF(424.49259="","-",424.49259/1550863.02837*100)</f>
        <v>2.7371378531484726E-2</v>
      </c>
      <c r="E32" s="30">
        <f>IF(434.87104="","-",434.87104/2037614.19121*100)</f>
        <v>2.1342167809587139E-2</v>
      </c>
    </row>
    <row r="33" spans="1:5" x14ac:dyDescent="0.2">
      <c r="A33" s="25" t="s">
        <v>200</v>
      </c>
      <c r="B33" s="97">
        <v>510415.08545999997</v>
      </c>
      <c r="C33" s="98">
        <v>111.21301380062125</v>
      </c>
      <c r="D33" s="27">
        <f>IF(458952.66032="","-",458952.66032/1550863.02837*100)</f>
        <v>29.593371685594438</v>
      </c>
      <c r="E33" s="27">
        <f>IF(510415.08546="","-",510415.08546/2037614.19121*100)</f>
        <v>25.049643237756371</v>
      </c>
    </row>
    <row r="34" spans="1:5" x14ac:dyDescent="0.2">
      <c r="A34" s="95" t="s">
        <v>121</v>
      </c>
      <c r="B34" s="99"/>
      <c r="C34" s="98"/>
      <c r="D34" s="99"/>
      <c r="E34" s="99"/>
    </row>
    <row r="35" spans="1:5" x14ac:dyDescent="0.2">
      <c r="A35" s="95" t="s">
        <v>107</v>
      </c>
      <c r="B35" s="38">
        <v>14245.08807</v>
      </c>
      <c r="C35" s="100" t="s">
        <v>369</v>
      </c>
      <c r="D35" s="30">
        <f>IF(558.86915="","-",558.86915/1550863.02837*100)</f>
        <v>3.6036009613781748E-2</v>
      </c>
      <c r="E35" s="30">
        <f>IF(14245.08807="","-",14245.08807/2037614.19121*100)</f>
        <v>0.69910624550277667</v>
      </c>
    </row>
    <row r="36" spans="1:5" x14ac:dyDescent="0.2">
      <c r="A36" s="95" t="s">
        <v>108</v>
      </c>
      <c r="B36" s="38">
        <v>71.120450000000005</v>
      </c>
      <c r="C36" s="100" t="s">
        <v>284</v>
      </c>
      <c r="D36" s="99" t="s">
        <v>284</v>
      </c>
      <c r="E36" s="30">
        <f>IF(71.12045="","-",71.12045/2037614.19121*100)</f>
        <v>3.4903786156773092E-3</v>
      </c>
    </row>
    <row r="37" spans="1:5" x14ac:dyDescent="0.2">
      <c r="A37" s="95" t="s">
        <v>109</v>
      </c>
      <c r="B37" s="38">
        <v>472872.80326000002</v>
      </c>
      <c r="C37" s="100">
        <v>108.60606025191895</v>
      </c>
      <c r="D37" s="30">
        <f>IF(435401.8571="","-",435401.8571/1550863.02837*100)</f>
        <v>28.074810549685971</v>
      </c>
      <c r="E37" s="30">
        <f>IF(472872.80326="","-",472872.80326/2037614.19121*100)</f>
        <v>23.207180500602671</v>
      </c>
    </row>
    <row r="38" spans="1:5" x14ac:dyDescent="0.2">
      <c r="A38" s="95" t="s">
        <v>110</v>
      </c>
      <c r="B38" s="38">
        <v>21659.176009999999</v>
      </c>
      <c r="C38" s="100">
        <v>106.0073884146171</v>
      </c>
      <c r="D38" s="30">
        <f>IF(20431.76078="","-",20431.76078/1550863.02837*100)</f>
        <v>1.3174445715863345</v>
      </c>
      <c r="E38" s="30">
        <f>IF(21659.17601="","-",21659.17601/2037614.19121*100)</f>
        <v>1.0629674696728577</v>
      </c>
    </row>
    <row r="39" spans="1:5" x14ac:dyDescent="0.2">
      <c r="A39" s="95" t="s">
        <v>111</v>
      </c>
      <c r="B39" s="38">
        <v>635.89059999999995</v>
      </c>
      <c r="C39" s="100">
        <v>44.031466255236765</v>
      </c>
      <c r="D39" s="38">
        <f>IF(1444.17312="","-",1444.17312/1550863.02837*100)</f>
        <v>9.3120610497618606E-2</v>
      </c>
      <c r="E39" s="38">
        <f>IF(635.8906="","-",635.8906/2037614.19121*100)</f>
        <v>3.1207605578286036E-2</v>
      </c>
    </row>
    <row r="40" spans="1:5" x14ac:dyDescent="0.2">
      <c r="A40" s="102" t="s">
        <v>113</v>
      </c>
      <c r="B40" s="41">
        <v>931.00707</v>
      </c>
      <c r="C40" s="103">
        <v>83.42355987275522</v>
      </c>
      <c r="D40" s="41">
        <f>IF(1116.00017="","-",1116.00017/1550863.02837*100)</f>
        <v>7.195994421073712E-2</v>
      </c>
      <c r="E40" s="41">
        <f>IF(931.00707="","-",931.00707/2037614.19121*100)</f>
        <v>4.569103778410271E-2</v>
      </c>
    </row>
    <row r="41" spans="1:5" x14ac:dyDescent="0.2">
      <c r="A41" s="104" t="s">
        <v>20</v>
      </c>
    </row>
    <row r="42" spans="1:5" x14ac:dyDescent="0.2">
      <c r="B42" s="18"/>
      <c r="C42" s="18"/>
      <c r="D42" s="18"/>
      <c r="E42" s="18"/>
    </row>
  </sheetData>
  <mergeCells count="7">
    <mergeCell ref="A2:E2"/>
    <mergeCell ref="A4:A6"/>
    <mergeCell ref="B4:C4"/>
    <mergeCell ref="D4:E4"/>
    <mergeCell ref="B5:B6"/>
    <mergeCell ref="C5:C6"/>
    <mergeCell ref="D5:E5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K83"/>
  <sheetViews>
    <sheetView zoomScaleNormal="100" workbookViewId="0">
      <selection activeCell="B2" sqref="B2:H2"/>
    </sheetView>
  </sheetViews>
  <sheetFormatPr defaultRowHeight="12" x14ac:dyDescent="0.2"/>
  <cols>
    <col min="1" max="1" width="4.875" style="3" customWidth="1"/>
    <col min="2" max="2" width="26.125" style="3" customWidth="1"/>
    <col min="3" max="3" width="12.625" style="3" customWidth="1"/>
    <col min="4" max="4" width="10.25" style="3" customWidth="1"/>
    <col min="5" max="5" width="7.625" style="3" customWidth="1"/>
    <col min="6" max="6" width="7.875" style="3" customWidth="1"/>
    <col min="7" max="7" width="8.875" style="3" customWidth="1"/>
    <col min="8" max="8" width="8.5" style="3" customWidth="1"/>
    <col min="9" max="9" width="9" style="3"/>
    <col min="10" max="10" width="9.125" style="3" customWidth="1"/>
    <col min="11" max="16384" width="9" style="3"/>
  </cols>
  <sheetData>
    <row r="2" spans="1:11" x14ac:dyDescent="0.2">
      <c r="B2" s="45" t="s">
        <v>390</v>
      </c>
      <c r="C2" s="45"/>
      <c r="D2" s="45"/>
      <c r="E2" s="45"/>
      <c r="F2" s="45"/>
      <c r="G2" s="45"/>
      <c r="H2" s="45"/>
    </row>
    <row r="3" spans="1:11" x14ac:dyDescent="0.2">
      <c r="B3" s="45" t="s">
        <v>282</v>
      </c>
      <c r="C3" s="45"/>
      <c r="D3" s="45"/>
      <c r="E3" s="45"/>
      <c r="F3" s="45"/>
      <c r="G3" s="45"/>
      <c r="H3" s="45"/>
    </row>
    <row r="4" spans="1:11" x14ac:dyDescent="0.2">
      <c r="B4" s="86"/>
    </row>
    <row r="5" spans="1:11" ht="57" customHeight="1" x14ac:dyDescent="0.2">
      <c r="A5" s="70" t="s">
        <v>207</v>
      </c>
      <c r="B5" s="71"/>
      <c r="C5" s="72" t="s">
        <v>339</v>
      </c>
      <c r="D5" s="49"/>
      <c r="E5" s="72" t="s">
        <v>0</v>
      </c>
      <c r="F5" s="49"/>
      <c r="G5" s="50" t="s">
        <v>103</v>
      </c>
      <c r="H5" s="73"/>
    </row>
    <row r="6" spans="1:11" ht="19.5" customHeight="1" x14ac:dyDescent="0.2">
      <c r="A6" s="74"/>
      <c r="B6" s="75"/>
      <c r="C6" s="76" t="s">
        <v>106</v>
      </c>
      <c r="D6" s="47" t="s">
        <v>340</v>
      </c>
      <c r="E6" s="77" t="s">
        <v>341</v>
      </c>
      <c r="F6" s="77"/>
      <c r="G6" s="77" t="s">
        <v>391</v>
      </c>
      <c r="H6" s="72"/>
    </row>
    <row r="7" spans="1:11" ht="33" customHeight="1" x14ac:dyDescent="0.2">
      <c r="A7" s="78"/>
      <c r="B7" s="79"/>
      <c r="C7" s="80"/>
      <c r="D7" s="51"/>
      <c r="E7" s="81" t="s">
        <v>315</v>
      </c>
      <c r="F7" s="81" t="s">
        <v>316</v>
      </c>
      <c r="G7" s="81" t="s">
        <v>315</v>
      </c>
      <c r="H7" s="53" t="s">
        <v>316</v>
      </c>
      <c r="I7" s="18"/>
    </row>
    <row r="8" spans="1:11" ht="16.5" customHeight="1" x14ac:dyDescent="0.2">
      <c r="A8" s="82"/>
      <c r="B8" s="19" t="s">
        <v>97</v>
      </c>
      <c r="C8" s="20">
        <v>1062764.76132</v>
      </c>
      <c r="D8" s="21">
        <f>IF(684759.39703="","-",1062764.76132/684759.39703*100)</f>
        <v>155.20265452792893</v>
      </c>
      <c r="E8" s="21">
        <v>100</v>
      </c>
      <c r="F8" s="21">
        <v>100</v>
      </c>
      <c r="G8" s="21">
        <f>IF(675027.19329="","-",(684759.39703-675027.19329)/675027.19329*100)</f>
        <v>1.4417498786332525</v>
      </c>
      <c r="H8" s="21">
        <f>IF(684759.39703="","-",(1062764.76132-684759.39703)/684759.39703*100)</f>
        <v>55.202654527928921</v>
      </c>
    </row>
    <row r="9" spans="1:11" x14ac:dyDescent="0.2">
      <c r="A9" s="59" t="s">
        <v>208</v>
      </c>
      <c r="B9" s="60" t="s">
        <v>174</v>
      </c>
      <c r="C9" s="57">
        <v>313284.00614999997</v>
      </c>
      <c r="D9" s="27" t="s">
        <v>277</v>
      </c>
      <c r="E9" s="27">
        <f>IF(121320.01129="","-",121320.01129/684759.39703*100)</f>
        <v>17.717173625685177</v>
      </c>
      <c r="F9" s="27">
        <f>IF(313284.00615="","-",313284.00615/1062764.76132*100)</f>
        <v>29.478207930124405</v>
      </c>
      <c r="G9" s="27">
        <f>IF(675027.19329="","-",(121320.01129-196330.0303)/675027.19329*100)</f>
        <v>-11.112147740954015</v>
      </c>
      <c r="H9" s="27">
        <f>IF(684759.39703="","-",(313284.00615-121320.01129)/684759.39703*100)</f>
        <v>28.033787589130355</v>
      </c>
    </row>
    <row r="10" spans="1:11" ht="13.5" customHeight="1" x14ac:dyDescent="0.2">
      <c r="A10" s="61" t="s">
        <v>209</v>
      </c>
      <c r="B10" s="62" t="s">
        <v>22</v>
      </c>
      <c r="C10" s="34">
        <v>2336.7886600000002</v>
      </c>
      <c r="D10" s="30">
        <f>IF(OR(3107.14649="",2336.78866=""),"-",2336.78866/3107.14649*100)</f>
        <v>75.206903424756135</v>
      </c>
      <c r="E10" s="30">
        <f>IF(3107.14649="","-",3107.14649/684759.39703*100)</f>
        <v>0.45375740785399876</v>
      </c>
      <c r="F10" s="30">
        <f>IF(2336.78866="","-",2336.78866/1062764.76132*100)</f>
        <v>0.21987825952166565</v>
      </c>
      <c r="G10" s="30">
        <f>IF(OR(675027.19329="",4372.55013="",3107.14649=""),"-",(3107.14649-4372.55013)/675027.19329*100)</f>
        <v>-0.18745965385965815</v>
      </c>
      <c r="H10" s="30">
        <f>IF(OR(684759.39703="",2336.78866="",3107.14649=""),"-",(2336.78866-3107.14649)/684759.39703*100)</f>
        <v>-0.11250051234656511</v>
      </c>
      <c r="I10" s="59"/>
      <c r="J10" s="60"/>
      <c r="K10" s="26"/>
    </row>
    <row r="11" spans="1:11" x14ac:dyDescent="0.2">
      <c r="A11" s="61" t="s">
        <v>210</v>
      </c>
      <c r="B11" s="62" t="s">
        <v>175</v>
      </c>
      <c r="C11" s="34">
        <v>176.02008000000001</v>
      </c>
      <c r="D11" s="30">
        <f>IF(OR(1363.27531="",176.02008=""),"-",176.02008/1363.27531*100)</f>
        <v>12.911557827596834</v>
      </c>
      <c r="E11" s="30">
        <f>IF(1363.27531="","-",1363.27531/684759.39703*100)</f>
        <v>0.19908822221541173</v>
      </c>
      <c r="F11" s="30">
        <f>IF(176.02008="","-",176.02008/1062764.76132*100)</f>
        <v>1.6562468610774733E-2</v>
      </c>
      <c r="G11" s="30">
        <f>IF(OR(675027.19329="",846.06403="",1363.27531=""),"-",(1363.27531-846.06403)/675027.19329*100)</f>
        <v>7.6620806560277296E-2</v>
      </c>
      <c r="H11" s="30">
        <f>IF(OR(684759.39703="",176.02008="",1363.27531=""),"-",(176.02008-1363.27531)/684759.39703*100)</f>
        <v>-0.17338283127613438</v>
      </c>
      <c r="I11" s="61"/>
      <c r="J11" s="62"/>
      <c r="K11" s="29"/>
    </row>
    <row r="12" spans="1:11" s="33" customFormat="1" x14ac:dyDescent="0.2">
      <c r="A12" s="61" t="s">
        <v>211</v>
      </c>
      <c r="B12" s="62" t="s">
        <v>176</v>
      </c>
      <c r="C12" s="34">
        <v>2643.9772400000002</v>
      </c>
      <c r="D12" s="30">
        <f>IF(OR(2005.07556="",2643.97724=""),"-",2643.97724/2005.07556*100)</f>
        <v>131.86421962073092</v>
      </c>
      <c r="E12" s="30">
        <f>IF(2005.07556="","-",2005.07556/684759.39703*100)</f>
        <v>0.29281461031372391</v>
      </c>
      <c r="F12" s="30">
        <f>IF(2643.97724="","-",2643.97724/1062764.76132*100)</f>
        <v>0.24878292320457307</v>
      </c>
      <c r="G12" s="30">
        <f>IF(OR(675027.19329="",1727.17086="",2005.07556=""),"-",(2005.07556-1727.17086)/675027.19329*100)</f>
        <v>4.1169408101253899E-2</v>
      </c>
      <c r="H12" s="30">
        <f>IF(OR(684759.39703="",2643.97724="",2005.07556=""),"-",(2643.97724-2005.07556)/684759.39703*100)</f>
        <v>9.3303090511952361E-2</v>
      </c>
      <c r="I12" s="61"/>
      <c r="J12" s="62"/>
      <c r="K12" s="29"/>
    </row>
    <row r="13" spans="1:11" s="33" customFormat="1" x14ac:dyDescent="0.2">
      <c r="A13" s="61" t="s">
        <v>212</v>
      </c>
      <c r="B13" s="62" t="s">
        <v>177</v>
      </c>
      <c r="C13" s="34">
        <v>0.66385000000000005</v>
      </c>
      <c r="D13" s="30">
        <f>IF(OR(1.13132="",0.66385=""),"-",0.66385/1.13132*100)</f>
        <v>58.679241947459602</v>
      </c>
      <c r="E13" s="30">
        <f>IF(1.13132="","-",1.13132/684759.39703*100)</f>
        <v>1.6521423508853808E-4</v>
      </c>
      <c r="F13" s="30">
        <f>IF(0.66385="","-",0.66385/1062764.76132*100)</f>
        <v>6.2464434667128927E-5</v>
      </c>
      <c r="G13" s="30">
        <f>IF(OR(675027.19329="",2.63029="",1.13132=""),"-",(1.13132-2.63029)/675027.19329*100)</f>
        <v>-2.2206068361397467E-4</v>
      </c>
      <c r="H13" s="30">
        <f>IF(OR(684759.39703="",0.66385="",1.13132=""),"-",(0.66385-1.13132)/684759.39703*100)</f>
        <v>-6.8267774349290122E-5</v>
      </c>
      <c r="I13" s="61"/>
      <c r="J13" s="62"/>
      <c r="K13" s="29"/>
    </row>
    <row r="14" spans="1:11" s="33" customFormat="1" ht="15.75" customHeight="1" x14ac:dyDescent="0.2">
      <c r="A14" s="61" t="s">
        <v>213</v>
      </c>
      <c r="B14" s="62" t="s">
        <v>178</v>
      </c>
      <c r="C14" s="34">
        <v>183820.83040000001</v>
      </c>
      <c r="D14" s="30" t="s">
        <v>371</v>
      </c>
      <c r="E14" s="30">
        <f>IF(30371.98873="","-",30371.98873/684759.39703*100)</f>
        <v>4.4354248896374582</v>
      </c>
      <c r="F14" s="30">
        <f>IF(183820.8304="","-",183820.8304/1062764.76132*100)</f>
        <v>17.296473979028672</v>
      </c>
      <c r="G14" s="30">
        <f>IF(OR(675027.19329="",75967.78326="",30371.98873=""),"-",(30371.98873-75967.78326)/675027.19329*100)</f>
        <v>-6.7546604023123384</v>
      </c>
      <c r="H14" s="30">
        <f>IF(OR(684759.39703="",183820.8304="",30371.98873=""),"-",(183820.8304-30371.98873)/684759.39703*100)</f>
        <v>22.409161865547532</v>
      </c>
      <c r="I14" s="61"/>
      <c r="J14" s="62"/>
      <c r="K14" s="29"/>
    </row>
    <row r="15" spans="1:11" s="33" customFormat="1" ht="15.75" customHeight="1" x14ac:dyDescent="0.2">
      <c r="A15" s="61" t="s">
        <v>214</v>
      </c>
      <c r="B15" s="62" t="s">
        <v>179</v>
      </c>
      <c r="C15" s="34">
        <v>93153.487949999995</v>
      </c>
      <c r="D15" s="30">
        <f>IF(OR(72588.88218="",93153.48795=""),"-",93153.48795/72588.88218*100)</f>
        <v>128.33024170148474</v>
      </c>
      <c r="E15" s="30">
        <f>IF(72588.88218="","-",72588.88218/684759.39703*100)</f>
        <v>10.600640530796515</v>
      </c>
      <c r="F15" s="30">
        <f>IF(93153.48795="","-",93153.48795/1062764.76132*100)</f>
        <v>8.7652029254620114</v>
      </c>
      <c r="G15" s="30">
        <f>IF(OR(675027.19329="",94325.04613="",72588.88218=""),"-",(72588.88218-94325.04613)/675027.19329*100)</f>
        <v>-3.2200427132513871</v>
      </c>
      <c r="H15" s="30">
        <f>IF(OR(684759.39703="",93153.48795="",72588.88218=""),"-",(93153.48795-72588.88218)/684759.39703*100)</f>
        <v>3.0031870842802086</v>
      </c>
      <c r="I15" s="61"/>
      <c r="J15" s="62"/>
      <c r="K15" s="29"/>
    </row>
    <row r="16" spans="1:11" s="33" customFormat="1" ht="24" x14ac:dyDescent="0.2">
      <c r="A16" s="61" t="s">
        <v>215</v>
      </c>
      <c r="B16" s="62" t="s">
        <v>137</v>
      </c>
      <c r="C16" s="34">
        <v>9557.4488999999994</v>
      </c>
      <c r="D16" s="30" t="s">
        <v>311</v>
      </c>
      <c r="E16" s="30">
        <f>IF(2317.85125="","-",2317.85125/684759.39703*100)</f>
        <v>0.33849133871739373</v>
      </c>
      <c r="F16" s="30">
        <f>IF(9557.4489="","-",9557.4489/1062764.76132*100)</f>
        <v>0.89930050824504493</v>
      </c>
      <c r="G16" s="30">
        <f>IF(OR(675027.19329="",6202.71232="",2317.85125=""),"-",(2317.85125-6202.71232)/675027.19329*100)</f>
        <v>-0.57551178806081305</v>
      </c>
      <c r="H16" s="30">
        <f>IF(OR(684759.39703="",9557.4489="",2317.85125=""),"-",(9557.4489-2317.85125)/684759.39703*100)</f>
        <v>1.0572469222620724</v>
      </c>
      <c r="I16" s="61"/>
      <c r="J16" s="62"/>
      <c r="K16" s="29"/>
    </row>
    <row r="17" spans="1:11" s="33" customFormat="1" ht="24" x14ac:dyDescent="0.2">
      <c r="A17" s="61" t="s">
        <v>216</v>
      </c>
      <c r="B17" s="62" t="s">
        <v>180</v>
      </c>
      <c r="C17" s="34">
        <v>2749.6015200000002</v>
      </c>
      <c r="D17" s="30">
        <f>IF(OR(2669.52786="",2749.60152=""),"-",2749.60152/2669.52786*100)</f>
        <v>102.99954389687471</v>
      </c>
      <c r="E17" s="30">
        <f>IF(2669.52786="","-",2669.52786/684759.39703*100)</f>
        <v>0.38984902895506313</v>
      </c>
      <c r="F17" s="30">
        <f>IF(2749.60152="","-",2749.60152/1062764.76132*100)</f>
        <v>0.25872155533129226</v>
      </c>
      <c r="G17" s="30">
        <f>IF(OR(675027.19329="",2716.00033="",2669.52786=""),"-",(2669.52786-2716.00033)/675027.19329*100)</f>
        <v>-6.8845330176253456E-3</v>
      </c>
      <c r="H17" s="30">
        <f>IF(OR(684759.39703="",2749.60152="",2669.52786=""),"-",(2749.60152-2669.52786)/684759.39703*100)</f>
        <v>1.1693692755046911E-2</v>
      </c>
      <c r="I17" s="61"/>
      <c r="J17" s="62"/>
      <c r="K17" s="29"/>
    </row>
    <row r="18" spans="1:11" s="33" customFormat="1" ht="24" x14ac:dyDescent="0.2">
      <c r="A18" s="61" t="s">
        <v>217</v>
      </c>
      <c r="B18" s="62" t="s">
        <v>138</v>
      </c>
      <c r="C18" s="34">
        <v>17130.69989</v>
      </c>
      <c r="D18" s="30" t="s">
        <v>292</v>
      </c>
      <c r="E18" s="30">
        <f>IF(5658.97945="","-",5658.97945/684759.39703*100)</f>
        <v>0.82641866245934481</v>
      </c>
      <c r="F18" s="30">
        <f>IF(17130.69989="","-",17130.69989/1062764.76132*100)</f>
        <v>1.6118995015155495</v>
      </c>
      <c r="G18" s="30">
        <f>IF(OR(675027.19329="",9439.63342="",5658.97945=""),"-",(5658.97945-9439.63342)/675027.19329*100)</f>
        <v>-0.56007432109120747</v>
      </c>
      <c r="H18" s="30">
        <f>IF(OR(684759.39703="",17130.69989="",5658.97945=""),"-",(17130.69989-5658.97945)/684759.39703*100)</f>
        <v>1.675292152215242</v>
      </c>
      <c r="I18" s="61"/>
      <c r="J18" s="62"/>
      <c r="K18" s="29"/>
    </row>
    <row r="19" spans="1:11" s="33" customFormat="1" ht="24" x14ac:dyDescent="0.2">
      <c r="A19" s="61" t="s">
        <v>218</v>
      </c>
      <c r="B19" s="62" t="s">
        <v>181</v>
      </c>
      <c r="C19" s="34">
        <v>1714.48766</v>
      </c>
      <c r="D19" s="30">
        <f>IF(OR(1236.15314="",1714.48766=""),"-",1714.48766/1236.15314*100)</f>
        <v>138.69540953477659</v>
      </c>
      <c r="E19" s="30">
        <f>IF(1236.15314="","-",1236.15314/684759.39703*100)</f>
        <v>0.1805237205011796</v>
      </c>
      <c r="F19" s="30">
        <f>IF(1714.48766="","-",1714.48766/1062764.76132*100)</f>
        <v>0.16132334477015703</v>
      </c>
      <c r="G19" s="30">
        <f>IF(OR(675027.19329="",730.43953="",1236.15314=""),"-",(1236.15314-730.43953)/675027.19329*100)</f>
        <v>7.4917516661101261E-2</v>
      </c>
      <c r="H19" s="30">
        <f>IF(OR(684759.39703="",1714.48766="",1236.15314=""),"-",(1714.48766-1236.15314)/684759.39703*100)</f>
        <v>6.9854392955346886E-2</v>
      </c>
      <c r="I19" s="61"/>
      <c r="J19" s="62"/>
      <c r="K19" s="29"/>
    </row>
    <row r="20" spans="1:11" s="33" customFormat="1" x14ac:dyDescent="0.2">
      <c r="A20" s="59" t="s">
        <v>219</v>
      </c>
      <c r="B20" s="60" t="s">
        <v>182</v>
      </c>
      <c r="C20" s="57">
        <v>37725.172789999997</v>
      </c>
      <c r="D20" s="27">
        <f>IF(48855.75303="","-",37725.17279/48855.75303*100)</f>
        <v>77.217462530635345</v>
      </c>
      <c r="E20" s="27">
        <f>IF(48855.75303="","-",48855.75303/684759.39703*100)</f>
        <v>7.1347327604267372</v>
      </c>
      <c r="F20" s="27">
        <f>IF(37725.17279="","-",37725.17279/1062764.76132*100)</f>
        <v>3.5497199533736605</v>
      </c>
      <c r="G20" s="27">
        <f>IF(675027.19329="","-",(48855.75303-46802.60652)/675027.19329*100)</f>
        <v>0.30415759993211733</v>
      </c>
      <c r="H20" s="27">
        <f>IF(684759.39703="","-",(37725.17279-48855.75303)/684759.39703*100)</f>
        <v>-1.6254731644832561</v>
      </c>
      <c r="I20" s="61"/>
      <c r="J20" s="62"/>
      <c r="K20" s="29"/>
    </row>
    <row r="21" spans="1:11" s="33" customFormat="1" x14ac:dyDescent="0.2">
      <c r="A21" s="61" t="s">
        <v>220</v>
      </c>
      <c r="B21" s="62" t="s">
        <v>183</v>
      </c>
      <c r="C21" s="34">
        <v>34795.575389999998</v>
      </c>
      <c r="D21" s="30">
        <f>IF(OR(45285.34677="",34795.57539=""),"-",34795.57539/45285.34677*100)</f>
        <v>76.836278999305094</v>
      </c>
      <c r="E21" s="30">
        <f>IF(45285.34677="","-",45285.34677/684759.39703*100)</f>
        <v>6.6133224263026795</v>
      </c>
      <c r="F21" s="30">
        <f>IF(34795.57539="","-",34795.57539/1062764.76132*100)</f>
        <v>3.2740618297112509</v>
      </c>
      <c r="G21" s="30">
        <f>IF(OR(675027.19329="",42837.44039="",45285.34677=""),"-",(45285.34677-42837.44039)/675027.19329*100)</f>
        <v>0.3626381876660697</v>
      </c>
      <c r="H21" s="30">
        <f>IF(OR(684759.39703="",34795.57539="",45285.34677=""),"-",(34795.57539-45285.34677)/684759.39703*100)</f>
        <v>-1.5318915557051394</v>
      </c>
      <c r="I21" s="59"/>
      <c r="J21" s="60"/>
      <c r="K21" s="26"/>
    </row>
    <row r="22" spans="1:11" s="33" customFormat="1" x14ac:dyDescent="0.2">
      <c r="A22" s="61" t="s">
        <v>221</v>
      </c>
      <c r="B22" s="62" t="s">
        <v>184</v>
      </c>
      <c r="C22" s="34">
        <v>2929.5974000000001</v>
      </c>
      <c r="D22" s="30">
        <f>IF(OR(3570.40626="",2929.5974=""),"-",2929.5974/3570.40626*100)</f>
        <v>82.052214416630548</v>
      </c>
      <c r="E22" s="30">
        <f>IF(3570.40626="","-",3570.40626/684759.39703*100)</f>
        <v>0.52141033412405691</v>
      </c>
      <c r="F22" s="30">
        <f>IF(2929.5974="","-",2929.5974/1062764.76132*100)</f>
        <v>0.27565812366240983</v>
      </c>
      <c r="G22" s="30">
        <f>IF(OR(675027.19329="",3965.16613="",3570.40626=""),"-",(3570.40626-3965.16613)/675027.19329*100)</f>
        <v>-5.8480587733953142E-2</v>
      </c>
      <c r="H22" s="30">
        <f>IF(OR(684759.39703="",2929.5974="",3570.40626=""),"-",(2929.5974-3570.40626)/684759.39703*100)</f>
        <v>-9.3581608778115916E-2</v>
      </c>
      <c r="I22" s="61"/>
      <c r="J22" s="62"/>
      <c r="K22" s="29"/>
    </row>
    <row r="23" spans="1:11" s="33" customFormat="1" ht="24" x14ac:dyDescent="0.2">
      <c r="A23" s="59" t="s">
        <v>222</v>
      </c>
      <c r="B23" s="60" t="s">
        <v>23</v>
      </c>
      <c r="C23" s="57">
        <v>171007.95874</v>
      </c>
      <c r="D23" s="27" t="s">
        <v>195</v>
      </c>
      <c r="E23" s="27">
        <f>IF(78118.92139="","-",78118.92139/684759.39703*100)</f>
        <v>11.408229186605459</v>
      </c>
      <c r="F23" s="27">
        <f>IF(171007.95874="","-",171007.95874/1062764.76132*100)</f>
        <v>16.090857070533716</v>
      </c>
      <c r="G23" s="27">
        <f>IF(675027.19329="","-",(78118.92139-64999.42874)/675027.19329*100)</f>
        <v>1.943550242184644</v>
      </c>
      <c r="H23" s="27">
        <f>IF(684759.39703="","-",(171007.95874-78118.92139)/684759.39703*100)</f>
        <v>13.565208123157809</v>
      </c>
      <c r="I23" s="61"/>
      <c r="J23" s="62"/>
      <c r="K23" s="29"/>
    </row>
    <row r="24" spans="1:11" s="33" customFormat="1" ht="15" customHeight="1" x14ac:dyDescent="0.2">
      <c r="A24" s="61" t="s">
        <v>223</v>
      </c>
      <c r="B24" s="62" t="s">
        <v>191</v>
      </c>
      <c r="C24" s="34">
        <v>386.95204999999999</v>
      </c>
      <c r="D24" s="30">
        <f>IF(OR(445.97507="",386.95205=""),"-",386.95205/445.97507*100)</f>
        <v>86.765399240814062</v>
      </c>
      <c r="E24" s="30">
        <f>IF(445.97507="","-",445.97507/684759.39703*100)</f>
        <v>6.5128725788112324E-2</v>
      </c>
      <c r="F24" s="30">
        <f>IF(386.95205="","-",386.95205/1062764.76132*100)</f>
        <v>3.6409943581436469E-2</v>
      </c>
      <c r="G24" s="30">
        <f>IF(OR(675027.19329="",570.00194="",445.97507=""),"-",(445.97507-570.00194)/675027.19329*100)</f>
        <v>-1.8373610905289339E-2</v>
      </c>
      <c r="H24" s="30">
        <f>IF(OR(684759.39703="",386.95205="",445.97507=""),"-",(386.95205-445.97507)/684759.39703*100)</f>
        <v>-8.6195268376016414E-3</v>
      </c>
      <c r="I24" s="59"/>
      <c r="J24" s="60"/>
      <c r="K24" s="26"/>
    </row>
    <row r="25" spans="1:11" s="33" customFormat="1" ht="15" customHeight="1" x14ac:dyDescent="0.2">
      <c r="A25" s="61" t="s">
        <v>224</v>
      </c>
      <c r="B25" s="62" t="s">
        <v>185</v>
      </c>
      <c r="C25" s="34">
        <v>146144.8113</v>
      </c>
      <c r="D25" s="30" t="s">
        <v>277</v>
      </c>
      <c r="E25" s="30">
        <f>IF(57031.62001="","-",57031.62001/684759.39703*100)</f>
        <v>8.3287093623486825</v>
      </c>
      <c r="F25" s="30">
        <f>IF(146144.8113="","-",146144.8113/1062764.76132*100)</f>
        <v>13.751379102792399</v>
      </c>
      <c r="G25" s="30">
        <f>IF(OR(675027.19329="",57050.04184="",57031.62001=""),"-",(57031.62001-57050.04184)/675027.19329*100)</f>
        <v>-2.7290500565189933E-3</v>
      </c>
      <c r="H25" s="30">
        <f>IF(OR(684759.39703="",146144.8113="",57031.62001=""),"-",(146144.8113-57031.62001)/684759.39703*100)</f>
        <v>13.013796039384015</v>
      </c>
      <c r="I25" s="61"/>
      <c r="J25" s="62"/>
      <c r="K25" s="29"/>
    </row>
    <row r="26" spans="1:11" s="33" customFormat="1" ht="15" customHeight="1" x14ac:dyDescent="0.2">
      <c r="A26" s="61" t="s">
        <v>278</v>
      </c>
      <c r="B26" s="62" t="s">
        <v>186</v>
      </c>
      <c r="C26" s="34">
        <v>4.5286099999999996</v>
      </c>
      <c r="D26" s="30" t="s">
        <v>372</v>
      </c>
      <c r="E26" s="30">
        <f>IF(0.00454="","-",0.00454/684759.39703*100)</f>
        <v>6.6300660052148182E-7</v>
      </c>
      <c r="F26" s="30">
        <f>IF(4.52861="","-",4.52861/1062764.76132*100)</f>
        <v>4.2611593504241418E-4</v>
      </c>
      <c r="G26" s="30">
        <f>IF(OR(675027.19329="",0.11619="",0.00454=""),"-",(0.00454-0.11619)/675027.19329*100)</f>
        <v>-1.654007440142249E-5</v>
      </c>
      <c r="H26" s="30">
        <f>IF(OR(684759.39703="",4.52861="",0.00454=""),"-",(4.52861-0.00454)/684759.39703*100)</f>
        <v>6.6068023595181058E-4</v>
      </c>
      <c r="I26" s="61"/>
      <c r="J26" s="62"/>
      <c r="K26" s="29"/>
    </row>
    <row r="27" spans="1:11" s="33" customFormat="1" x14ac:dyDescent="0.2">
      <c r="A27" s="61" t="s">
        <v>225</v>
      </c>
      <c r="B27" s="62" t="s">
        <v>187</v>
      </c>
      <c r="C27" s="34">
        <v>959.28039000000001</v>
      </c>
      <c r="D27" s="30" t="s">
        <v>202</v>
      </c>
      <c r="E27" s="30">
        <f>IF(384.23512="","-",384.23512/684759.39703*100)</f>
        <v>5.611242746963957E-2</v>
      </c>
      <c r="F27" s="30">
        <f>IF(959.28039="","-",959.28039/1062764.76132*100)</f>
        <v>9.0262720868589219E-2</v>
      </c>
      <c r="G27" s="30">
        <f>IF(OR(675027.19329="",423.40512="",384.23512=""),"-",(384.23512-423.40512)/675027.19329*100)</f>
        <v>-5.8027291921515381E-3</v>
      </c>
      <c r="H27" s="30">
        <f>IF(OR(684759.39703="",959.28039="",384.23512=""),"-",(959.28039-384.23512)/684759.39703*100)</f>
        <v>8.3977711367545754E-2</v>
      </c>
      <c r="I27" s="61"/>
      <c r="J27" s="62"/>
      <c r="K27" s="29"/>
    </row>
    <row r="28" spans="1:11" s="33" customFormat="1" ht="14.25" customHeight="1" x14ac:dyDescent="0.2">
      <c r="A28" s="61" t="s">
        <v>226</v>
      </c>
      <c r="B28" s="62" t="s">
        <v>139</v>
      </c>
      <c r="C28" s="34">
        <v>921.41436999999996</v>
      </c>
      <c r="D28" s="30">
        <f>IF(OR(861.70284="",921.41437=""),"-",921.41437/861.70284*100)</f>
        <v>106.92948046916032</v>
      </c>
      <c r="E28" s="30">
        <f>IF(861.70284="","-",861.70284/684759.39703*100)</f>
        <v>0.12584023581676354</v>
      </c>
      <c r="F28" s="30">
        <f>IF(921.41437="","-",921.41437/1062764.76132*100)</f>
        <v>8.6699748009668967E-2</v>
      </c>
      <c r="G28" s="30">
        <f>IF(OR(675027.19329="",410.7934="",861.70284=""),"-",(861.70284-410.7934)/675027.19329*100)</f>
        <v>6.6798707442039862E-2</v>
      </c>
      <c r="H28" s="30">
        <f>IF(OR(684759.39703="",921.41437="",861.70284=""),"-",(921.41437-861.70284)/684759.39703*100)</f>
        <v>8.7200745632679353E-3</v>
      </c>
      <c r="I28" s="61"/>
      <c r="J28" s="62"/>
      <c r="K28" s="29"/>
    </row>
    <row r="29" spans="1:11" s="33" customFormat="1" ht="36" x14ac:dyDescent="0.2">
      <c r="A29" s="61" t="s">
        <v>227</v>
      </c>
      <c r="B29" s="62" t="s">
        <v>140</v>
      </c>
      <c r="C29" s="34">
        <v>20.851980000000001</v>
      </c>
      <c r="D29" s="30">
        <f>IF(OR(36.83378="",20.85198=""),"-",20.85198/36.83378*100)</f>
        <v>56.611023902515576</v>
      </c>
      <c r="E29" s="30">
        <f>IF(36.83378="","-",36.83378/684759.39703*100)</f>
        <v>5.379083537919856E-3</v>
      </c>
      <c r="F29" s="30">
        <f>IF(20.85198="","-",20.85198/1062764.76132*100)</f>
        <v>1.9620503764258175E-3</v>
      </c>
      <c r="G29" s="30">
        <f>IF(OR(675027.19329="",12.29931="",36.83378=""),"-",(36.83378-12.29931)/675027.19329*100)</f>
        <v>3.6345898719164177E-3</v>
      </c>
      <c r="H29" s="30">
        <f>IF(OR(684759.39703="",20.85198="",36.83378=""),"-",(20.85198-36.83378)/684759.39703*100)</f>
        <v>-2.3339292705317656E-3</v>
      </c>
      <c r="I29" s="61"/>
      <c r="J29" s="62"/>
      <c r="K29" s="29"/>
    </row>
    <row r="30" spans="1:11" s="33" customFormat="1" ht="36" x14ac:dyDescent="0.2">
      <c r="A30" s="61" t="s">
        <v>228</v>
      </c>
      <c r="B30" s="62" t="s">
        <v>141</v>
      </c>
      <c r="C30" s="34">
        <v>1705.9809</v>
      </c>
      <c r="D30" s="30">
        <f>IF(OR(1403.53615="",1705.9809=""),"-",1705.9809/1403.53615*100)</f>
        <v>121.54876808837452</v>
      </c>
      <c r="E30" s="30">
        <f>IF(1403.53615="","-",1403.53615/684759.39703*100)</f>
        <v>0.20496778227323975</v>
      </c>
      <c r="F30" s="30">
        <f>IF(1705.9809="","-",1705.9809/1062764.76132*100)</f>
        <v>0.1605229079934018</v>
      </c>
      <c r="G30" s="30">
        <f>IF(OR(675027.19329="",2171.24546="",1403.53615=""),"-",(1403.53615-2171.24546)/675027.19329*100)</f>
        <v>-0.11373013082010502</v>
      </c>
      <c r="H30" s="30">
        <f>IF(OR(684759.39703="",1705.9809="",1403.53615=""),"-",(1705.9809-1403.53615)/684759.39703*100)</f>
        <v>4.4168032057944832E-2</v>
      </c>
      <c r="I30" s="61"/>
      <c r="J30" s="62"/>
      <c r="K30" s="29"/>
    </row>
    <row r="31" spans="1:11" s="33" customFormat="1" ht="24" x14ac:dyDescent="0.2">
      <c r="A31" s="61" t="s">
        <v>229</v>
      </c>
      <c r="B31" s="62" t="s">
        <v>142</v>
      </c>
      <c r="C31" s="34">
        <v>19602.746230000001</v>
      </c>
      <c r="D31" s="30">
        <f>IF(OR(16982.22886="",19602.74623=""),"-",19602.74623/16982.22886*100)</f>
        <v>115.4309389633323</v>
      </c>
      <c r="E31" s="30">
        <f>IF(16982.22886="","-",16982.22886/684759.39703*100)</f>
        <v>2.4800285959793831</v>
      </c>
      <c r="F31" s="30">
        <f>IF(19602.74623="","-",19602.74623/1062764.76132*100)</f>
        <v>1.8445047242300863</v>
      </c>
      <c r="G31" s="30">
        <f>IF(OR(675027.19329="",2766.18783="",16982.22886=""),"-",(16982.22886-2766.18783)/675027.19329*100)</f>
        <v>2.105995309716747</v>
      </c>
      <c r="H31" s="30">
        <f>IF(OR(684759.39703="",19602.74623="",16982.22886=""),"-",(19602.74623-16982.22886)/684759.39703*100)</f>
        <v>0.38269169891876548</v>
      </c>
      <c r="I31" s="61"/>
      <c r="J31" s="62"/>
      <c r="K31" s="29"/>
    </row>
    <row r="32" spans="1:11" s="33" customFormat="1" ht="24" x14ac:dyDescent="0.2">
      <c r="A32" s="61" t="s">
        <v>230</v>
      </c>
      <c r="B32" s="62" t="s">
        <v>143</v>
      </c>
      <c r="C32" s="34">
        <v>1261.39291</v>
      </c>
      <c r="D32" s="30">
        <f>IF(OR(972.78502="",1261.39291=""),"-",1261.39291/972.78502*100)</f>
        <v>129.66820870658555</v>
      </c>
      <c r="E32" s="30">
        <f>IF(972.78502="","-",972.78502/684759.39703*100)</f>
        <v>0.14206231038511491</v>
      </c>
      <c r="F32" s="30">
        <f>IF(1261.39291="","-",1261.39291/1062764.76132*100)</f>
        <v>0.1186897567466666</v>
      </c>
      <c r="G32" s="30">
        <f>IF(OR(675027.19329="",1595.33765="",972.78502=""),"-",(972.78502-1595.33765)/675027.19329*100)</f>
        <v>-9.2226303797592876E-2</v>
      </c>
      <c r="H32" s="30">
        <f>IF(OR(684759.39703="",1261.39291="",972.78502=""),"-",(1261.39291-972.78502)/684759.39703*100)</f>
        <v>4.2147342738453254E-2</v>
      </c>
      <c r="I32" s="61"/>
      <c r="J32" s="62"/>
      <c r="K32" s="29"/>
    </row>
    <row r="33" spans="1:11" s="33" customFormat="1" ht="24" x14ac:dyDescent="0.2">
      <c r="A33" s="59" t="s">
        <v>231</v>
      </c>
      <c r="B33" s="60" t="s">
        <v>144</v>
      </c>
      <c r="C33" s="57">
        <v>8924.24388</v>
      </c>
      <c r="D33" s="27">
        <f>IF(12219.62575="","-",8924.24388/12219.62575*100)</f>
        <v>73.032055666680307</v>
      </c>
      <c r="E33" s="27">
        <f>IF(12219.62575="","-",12219.62575/684759.39703*100)</f>
        <v>1.7845137727207627</v>
      </c>
      <c r="F33" s="27">
        <f>IF(8924.24388="","-",8924.24388/1062764.76132*100)</f>
        <v>0.83971958845489958</v>
      </c>
      <c r="G33" s="27">
        <f>IF(675027.19329="","-",(12219.62575-1658.79914)/675027.19329*100)</f>
        <v>1.5645038770257274</v>
      </c>
      <c r="H33" s="27">
        <f>IF(684759.39703="","-",(8924.24388-12219.62575)/684759.39703*100)</f>
        <v>-0.48124668084775846</v>
      </c>
      <c r="I33" s="61"/>
      <c r="J33" s="62"/>
      <c r="K33" s="29"/>
    </row>
    <row r="34" spans="1:11" s="33" customFormat="1" x14ac:dyDescent="0.2">
      <c r="A34" s="61" t="s">
        <v>232</v>
      </c>
      <c r="B34" s="62" t="s">
        <v>188</v>
      </c>
      <c r="C34" s="34">
        <v>42.27561</v>
      </c>
      <c r="D34" s="30">
        <f>IF(OR(324.18759="",42.27561=""),"-",42.27561/324.18759*100)</f>
        <v>13.040477582747693</v>
      </c>
      <c r="E34" s="30">
        <f>IF(324.18759="","-",324.18759/684759.39703*100)</f>
        <v>4.7343284576465187E-2</v>
      </c>
      <c r="F34" s="30">
        <f>IF(42.27561="","-",42.27561/1062764.76132*100)</f>
        <v>3.977889702279162E-3</v>
      </c>
      <c r="G34" s="30">
        <f>IF(OR(675027.19329="",29.03046="",324.18759=""),"-",(324.18759-29.03046)/675027.19329*100)</f>
        <v>4.3725220692434667E-2</v>
      </c>
      <c r="H34" s="30">
        <f>IF(OR(684759.39703="",42.27561="",324.18759=""),"-",(42.27561-324.18759)/684759.39703*100)</f>
        <v>-4.116949416433479E-2</v>
      </c>
      <c r="I34" s="59"/>
      <c r="J34" s="60"/>
      <c r="K34" s="26"/>
    </row>
    <row r="35" spans="1:11" s="33" customFormat="1" ht="24" x14ac:dyDescent="0.2">
      <c r="A35" s="61" t="s">
        <v>233</v>
      </c>
      <c r="B35" s="62" t="s">
        <v>145</v>
      </c>
      <c r="C35" s="34">
        <v>8880.3421999999991</v>
      </c>
      <c r="D35" s="30">
        <f>IF(OR(11894.04104="",8880.3422=""),"-",8880.3422/11894.04104*100)</f>
        <v>74.662111641746947</v>
      </c>
      <c r="E35" s="30">
        <f>IF(11894.04104="","-",11894.04104/684759.39703*100)</f>
        <v>1.7369664573553725</v>
      </c>
      <c r="F35" s="30">
        <f>IF(8880.3422="","-",8880.3422/1062764.76132*100)</f>
        <v>0.8355886949968333</v>
      </c>
      <c r="G35" s="30">
        <f>IF(OR(675027.19329="",1628.01818="",11894.04104=""),"-",(11894.04104-1628.01818)/675027.19329*100)</f>
        <v>1.5208310068168753</v>
      </c>
      <c r="H35" s="30">
        <f>IF(OR(684759.39703="",8880.3422="",11894.04104=""),"-",(8880.3422-11894.04104)/684759.39703*100)</f>
        <v>-0.44011062178500748</v>
      </c>
      <c r="I35" s="61"/>
      <c r="J35" s="62"/>
      <c r="K35" s="29"/>
    </row>
    <row r="36" spans="1:11" s="33" customFormat="1" x14ac:dyDescent="0.2">
      <c r="A36" s="61" t="s">
        <v>287</v>
      </c>
      <c r="B36" s="62" t="s">
        <v>288</v>
      </c>
      <c r="C36" s="34">
        <v>1.6260699999999999</v>
      </c>
      <c r="D36" s="30">
        <f>IF(OR(1.39712="",1.62607=""),"-",1.62607/1.39712*100)</f>
        <v>116.38728240952818</v>
      </c>
      <c r="E36" s="30">
        <f>IF(1.39712="","-",1.39712/684759.39703*100)</f>
        <v>2.0403078892523627E-4</v>
      </c>
      <c r="F36" s="30">
        <f>IF(1.62607="","-",1.62607/1062764.76132*100)</f>
        <v>1.5300375578696741E-4</v>
      </c>
      <c r="G36" s="30">
        <f>IF(OR(675027.19329="",1.7505="",1.39712=""),"-",(1.39712-1.7505)/675027.19329*100)</f>
        <v>-5.2350483582397493E-5</v>
      </c>
      <c r="H36" s="30">
        <f>IF(OR(684759.39703="",1.62607="",1.39712=""),"-",(1.62607-1.39712)/684759.39703*100)</f>
        <v>3.3435101583566802E-5</v>
      </c>
      <c r="I36" s="61"/>
      <c r="J36" s="62"/>
      <c r="K36" s="29"/>
    </row>
    <row r="37" spans="1:11" s="33" customFormat="1" ht="24" x14ac:dyDescent="0.2">
      <c r="A37" s="59" t="s">
        <v>234</v>
      </c>
      <c r="B37" s="60" t="s">
        <v>146</v>
      </c>
      <c r="C37" s="57">
        <v>101123.28719</v>
      </c>
      <c r="D37" s="27" t="s">
        <v>311</v>
      </c>
      <c r="E37" s="27">
        <f>IF(24704.88883="","-",24704.88883/684759.39703*100)</f>
        <v>3.6078203434888616</v>
      </c>
      <c r="F37" s="27">
        <f>IF(101123.28719="","-",101123.28719/1062764.76132*100)</f>
        <v>9.5151148090759499</v>
      </c>
      <c r="G37" s="27">
        <f>IF(675027.19329="","-",(24704.88883-30451.45886)/675027.19329*100)</f>
        <v>-0.85130941199448862</v>
      </c>
      <c r="H37" s="27">
        <f>IF(684759.39703="","-",(101123.28719-24704.88883)/684759.39703*100)</f>
        <v>11.15989042157709</v>
      </c>
      <c r="I37" s="61"/>
      <c r="J37" s="62"/>
      <c r="K37" s="29"/>
    </row>
    <row r="38" spans="1:11" s="33" customFormat="1" ht="24" x14ac:dyDescent="0.2">
      <c r="A38" s="61" t="s">
        <v>235</v>
      </c>
      <c r="B38" s="62" t="s">
        <v>192</v>
      </c>
      <c r="C38" s="34">
        <v>1.5959399999999999</v>
      </c>
      <c r="D38" s="30">
        <f>IF(OR(4.16302="",1.59594=""),"-",1.59594/4.16302*100)</f>
        <v>38.336111765016739</v>
      </c>
      <c r="E38" s="30">
        <f>IF(4.16302="","-",4.16302/684759.39703*100)</f>
        <v>6.0795368680681492E-4</v>
      </c>
      <c r="F38" s="30">
        <f>IF(1.59594="","-",1.59594/1062764.76132*100)</f>
        <v>1.5016869754109772E-4</v>
      </c>
      <c r="G38" s="30" t="str">
        <f>IF(OR(675027.19329="",""="",4.16302=""),"-",(4.16302-"")/675027.19329*100)</f>
        <v>-</v>
      </c>
      <c r="H38" s="30">
        <f>IF(OR(684759.39703="",1.59594="",4.16302=""),"-",(1.59594-4.16302)/684759.39703*100)</f>
        <v>-3.748878819530146E-4</v>
      </c>
      <c r="I38" s="59"/>
      <c r="J38" s="60"/>
      <c r="K38" s="26"/>
    </row>
    <row r="39" spans="1:11" s="33" customFormat="1" ht="24" x14ac:dyDescent="0.2">
      <c r="A39" s="61" t="s">
        <v>236</v>
      </c>
      <c r="B39" s="62" t="s">
        <v>147</v>
      </c>
      <c r="C39" s="34">
        <v>101121.69125</v>
      </c>
      <c r="D39" s="30" t="s">
        <v>311</v>
      </c>
      <c r="E39" s="30">
        <f>IF(24697.16348="","-",24697.16348/684759.39703*100)</f>
        <v>3.6066921588982579</v>
      </c>
      <c r="F39" s="30">
        <f>IF(101121.69125="","-",101121.69125/1062764.76132*100)</f>
        <v>9.5149646403784089</v>
      </c>
      <c r="G39" s="30">
        <f>IF(OR(675027.19329="",30435.96176="",24697.16348=""),"-",(24697.16348-30435.96176)/675027.19329*100)</f>
        <v>-0.85015808800676573</v>
      </c>
      <c r="H39" s="30">
        <f>IF(OR(684759.39703="",101121.69125="",24697.16348=""),"-",(101121.69125-24697.16348)/684759.39703*100)</f>
        <v>11.160785540362838</v>
      </c>
      <c r="I39" s="61"/>
      <c r="J39" s="62"/>
      <c r="K39" s="29"/>
    </row>
    <row r="40" spans="1:11" s="33" customFormat="1" ht="24" x14ac:dyDescent="0.2">
      <c r="A40" s="59" t="s">
        <v>238</v>
      </c>
      <c r="B40" s="60" t="s">
        <v>148</v>
      </c>
      <c r="C40" s="57">
        <v>40658.17931</v>
      </c>
      <c r="D40" s="27">
        <f>IF(35218.88352="","-",40658.17931/35218.88352*100)</f>
        <v>115.44425957430235</v>
      </c>
      <c r="E40" s="27">
        <f>IF(35218.88352="","-",35218.88352/684759.39703*100)</f>
        <v>5.1432493913562212</v>
      </c>
      <c r="F40" s="27">
        <f>IF(40658.17931="","-",40658.17931/1062764.76132*100)</f>
        <v>3.8256988554551596</v>
      </c>
      <c r="G40" s="27">
        <f>IF(675027.19329="","-",(35218.88352-21270.89485)/675027.19329*100)</f>
        <v>2.0662854487415854</v>
      </c>
      <c r="H40" s="27">
        <f>IF(684759.39703="","-",(40658.17931-35218.88352)/684759.39703*100)</f>
        <v>0.79433678655478102</v>
      </c>
      <c r="I40" s="61"/>
      <c r="J40" s="62"/>
      <c r="K40" s="29"/>
    </row>
    <row r="41" spans="1:11" s="33" customFormat="1" x14ac:dyDescent="0.2">
      <c r="A41" s="61" t="s">
        <v>239</v>
      </c>
      <c r="B41" s="62" t="s">
        <v>24</v>
      </c>
      <c r="C41" s="34">
        <v>14005.85982</v>
      </c>
      <c r="D41" s="30" t="s">
        <v>100</v>
      </c>
      <c r="E41" s="30">
        <f>IF(8059.87885="","-",8059.87885/684759.39703*100)</f>
        <v>1.1770380786241168</v>
      </c>
      <c r="F41" s="30">
        <f>IF(14005.85982="","-",14005.85982/1062764.76132*100)</f>
        <v>1.3178701750144701</v>
      </c>
      <c r="G41" s="30">
        <f>IF(OR(675027.19329="",7963.96529="",8059.87885=""),"-",(8059.87885-7963.96529)/675027.19329*100)</f>
        <v>1.4208843873759959E-2</v>
      </c>
      <c r="H41" s="30">
        <f>IF(OR(684759.39703="",14005.85982="",8059.87885=""),"-",(14005.85982-8059.87885)/684759.39703*100)</f>
        <v>0.86833141623020327</v>
      </c>
      <c r="I41" s="59"/>
      <c r="J41" s="60"/>
      <c r="K41" s="26"/>
    </row>
    <row r="42" spans="1:11" s="33" customFormat="1" x14ac:dyDescent="0.2">
      <c r="A42" s="61" t="s">
        <v>240</v>
      </c>
      <c r="B42" s="62" t="s">
        <v>25</v>
      </c>
      <c r="C42" s="34">
        <v>760.43638999999996</v>
      </c>
      <c r="D42" s="30" t="s">
        <v>314</v>
      </c>
      <c r="E42" s="30">
        <f>IF(188.00881="","-",188.00881/684759.39703*100)</f>
        <v>2.745618545951304E-2</v>
      </c>
      <c r="F42" s="30">
        <f>IF(760.43639="","-",760.43639/1062764.76132*100)</f>
        <v>7.1552653764649185E-2</v>
      </c>
      <c r="G42" s="30">
        <f>IF(OR(675027.19329="",284.28203="",188.00881=""),"-",(188.00881-284.28203)/675027.19329*100)</f>
        <v>-1.4262124690233012E-2</v>
      </c>
      <c r="H42" s="30">
        <f>IF(OR(684759.39703="",760.43639="",188.00881=""),"-",(760.43639-188.00881)/684759.39703*100)</f>
        <v>8.359543256840056E-2</v>
      </c>
      <c r="I42" s="61"/>
      <c r="J42" s="62"/>
      <c r="K42" s="29"/>
    </row>
    <row r="43" spans="1:11" s="33" customFormat="1" x14ac:dyDescent="0.2">
      <c r="A43" s="61" t="s">
        <v>241</v>
      </c>
      <c r="B43" s="62" t="s">
        <v>149</v>
      </c>
      <c r="C43" s="34">
        <v>772.00872000000004</v>
      </c>
      <c r="D43" s="30" t="s">
        <v>19</v>
      </c>
      <c r="E43" s="30">
        <f>IF(394.03345="","-",394.03345/684759.39703*100)</f>
        <v>5.754334321062804E-2</v>
      </c>
      <c r="F43" s="30">
        <f>IF(772.00872="","-",772.00872/1062764.76132*100)</f>
        <v>7.2641542898085151E-2</v>
      </c>
      <c r="G43" s="30">
        <f>IF(OR(675027.19329="",216.69822="",394.03345=""),"-",(394.03345-216.69822)/675027.19329*100)</f>
        <v>2.6270827570025707E-2</v>
      </c>
      <c r="H43" s="30">
        <f>IF(OR(684759.39703="",772.00872="",394.03345=""),"-",(772.00872-394.03345)/684759.39703*100)</f>
        <v>5.5198259657244328E-2</v>
      </c>
      <c r="I43" s="61"/>
      <c r="J43" s="62"/>
      <c r="K43" s="29"/>
    </row>
    <row r="44" spans="1:11" s="33" customFormat="1" x14ac:dyDescent="0.2">
      <c r="A44" s="61" t="s">
        <v>242</v>
      </c>
      <c r="B44" s="62" t="s">
        <v>150</v>
      </c>
      <c r="C44" s="34">
        <v>18351.66433</v>
      </c>
      <c r="D44" s="30">
        <f>IF(OR(20962.7982="",18351.66433=""),"-",18351.66433/20962.7982*100)</f>
        <v>87.543963143241058</v>
      </c>
      <c r="E44" s="30">
        <f>IF(20962.7982="","-",20962.7982/684759.39703*100)</f>
        <v>3.0613377911893918</v>
      </c>
      <c r="F44" s="30">
        <f>IF(18351.66433="","-",18351.66433/1062764.76132*100)</f>
        <v>1.7267851737205169</v>
      </c>
      <c r="G44" s="30">
        <f>IF(OR(675027.19329="",8037.17211="",20962.7982=""),"-",(20962.7982-8037.17211)/675027.19329*100)</f>
        <v>1.9148304273494645</v>
      </c>
      <c r="H44" s="30">
        <f>IF(OR(684759.39703="",18351.66433="",20962.7982=""),"-",(18351.66433-20962.7982)/684759.39703*100)</f>
        <v>-0.381321363580441</v>
      </c>
      <c r="I44" s="61"/>
      <c r="J44" s="62"/>
      <c r="K44" s="29"/>
    </row>
    <row r="45" spans="1:11" s="33" customFormat="1" ht="40.5" customHeight="1" x14ac:dyDescent="0.2">
      <c r="A45" s="61" t="s">
        <v>243</v>
      </c>
      <c r="B45" s="62" t="s">
        <v>151</v>
      </c>
      <c r="C45" s="34">
        <v>3221.5280699999998</v>
      </c>
      <c r="D45" s="30">
        <f>IF(OR(2298.40606="",3221.52807=""),"-",3221.52807/2298.40606*100)</f>
        <v>140.16357362023314</v>
      </c>
      <c r="E45" s="30">
        <f>IF(2298.40606="","-",2298.40606/684759.39703*100)</f>
        <v>0.33565162741378257</v>
      </c>
      <c r="F45" s="30">
        <f>IF(3221.52807="","-",3221.52807/1062764.76132*100)</f>
        <v>0.3031271065102612</v>
      </c>
      <c r="G45" s="30">
        <f>IF(OR(675027.19329="",3184.41495="",2298.40606=""),"-",(2298.40606-3184.41495)/675027.19329*100)</f>
        <v>-0.13125528849907531</v>
      </c>
      <c r="H45" s="30">
        <f>IF(OR(684759.39703="",3221.52807="",2298.40606=""),"-",(3221.52807-2298.40606)/684759.39703*100)</f>
        <v>0.13480968848384525</v>
      </c>
      <c r="I45" s="61"/>
      <c r="J45" s="62"/>
      <c r="K45" s="29"/>
    </row>
    <row r="46" spans="1:11" s="33" customFormat="1" x14ac:dyDescent="0.2">
      <c r="A46" s="61" t="s">
        <v>244</v>
      </c>
      <c r="B46" s="62" t="s">
        <v>152</v>
      </c>
      <c r="C46" s="34">
        <v>71.217960000000005</v>
      </c>
      <c r="D46" s="30">
        <f>IF(OR(46.68694="",71.21796=""),"-",71.21796/46.68694*100)</f>
        <v>152.54364496795037</v>
      </c>
      <c r="E46" s="30">
        <f>IF(46.68694="","-",46.68694/684759.39703*100)</f>
        <v>6.8180064709582365E-3</v>
      </c>
      <c r="F46" s="30">
        <f>IF(71.21796="","-",71.21796/1062764.76132*100)</f>
        <v>6.7011969715239893E-3</v>
      </c>
      <c r="G46" s="30" t="str">
        <f>IF(OR(675027.19329="",""="",46.68694=""),"-",(46.68694-"")/675027.19329*100)</f>
        <v>-</v>
      </c>
      <c r="H46" s="30">
        <f>IF(OR(684759.39703="",71.21796="",46.68694=""),"-",(71.21796-46.68694)/684759.39703*100)</f>
        <v>3.5824291139921775E-3</v>
      </c>
      <c r="I46" s="61"/>
      <c r="J46" s="62"/>
      <c r="K46" s="29"/>
    </row>
    <row r="47" spans="1:11" ht="24" x14ac:dyDescent="0.2">
      <c r="A47" s="61" t="s">
        <v>245</v>
      </c>
      <c r="B47" s="62" t="s">
        <v>26</v>
      </c>
      <c r="C47" s="34">
        <v>756.20113000000003</v>
      </c>
      <c r="D47" s="30" t="s">
        <v>195</v>
      </c>
      <c r="E47" s="30">
        <f>IF(345.69904="","-",345.69904/684759.39703*100)</f>
        <v>5.0484745663863392E-2</v>
      </c>
      <c r="F47" s="30">
        <f>IF(756.20113="","-",756.20113/1062764.76132*100)</f>
        <v>7.1154140363175508E-2</v>
      </c>
      <c r="G47" s="30">
        <f>IF(OR(675027.19329="",529.7841="",345.69904=""),"-",(345.69904-529.7841)/675027.19329*100)</f>
        <v>-2.7270762101122455E-2</v>
      </c>
      <c r="H47" s="30">
        <f>IF(OR(684759.39703="",756.20113="",345.69904=""),"-",(756.20113-345.69904)/684759.39703*100)</f>
        <v>5.9948368986313519E-2</v>
      </c>
      <c r="I47" s="61"/>
      <c r="J47" s="62"/>
      <c r="K47" s="29"/>
    </row>
    <row r="48" spans="1:11" x14ac:dyDescent="0.2">
      <c r="A48" s="61" t="s">
        <v>246</v>
      </c>
      <c r="B48" s="62" t="s">
        <v>27</v>
      </c>
      <c r="C48" s="34">
        <v>1421.2077200000001</v>
      </c>
      <c r="D48" s="30">
        <f>IF(OR(909.99389="",1421.20772=""),"-",1421.20772/909.99389*100)</f>
        <v>156.17772114931455</v>
      </c>
      <c r="E48" s="30">
        <f>IF(909.99389="","-",909.99389/684759.39703*100)</f>
        <v>0.13289250121238311</v>
      </c>
      <c r="F48" s="30">
        <f>IF(1421.20772="","-",1421.20772/1062764.76132*100)</f>
        <v>0.13372740344107745</v>
      </c>
      <c r="G48" s="30">
        <f>IF(OR(675027.19329="",500.98201="",909.99389=""),"-",(909.99389-500.98201)/675027.19329*100)</f>
        <v>6.0591911565299479E-2</v>
      </c>
      <c r="H48" s="30">
        <f>IF(OR(684759.39703="",1421.20772="",909.99389=""),"-",(1421.20772-909.99389)/684759.39703*100)</f>
        <v>7.4655978759442035E-2</v>
      </c>
      <c r="I48" s="61"/>
      <c r="J48" s="62"/>
      <c r="K48" s="29"/>
    </row>
    <row r="49" spans="1:11" x14ac:dyDescent="0.2">
      <c r="A49" s="61" t="s">
        <v>247</v>
      </c>
      <c r="B49" s="62" t="s">
        <v>153</v>
      </c>
      <c r="C49" s="34">
        <v>1298.0551700000001</v>
      </c>
      <c r="D49" s="30">
        <f>IF(OR(2013.37828="",1298.05517=""),"-",1298.05517/2013.37828*100)</f>
        <v>64.47149961307818</v>
      </c>
      <c r="E49" s="30">
        <f>IF(2013.37828="","-",2013.37828/684759.39703*100)</f>
        <v>0.29402711211158328</v>
      </c>
      <c r="F49" s="30">
        <f>IF(1298.05517="","-",1298.05517/1062764.76132*100)</f>
        <v>0.12213946277140006</v>
      </c>
      <c r="G49" s="30">
        <f>IF(OR(675027.19329="",553.59614="",2013.37828=""),"-",(2013.37828-553.59614)/675027.19329*100)</f>
        <v>0.21625530860248759</v>
      </c>
      <c r="H49" s="30">
        <f>IF(OR(684759.39703="",1298.05517="",2013.37828=""),"-",(1298.05517-2013.37828)/684759.39703*100)</f>
        <v>-0.10446342366421892</v>
      </c>
      <c r="I49" s="61"/>
      <c r="J49" s="62"/>
      <c r="K49" s="29"/>
    </row>
    <row r="50" spans="1:11" ht="24" x14ac:dyDescent="0.2">
      <c r="A50" s="59" t="s">
        <v>248</v>
      </c>
      <c r="B50" s="60" t="s">
        <v>312</v>
      </c>
      <c r="C50" s="57">
        <v>72740.293399999995</v>
      </c>
      <c r="D50" s="27">
        <f>IF(49912.4001="","-",72740.2934/49912.4001*100)</f>
        <v>145.73591583306768</v>
      </c>
      <c r="E50" s="27">
        <f>IF(49912.4001="","-",49912.4001/684759.39703*100)</f>
        <v>7.289042007526227</v>
      </c>
      <c r="F50" s="27">
        <f>IF(72740.2934="","-",72740.2934/1062764.76132*100)</f>
        <v>6.8444397149236851</v>
      </c>
      <c r="G50" s="27">
        <f>IF(675027.19329="","-",(49912.4001-41764.89556)/675027.19329*100)</f>
        <v>1.2069890844382225</v>
      </c>
      <c r="H50" s="27">
        <f>IF(684759.39703="","-",(72740.2934-49912.4001)/684759.39703*100)</f>
        <v>3.3337101175991433</v>
      </c>
      <c r="I50" s="61"/>
      <c r="J50" s="62"/>
      <c r="K50" s="29"/>
    </row>
    <row r="51" spans="1:11" x14ac:dyDescent="0.2">
      <c r="A51" s="61" t="s">
        <v>249</v>
      </c>
      <c r="B51" s="62" t="s">
        <v>154</v>
      </c>
      <c r="C51" s="34">
        <v>456.63317000000001</v>
      </c>
      <c r="D51" s="30">
        <f>IF(OR(322.37899="",456.63317=""),"-",456.63317/322.37899*100)</f>
        <v>141.64482927376875</v>
      </c>
      <c r="E51" s="30">
        <f>IF(322.37899="","-",322.37899/684759.39703*100)</f>
        <v>4.7079162607808103E-2</v>
      </c>
      <c r="F51" s="30">
        <f>IF(456.63317="","-",456.63317/1062764.76132*100)</f>
        <v>4.2966532822639111E-2</v>
      </c>
      <c r="G51" s="30">
        <f>IF(OR(675027.19329="",189.04695="",322.37899=""),"-",(322.37899-189.04695)/675027.19329*100)</f>
        <v>1.9752099074728521E-2</v>
      </c>
      <c r="H51" s="30">
        <f>IF(OR(684759.39703="",456.63317="",322.37899=""),"-",(456.63317-322.37899)/684759.39703*100)</f>
        <v>1.960603689154166E-2</v>
      </c>
      <c r="I51" s="59"/>
      <c r="J51" s="60"/>
      <c r="K51" s="26"/>
    </row>
    <row r="52" spans="1:11" x14ac:dyDescent="0.2">
      <c r="A52" s="61" t="s">
        <v>250</v>
      </c>
      <c r="B52" s="62" t="s">
        <v>28</v>
      </c>
      <c r="C52" s="34">
        <v>148.55338</v>
      </c>
      <c r="D52" s="30">
        <f>IF(OR(539.0773="",148.55338=""),"-",148.55338/539.0773*100)</f>
        <v>27.556971885108126</v>
      </c>
      <c r="E52" s="30">
        <f>IF(539.0773="","-",539.0773/684759.39703*100)</f>
        <v>7.8725067861519615E-2</v>
      </c>
      <c r="F52" s="30">
        <f>IF(148.55338="","-",148.55338/1062764.76132*100)</f>
        <v>1.3978011447753522E-2</v>
      </c>
      <c r="G52" s="30">
        <f>IF(OR(675027.19329="",435.75078="",539.0773=""),"-",(539.0773-435.75078)/675027.19329*100)</f>
        <v>1.5307015928706398E-2</v>
      </c>
      <c r="H52" s="30">
        <f>IF(OR(684759.39703="",148.55338="",539.0773=""),"-",(148.55338-539.0773)/684759.39703*100)</f>
        <v>-5.7030823044388362E-2</v>
      </c>
      <c r="I52" s="61"/>
      <c r="J52" s="62"/>
      <c r="K52" s="29"/>
    </row>
    <row r="53" spans="1:11" x14ac:dyDescent="0.2">
      <c r="A53" s="61" t="s">
        <v>251</v>
      </c>
      <c r="B53" s="62" t="s">
        <v>155</v>
      </c>
      <c r="C53" s="34">
        <v>7460.2674800000004</v>
      </c>
      <c r="D53" s="30">
        <f>IF(OR(5680.1599="",7460.26748=""),"-",7460.26748/5680.1599*100)</f>
        <v>131.33903994498465</v>
      </c>
      <c r="E53" s="30">
        <f>IF(5680.1599="","-",5680.1599/684759.39703*100)</f>
        <v>0.82951178540031711</v>
      </c>
      <c r="F53" s="30">
        <f>IF(7460.26748="","-",7460.26748/1062764.76132*100)</f>
        <v>0.70196790028435119</v>
      </c>
      <c r="G53" s="30">
        <f>IF(OR(675027.19329="",4450.46994="",5680.1599=""),"-",(5680.1599-4450.46994)/675027.19329*100)</f>
        <v>0.18216895144722114</v>
      </c>
      <c r="H53" s="30">
        <f>IF(OR(684759.39703="",7460.26748="",5680.1599=""),"-",(7460.26748-5680.1599)/684759.39703*100)</f>
        <v>0.25996102977496088</v>
      </c>
      <c r="I53" s="61"/>
      <c r="J53" s="62"/>
      <c r="K53" s="29"/>
    </row>
    <row r="54" spans="1:11" ht="36" x14ac:dyDescent="0.2">
      <c r="A54" s="61" t="s">
        <v>252</v>
      </c>
      <c r="B54" s="62" t="s">
        <v>156</v>
      </c>
      <c r="C54" s="34">
        <v>4345.0559499999999</v>
      </c>
      <c r="D54" s="30" t="s">
        <v>102</v>
      </c>
      <c r="E54" s="30">
        <f>IF(2311.43003="","-",2311.43003/684759.39703*100)</f>
        <v>0.33755360496334069</v>
      </c>
      <c r="F54" s="30">
        <f>IF(4345.05595="","-",4345.05595/1062764.76132*100)</f>
        <v>0.40884456355169807</v>
      </c>
      <c r="G54" s="30">
        <f>IF(OR(675027.19329="",2200.93635="",2311.43003=""),"-",(2311.43003-2200.93635)/675027.19329*100)</f>
        <v>1.6368774635799093E-2</v>
      </c>
      <c r="H54" s="30">
        <f>IF(OR(684759.39703="",4345.05595="",2311.43003=""),"-",(4345.05595-2311.43003)/684759.39703*100)</f>
        <v>0.29698401056202006</v>
      </c>
      <c r="I54" s="61"/>
      <c r="J54" s="62"/>
      <c r="K54" s="29"/>
    </row>
    <row r="55" spans="1:11" ht="26.25" customHeight="1" x14ac:dyDescent="0.2">
      <c r="A55" s="61" t="s">
        <v>253</v>
      </c>
      <c r="B55" s="62" t="s">
        <v>157</v>
      </c>
      <c r="C55" s="34">
        <v>24104.773669999999</v>
      </c>
      <c r="D55" s="30">
        <f>IF(OR(19607.85231="",24104.77367=""),"-",24104.77367/19607.85231*100)</f>
        <v>122.93428820711063</v>
      </c>
      <c r="E55" s="30">
        <f>IF(19607.85231="","-",19607.85231/684759.39703*100)</f>
        <v>2.8634659699516263</v>
      </c>
      <c r="F55" s="30">
        <f>IF(24104.77367="","-",24104.77367/1062764.76132*100)</f>
        <v>2.2681193945554634</v>
      </c>
      <c r="G55" s="30">
        <f>IF(OR(675027.19329="",15713.2501="",19607.85231=""),"-",(19607.85231-15713.2501)/675027.19329*100)</f>
        <v>0.57695486177648403</v>
      </c>
      <c r="H55" s="30">
        <f>IF(OR(684759.39703="",24104.77367="",19607.85231=""),"-",(24104.77367-19607.85231)/684759.39703*100)</f>
        <v>0.65671553826124207</v>
      </c>
      <c r="I55" s="61"/>
      <c r="J55" s="62"/>
      <c r="K55" s="29"/>
    </row>
    <row r="56" spans="1:11" ht="14.25" customHeight="1" x14ac:dyDescent="0.2">
      <c r="A56" s="61" t="s">
        <v>254</v>
      </c>
      <c r="B56" s="62" t="s">
        <v>29</v>
      </c>
      <c r="C56" s="34">
        <v>21266.563030000001</v>
      </c>
      <c r="D56" s="30" t="s">
        <v>196</v>
      </c>
      <c r="E56" s="30">
        <f>IF(11873.58043="","-",11873.58043/684759.39703*100)</f>
        <v>1.7339784574697563</v>
      </c>
      <c r="F56" s="30">
        <f>IF(21266.56303="","-",21266.56303/1062764.76132*100)</f>
        <v>2.0010602349654505</v>
      </c>
      <c r="G56" s="30">
        <f>IF(OR(675027.19329="",11764.76394="",11873.58043=""),"-",(11873.58043-11764.76394)/675027.19329*100)</f>
        <v>1.6120312052858344E-2</v>
      </c>
      <c r="H56" s="30">
        <f>IF(OR(684759.39703="",21266.56303="",11873.58043=""),"-",(21266.56303-11873.58043)/684759.39703*100)</f>
        <v>1.3717201458994341</v>
      </c>
      <c r="I56" s="61"/>
      <c r="J56" s="62"/>
      <c r="K56" s="29"/>
    </row>
    <row r="57" spans="1:11" ht="15.75" customHeight="1" x14ac:dyDescent="0.2">
      <c r="A57" s="61" t="s">
        <v>255</v>
      </c>
      <c r="B57" s="62" t="s">
        <v>158</v>
      </c>
      <c r="C57" s="34">
        <v>3133.80566</v>
      </c>
      <c r="D57" s="30" t="s">
        <v>195</v>
      </c>
      <c r="E57" s="30">
        <f>IF(1403.7021="","-",1403.7021/684759.39703*100)</f>
        <v>0.20499201706296591</v>
      </c>
      <c r="F57" s="30">
        <f>IF(3133.80566="","-",3133.80566/1062764.76132*100)</f>
        <v>0.2948729365196186</v>
      </c>
      <c r="G57" s="30">
        <f>IF(OR(675027.19329="",464.52772="",1403.7021=""),"-",(1403.7021-464.52772)/675027.19329*100)</f>
        <v>0.13913134009054937</v>
      </c>
      <c r="H57" s="30">
        <f>IF(OR(684759.39703="",3133.80566="",1403.7021=""),"-",(3133.80566-1403.7021)/684759.39703*100)</f>
        <v>0.25265860789993688</v>
      </c>
      <c r="I57" s="61"/>
      <c r="J57" s="62"/>
      <c r="K57" s="29"/>
    </row>
    <row r="58" spans="1:11" x14ac:dyDescent="0.2">
      <c r="A58" s="61" t="s">
        <v>256</v>
      </c>
      <c r="B58" s="62" t="s">
        <v>30</v>
      </c>
      <c r="C58" s="34">
        <v>792.81602999999996</v>
      </c>
      <c r="D58" s="30" t="s">
        <v>297</v>
      </c>
      <c r="E58" s="30">
        <f>IF(236.69343="","-",236.69343/684759.39703*100)</f>
        <v>3.4565926517636417E-2</v>
      </c>
      <c r="F58" s="30">
        <f>IF(792.81603="","-",792.81603/1062764.76132*100)</f>
        <v>7.4599390086597148E-2</v>
      </c>
      <c r="G58" s="30">
        <f>IF(OR(675027.19329="",514.56329="",236.69343=""),"-",(236.69343-514.56329)/675027.19329*100)</f>
        <v>-4.1164246827701312E-2</v>
      </c>
      <c r="H58" s="30">
        <f>IF(OR(684759.39703="",792.81603="",236.69343=""),"-",(792.81603-236.69343)/684759.39703*100)</f>
        <v>8.1214307158407009E-2</v>
      </c>
      <c r="I58" s="61"/>
      <c r="J58" s="62"/>
      <c r="K58" s="29"/>
    </row>
    <row r="59" spans="1:11" x14ac:dyDescent="0.2">
      <c r="A59" s="61" t="s">
        <v>257</v>
      </c>
      <c r="B59" s="62" t="s">
        <v>31</v>
      </c>
      <c r="C59" s="34">
        <v>11031.82503</v>
      </c>
      <c r="D59" s="30">
        <f>IF(OR(7937.52561="",11031.82503=""),"-",11031.82503/7937.52561*100)</f>
        <v>138.98317400200489</v>
      </c>
      <c r="E59" s="30">
        <f>IF(7937.52561="","-",7937.52561/684759.39703*100)</f>
        <v>1.1591700156912557</v>
      </c>
      <c r="F59" s="30">
        <f>IF(11031.82503="","-",11031.82503/1062764.76132*100)</f>
        <v>1.0380307506901145</v>
      </c>
      <c r="G59" s="30">
        <f>IF(OR(675027.19329="",6031.58649="",7937.52561=""),"-",(7937.52561-6031.58649)/675027.19329*100)</f>
        <v>0.28234997625957647</v>
      </c>
      <c r="H59" s="30">
        <f>IF(OR(684759.39703="",11031.82503="",7937.52561=""),"-",(11031.82503-7937.52561)/684759.39703*100)</f>
        <v>0.45188126419598973</v>
      </c>
      <c r="I59" s="61"/>
      <c r="J59" s="62"/>
      <c r="K59" s="29"/>
    </row>
    <row r="60" spans="1:11" ht="24" x14ac:dyDescent="0.2">
      <c r="A60" s="59" t="s">
        <v>258</v>
      </c>
      <c r="B60" s="60" t="s">
        <v>159</v>
      </c>
      <c r="C60" s="57">
        <v>167336.95008000001</v>
      </c>
      <c r="D60" s="27">
        <f>IF(173981.93111="","-",167336.95008/173981.93111*100)</f>
        <v>96.180648767601781</v>
      </c>
      <c r="E60" s="27">
        <f>IF(173981.93111="","-",173981.93111/684759.39703*100)</f>
        <v>25.40774640911977</v>
      </c>
      <c r="F60" s="27">
        <f>IF(167336.95008="","-",167336.95008/1062764.76132*100)</f>
        <v>15.745436447493821</v>
      </c>
      <c r="G60" s="27">
        <f>IF(675027.19329="","-",(173981.93111-141995.65497)/675027.19329*100)</f>
        <v>4.7385166787285717</v>
      </c>
      <c r="H60" s="27">
        <f>IF(684759.39703="","-",(167336.95008-173981.93111)/684759.39703*100)</f>
        <v>-0.97041107560132867</v>
      </c>
      <c r="I60" s="61"/>
      <c r="J60" s="62"/>
      <c r="K60" s="29"/>
    </row>
    <row r="61" spans="1:11" ht="24" x14ac:dyDescent="0.2">
      <c r="A61" s="61" t="s">
        <v>259</v>
      </c>
      <c r="B61" s="62" t="s">
        <v>160</v>
      </c>
      <c r="C61" s="34">
        <v>574.61130000000003</v>
      </c>
      <c r="D61" s="30">
        <f>IF(OR(454.27574="",574.6113=""),"-",574.6113/454.27574*100)</f>
        <v>126.4895413521312</v>
      </c>
      <c r="E61" s="30">
        <f>IF(454.27574="","-",454.27574/684759.39703*100)</f>
        <v>6.634092821074461E-2</v>
      </c>
      <c r="F61" s="30">
        <f>IF(574.6113="","-",574.6113/1062764.76132*100)</f>
        <v>5.4067590581974863E-2</v>
      </c>
      <c r="G61" s="30">
        <f>IF(OR(675027.19329="",613.21099="",454.27574=""),"-",(454.27574-613.21099)/675027.19329*100)</f>
        <v>-2.3545014420140481E-2</v>
      </c>
      <c r="H61" s="30">
        <f>IF(OR(684759.39703="",574.6113="",454.27574=""),"-",(574.6113-454.27574)/684759.39703*100)</f>
        <v>1.7573407611772871E-2</v>
      </c>
      <c r="I61" s="59"/>
      <c r="J61" s="60"/>
      <c r="K61" s="26"/>
    </row>
    <row r="62" spans="1:11" ht="24" x14ac:dyDescent="0.2">
      <c r="A62" s="61" t="s">
        <v>260</v>
      </c>
      <c r="B62" s="62" t="s">
        <v>161</v>
      </c>
      <c r="C62" s="34">
        <v>2162.05332</v>
      </c>
      <c r="D62" s="30">
        <f>IF(OR(4076.25="",2162.05332=""),"-",2162.05332/4076.25*100)</f>
        <v>53.04025317387304</v>
      </c>
      <c r="E62" s="30">
        <f>IF(4076.25="","-",4076.25/684759.39703*100)</f>
        <v>0.59528208268187011</v>
      </c>
      <c r="F62" s="30">
        <f>IF(2162.05332="","-",2162.05332/1062764.76132*100)</f>
        <v>0.20343667749339336</v>
      </c>
      <c r="G62" s="30">
        <f>IF(OR(675027.19329="",1546.34254="",4076.25=""),"-",(4076.25-1546.34254)/675027.19329*100)</f>
        <v>0.37478600642287319</v>
      </c>
      <c r="H62" s="30">
        <f>IF(OR(684759.39703="",2162.05332="",4076.25=""),"-",(2162.05332-4076.25)/684759.39703*100)</f>
        <v>-0.27954295892870196</v>
      </c>
      <c r="I62" s="61"/>
      <c r="J62" s="62"/>
      <c r="K62" s="29"/>
    </row>
    <row r="63" spans="1:11" ht="24" x14ac:dyDescent="0.2">
      <c r="A63" s="61" t="s">
        <v>261</v>
      </c>
      <c r="B63" s="62" t="s">
        <v>162</v>
      </c>
      <c r="C63" s="34">
        <v>760.10281999999995</v>
      </c>
      <c r="D63" s="30">
        <f>IF(OR(1502.96818="",760.10282=""),"-",760.10282/1502.96818*100)</f>
        <v>50.573447270187714</v>
      </c>
      <c r="E63" s="30">
        <f>IF(1502.96818="","-",1502.96818/684759.39703*100)</f>
        <v>0.21948850742593806</v>
      </c>
      <c r="F63" s="30">
        <f>IF(760.10282="","-",760.10282/1062764.76132*100)</f>
        <v>7.1521266762356622E-2</v>
      </c>
      <c r="G63" s="30">
        <f>IF(OR(675027.19329="",531.21268="",1502.96818=""),"-",(1502.96818-531.21268)/675027.19329*100)</f>
        <v>0.14395797823548157</v>
      </c>
      <c r="H63" s="30">
        <f>IF(OR(684759.39703="",760.10282="",1502.96818=""),"-",(760.10282-1502.96818)/684759.39703*100)</f>
        <v>-0.10848560285875923</v>
      </c>
      <c r="I63" s="61"/>
      <c r="J63" s="62"/>
      <c r="K63" s="29"/>
    </row>
    <row r="64" spans="1:11" ht="36" x14ac:dyDescent="0.2">
      <c r="A64" s="61" t="s">
        <v>262</v>
      </c>
      <c r="B64" s="62" t="s">
        <v>163</v>
      </c>
      <c r="C64" s="34">
        <v>6759.50288</v>
      </c>
      <c r="D64" s="30">
        <f>IF(OR(5897.05094="",6759.50288=""),"-",6759.50288/5897.05094*100)</f>
        <v>114.62513973128405</v>
      </c>
      <c r="E64" s="30">
        <f>IF(5897.05094="","-",5897.05094/684759.39703*100)</f>
        <v>0.86118583630647783</v>
      </c>
      <c r="F64" s="30">
        <f>IF(6759.50288="","-",6759.50288/1062764.76132*100)</f>
        <v>0.63603001586206187</v>
      </c>
      <c r="G64" s="30">
        <f>IF(OR(675027.19329="",5498.29735="",5897.05094=""),"-",(5897.05094-5498.29735)/675027.19329*100)</f>
        <v>5.9072226121220983E-2</v>
      </c>
      <c r="H64" s="30">
        <f>IF(OR(684759.39703="",6759.50288="",5897.05094=""),"-",(6759.50288-5897.05094)/684759.39703*100)</f>
        <v>0.12594963190584954</v>
      </c>
      <c r="I64" s="61"/>
      <c r="J64" s="62"/>
      <c r="K64" s="29"/>
    </row>
    <row r="65" spans="1:11" ht="26.25" customHeight="1" x14ac:dyDescent="0.2">
      <c r="A65" s="61" t="s">
        <v>263</v>
      </c>
      <c r="B65" s="62" t="s">
        <v>164</v>
      </c>
      <c r="C65" s="34">
        <v>623.79341999999997</v>
      </c>
      <c r="D65" s="30">
        <f>IF(OR(530.769="",623.79342=""),"-",623.79342/530.769*100)</f>
        <v>117.52634762015113</v>
      </c>
      <c r="E65" s="30">
        <f>IF(530.769="","-",530.769/684759.39703*100)</f>
        <v>7.7511751178895694E-2</v>
      </c>
      <c r="F65" s="30">
        <f>IF(623.79342="","-",623.79342/1062764.76132*100)</f>
        <v>5.8695342817466148E-2</v>
      </c>
      <c r="G65" s="30">
        <f>IF(OR(675027.19329="",293.5848="",530.769=""),"-",(530.769-293.5848)/675027.19329*100)</f>
        <v>3.5136984458950943E-2</v>
      </c>
      <c r="H65" s="30">
        <f>IF(OR(684759.39703="",623.79342="",530.769=""),"-",(623.79342-530.769)/684759.39703*100)</f>
        <v>1.3584978958079851E-2</v>
      </c>
      <c r="I65" s="61"/>
      <c r="J65" s="62"/>
      <c r="K65" s="29"/>
    </row>
    <row r="66" spans="1:11" ht="39.75" customHeight="1" x14ac:dyDescent="0.2">
      <c r="A66" s="61" t="s">
        <v>264</v>
      </c>
      <c r="B66" s="62" t="s">
        <v>165</v>
      </c>
      <c r="C66" s="34">
        <v>414.33695999999998</v>
      </c>
      <c r="D66" s="30">
        <f>IF(OR(817.61694="",414.33696=""),"-",414.33696/817.61694*100)</f>
        <v>50.676171166414427</v>
      </c>
      <c r="E66" s="30">
        <f>IF(817.61694="","-",817.61694/684759.39703*100)</f>
        <v>0.11940207663395956</v>
      </c>
      <c r="F66" s="30">
        <f>IF(414.33696="","-",414.33696/1062764.76132*100)</f>
        <v>3.8986704779840037E-2</v>
      </c>
      <c r="G66" s="30">
        <f>IF(OR(675027.19329="",446.81349="",817.61694=""),"-",(817.61694-446.81349)/675027.19329*100)</f>
        <v>5.4931631449208637E-2</v>
      </c>
      <c r="H66" s="30">
        <f>IF(OR(684759.39703="",414.33696="",817.61694=""),"-",(414.33696-817.61694)/684759.39703*100)</f>
        <v>-5.8893675902680881E-2</v>
      </c>
      <c r="I66" s="61"/>
      <c r="J66" s="62"/>
      <c r="K66" s="29"/>
    </row>
    <row r="67" spans="1:11" ht="48" x14ac:dyDescent="0.2">
      <c r="A67" s="61" t="s">
        <v>265</v>
      </c>
      <c r="B67" s="62" t="s">
        <v>166</v>
      </c>
      <c r="C67" s="34">
        <v>132865.53224</v>
      </c>
      <c r="D67" s="30">
        <f>IF(OR(148790.76="",132865.53224=""),"-",132865.53224/148790.76*100)</f>
        <v>89.296897361099568</v>
      </c>
      <c r="E67" s="30">
        <f>IF(148790.76="","-",148790.76/684759.39703*100)</f>
        <v>21.728911008063367</v>
      </c>
      <c r="F67" s="30">
        <f>IF(132865.53224="","-",132865.53224/1062764.76132*100)</f>
        <v>12.501875963122377</v>
      </c>
      <c r="G67" s="30">
        <f>IF(OR(675027.19329="",126021.5015="",148790.76=""),"-",(148790.76-126021.5015)/675027.19329*100)</f>
        <v>3.3730875920754286</v>
      </c>
      <c r="H67" s="30">
        <f>IF(OR(684759.39703="",132865.53224="",148790.76=""),"-",(132865.53224-148790.76)/684759.39703*100)</f>
        <v>-2.3256676475083569</v>
      </c>
      <c r="I67" s="61"/>
      <c r="J67" s="62"/>
      <c r="K67" s="29"/>
    </row>
    <row r="68" spans="1:11" ht="24" x14ac:dyDescent="0.2">
      <c r="A68" s="61" t="s">
        <v>266</v>
      </c>
      <c r="B68" s="62" t="s">
        <v>167</v>
      </c>
      <c r="C68" s="34">
        <v>23119.14573</v>
      </c>
      <c r="D68" s="30" t="s">
        <v>19</v>
      </c>
      <c r="E68" s="30">
        <f>IF(11644.30447="","-",11644.30447/684759.39703*100)</f>
        <v>1.7004957537647125</v>
      </c>
      <c r="F68" s="30">
        <f>IF(23119.14573="","-",23119.14573/1062764.76132*100)</f>
        <v>2.175377522047778</v>
      </c>
      <c r="G68" s="30">
        <f>IF(OR(675027.19329="",6958.43761="",11644.30447=""),"-",(11644.30447-6958.43761)/675027.19329*100)</f>
        <v>0.69417453201576329</v>
      </c>
      <c r="H68" s="30">
        <f>IF(OR(684759.39703="",23119.14573="",11644.30447=""),"-",(23119.14573-11644.30447)/684759.39703*100)</f>
        <v>1.6757479064573213</v>
      </c>
      <c r="I68" s="61"/>
      <c r="J68" s="62"/>
      <c r="K68" s="29"/>
    </row>
    <row r="69" spans="1:11" x14ac:dyDescent="0.2">
      <c r="A69" s="61" t="s">
        <v>267</v>
      </c>
      <c r="B69" s="62" t="s">
        <v>32</v>
      </c>
      <c r="C69" s="34">
        <v>57.871409999999997</v>
      </c>
      <c r="D69" s="30">
        <f>IF(OR(267.93584="",57.87141=""),"-",57.87141/267.93584*100)</f>
        <v>21.598980561913628</v>
      </c>
      <c r="E69" s="30">
        <f>IF(267.93584="","-",267.93584/684759.39703*100)</f>
        <v>3.9128464853803453E-2</v>
      </c>
      <c r="F69" s="30">
        <f>IF(57.87141="","-",57.87141/1062764.76132*100)</f>
        <v>5.4453640265717121E-3</v>
      </c>
      <c r="G69" s="30">
        <f>IF(OR(675027.19329="",86.25401="",267.93584=""),"-",(267.93584-86.25401)/675027.19329*100)</f>
        <v>2.6914742369785871E-2</v>
      </c>
      <c r="H69" s="30">
        <f>IF(OR(684759.39703="",57.87141="",267.93584=""),"-",(57.87141-267.93584)/684759.39703*100)</f>
        <v>-3.0677115335855237E-2</v>
      </c>
      <c r="I69" s="61"/>
      <c r="J69" s="62"/>
      <c r="K69" s="29"/>
    </row>
    <row r="70" spans="1:11" x14ac:dyDescent="0.2">
      <c r="A70" s="59" t="s">
        <v>268</v>
      </c>
      <c r="B70" s="60" t="s">
        <v>33</v>
      </c>
      <c r="C70" s="57">
        <v>149557.4137</v>
      </c>
      <c r="D70" s="27">
        <f>IF(140426.98201="","-",149557.4137/140426.98201*100)</f>
        <v>106.50190694075432</v>
      </c>
      <c r="E70" s="27">
        <f>IF(140426.98201="","-",140426.98201/684759.39703*100)</f>
        <v>20.507492503070793</v>
      </c>
      <c r="F70" s="27">
        <f>IF(149557.4137="","-",149557.4137/1062764.76132*100)</f>
        <v>14.07248519552372</v>
      </c>
      <c r="G70" s="27">
        <f>IF(675027.19329="","-",(140426.98201-129566.20948)/675027.19329*100)</f>
        <v>1.6089385195085144</v>
      </c>
      <c r="H70" s="27">
        <f>IF(684759.39703="","-",(149557.4137-140426.98201)/684759.39703*100)</f>
        <v>1.3333780784318299</v>
      </c>
      <c r="I70" s="61"/>
      <c r="J70" s="62"/>
      <c r="K70" s="29"/>
    </row>
    <row r="71" spans="1:11" ht="48" x14ac:dyDescent="0.2">
      <c r="A71" s="61" t="s">
        <v>269</v>
      </c>
      <c r="B71" s="62" t="s">
        <v>193</v>
      </c>
      <c r="C71" s="34">
        <v>4713.1905500000003</v>
      </c>
      <c r="D71" s="30">
        <f>IF(OR(4103.77114="",4713.19055=""),"-",4713.19055/4103.77114*100)</f>
        <v>114.85022895306976</v>
      </c>
      <c r="E71" s="30">
        <f>IF(4103.77114="","-",4103.77114/684759.39703*100)</f>
        <v>0.59930117904175473</v>
      </c>
      <c r="F71" s="30">
        <f>IF(4713.19055="","-",4713.19055/1062764.76132*100)</f>
        <v>0.44348389422942602</v>
      </c>
      <c r="G71" s="30">
        <f>IF(OR(675027.19329="",2086.48971="",4103.77114=""),"-",(4103.77114-2086.48971)/675027.19329*100)</f>
        <v>0.29884446879362253</v>
      </c>
      <c r="H71" s="30">
        <f>IF(OR(684759.39703="",4713.19055="",4103.77114=""),"-",(4713.19055-4103.77114)/684759.39703*100)</f>
        <v>8.8997597206147014E-2</v>
      </c>
      <c r="I71" s="59"/>
      <c r="J71" s="60"/>
      <c r="K71" s="26"/>
    </row>
    <row r="72" spans="1:11" x14ac:dyDescent="0.2">
      <c r="A72" s="61" t="s">
        <v>270</v>
      </c>
      <c r="B72" s="62" t="s">
        <v>168</v>
      </c>
      <c r="C72" s="34">
        <v>39056.00879</v>
      </c>
      <c r="D72" s="30">
        <f>IF(OR(44031.07452="",39056.00879=""),"-",39056.00879/44031.07452*100)</f>
        <v>88.70101221867705</v>
      </c>
      <c r="E72" s="30">
        <f>IF(44031.07452="","-",44031.07452/684759.39703*100)</f>
        <v>6.4301526508399212</v>
      </c>
      <c r="F72" s="30">
        <f>IF(39056.00879="","-",39056.00879/1062764.76132*100)</f>
        <v>3.674943902119105</v>
      </c>
      <c r="G72" s="30">
        <f>IF(OR(675027.19329="",34451.92935="",44031.07452=""),"-",(44031.07452-34451.92935)/675027.19329*100)</f>
        <v>1.4190754483997041</v>
      </c>
      <c r="H72" s="30">
        <f>IF(OR(684759.39703="",39056.00879="",44031.07452=""),"-",(39056.00879-44031.07452)/684759.39703*100)</f>
        <v>-0.7265421623388163</v>
      </c>
      <c r="I72" s="61"/>
      <c r="J72" s="62"/>
      <c r="K72" s="29"/>
    </row>
    <row r="73" spans="1:11" x14ac:dyDescent="0.2">
      <c r="A73" s="61" t="s">
        <v>271</v>
      </c>
      <c r="B73" s="62" t="s">
        <v>169</v>
      </c>
      <c r="C73" s="34">
        <v>3450.9107100000001</v>
      </c>
      <c r="D73" s="30">
        <f>IF(OR(3628.42049="",3450.91071=""),"-",3450.91071/3628.42049*100)</f>
        <v>95.10779468671781</v>
      </c>
      <c r="E73" s="30">
        <f>IF(3628.42049="","-",3628.42049/684759.39703*100)</f>
        <v>0.52988254060294926</v>
      </c>
      <c r="F73" s="30">
        <f>IF(3450.91071="","-",3450.91071/1062764.76132*100)</f>
        <v>0.32471068251395718</v>
      </c>
      <c r="G73" s="30">
        <f>IF(OR(675027.19329="",3319.90567="",3628.42049=""),"-",(3628.42049-3319.90567)/675027.19329*100)</f>
        <v>4.5704058009327947E-2</v>
      </c>
      <c r="H73" s="30">
        <f>IF(OR(684759.39703="",3450.91071="",3628.42049=""),"-",(3450.91071-3628.42049)/684759.39703*100)</f>
        <v>-2.5922941805532167E-2</v>
      </c>
      <c r="I73" s="61"/>
      <c r="J73" s="62"/>
      <c r="K73" s="29"/>
    </row>
    <row r="74" spans="1:11" x14ac:dyDescent="0.2">
      <c r="A74" s="61" t="s">
        <v>272</v>
      </c>
      <c r="B74" s="62" t="s">
        <v>170</v>
      </c>
      <c r="C74" s="34">
        <v>69296.903179999994</v>
      </c>
      <c r="D74" s="30">
        <f>IF(OR(59528.3945999999="",69296.90318=""),"-",69296.90318/59528.3945999999*100)</f>
        <v>116.40983037698133</v>
      </c>
      <c r="E74" s="30">
        <f>IF(59528.3945999999="","-",59528.3945999999/684759.39703*100)</f>
        <v>8.6933300745038036</v>
      </c>
      <c r="F74" s="30">
        <f>IF(69296.90318="","-",69296.90318/1062764.76132*100)</f>
        <v>6.5204366668998537</v>
      </c>
      <c r="G74" s="30">
        <f>IF(OR(675027.19329="",58761.24411="",59528.3945999999=""),"-",(59528.3945999999-58761.24411)/675027.19329*100)</f>
        <v>0.11364734600704017</v>
      </c>
      <c r="H74" s="30">
        <f>IF(OR(684759.39703="",69296.90318="",59528.3945999999=""),"-",(69296.90318-59528.3945999999)/684759.39703*100)</f>
        <v>1.4265607193371788</v>
      </c>
      <c r="I74" s="61"/>
      <c r="J74" s="62"/>
      <c r="K74" s="29"/>
    </row>
    <row r="75" spans="1:11" x14ac:dyDescent="0.2">
      <c r="A75" s="61" t="s">
        <v>273</v>
      </c>
      <c r="B75" s="62" t="s">
        <v>171</v>
      </c>
      <c r="C75" s="34">
        <v>9673.3552600000003</v>
      </c>
      <c r="D75" s="30">
        <f>IF(OR(8451.95335="",9673.35526=""),"-",9673.35526/8451.95335*100)</f>
        <v>114.45111987041435</v>
      </c>
      <c r="E75" s="30">
        <f>IF(8451.95335="","-",8451.95335/684759.39703*100)</f>
        <v>1.2342953432488215</v>
      </c>
      <c r="F75" s="30">
        <f>IF(9673.35526="","-",9673.35526/1062764.76132*100)</f>
        <v>0.91020662446365586</v>
      </c>
      <c r="G75" s="30">
        <f>IF(OR(675027.19329="",9665.51042="",8451.95335=""),"-",(8451.95335-9665.51042)/675027.19329*100)</f>
        <v>-0.17977898995228209</v>
      </c>
      <c r="H75" s="30">
        <f>IF(OR(684759.39703="",9673.35526="",8451.95335=""),"-",(9673.35526-8451.95335)/684759.39703*100)</f>
        <v>0.17836949960782936</v>
      </c>
      <c r="I75" s="61"/>
      <c r="J75" s="62"/>
      <c r="K75" s="29"/>
    </row>
    <row r="76" spans="1:11" ht="24" x14ac:dyDescent="0.2">
      <c r="A76" s="61" t="s">
        <v>274</v>
      </c>
      <c r="B76" s="62" t="s">
        <v>194</v>
      </c>
      <c r="C76" s="34">
        <v>3834.5542999999998</v>
      </c>
      <c r="D76" s="30">
        <f>IF(OR(6110.8172="",3834.5543=""),"-",3834.5543/6110.8172*100)</f>
        <v>62.750270127537114</v>
      </c>
      <c r="E76" s="30">
        <f>IF(6110.8172="","-",6110.8172/684759.39703*100)</f>
        <v>0.89240355466524246</v>
      </c>
      <c r="F76" s="30">
        <f>IF(3834.5543="","-",3834.5543/1062764.76132*100)</f>
        <v>0.36080931919847592</v>
      </c>
      <c r="G76" s="30">
        <f>IF(OR(675027.19329="",4467.3961="",6110.8172=""),"-",(6110.8172-4467.3961)/675027.19329*100)</f>
        <v>0.24345998447709449</v>
      </c>
      <c r="H76" s="30">
        <f>IF(OR(684759.39703="",3834.5543="",6110.8172=""),"-",(3834.5543-6110.8172)/684759.39703*100)</f>
        <v>-0.3324179134850595</v>
      </c>
      <c r="I76" s="61"/>
      <c r="J76" s="62"/>
      <c r="K76" s="29"/>
    </row>
    <row r="77" spans="1:11" ht="24" x14ac:dyDescent="0.2">
      <c r="A77" s="61" t="s">
        <v>275</v>
      </c>
      <c r="B77" s="62" t="s">
        <v>172</v>
      </c>
      <c r="C77" s="34">
        <v>1047.1694199999999</v>
      </c>
      <c r="D77" s="30">
        <f>IF(OR(805.98438="",1047.16942=""),"-",1047.16942/805.98438*100)</f>
        <v>129.92428215544325</v>
      </c>
      <c r="E77" s="30">
        <f>IF(805.98438="","-",805.98438/684759.39703*100)</f>
        <v>0.11770329600379167</v>
      </c>
      <c r="F77" s="30">
        <f>IF(1047.16942="","-",1047.16942/1062764.76132*100)</f>
        <v>9.8532568834835105E-2</v>
      </c>
      <c r="G77" s="30">
        <f>IF(OR(675027.19329="",697.76723="",805.98438=""),"-",(805.98438-697.76723)/675027.19329*100)</f>
        <v>1.6031524518673509E-2</v>
      </c>
      <c r="H77" s="30">
        <f>IF(OR(684759.39703="",1047.16942="",805.98438=""),"-",(1047.16942-805.98438)/684759.39703*100)</f>
        <v>3.522186640243119E-2</v>
      </c>
      <c r="I77" s="61"/>
      <c r="J77" s="62"/>
      <c r="K77" s="29"/>
    </row>
    <row r="78" spans="1:11" ht="15.75" customHeight="1" x14ac:dyDescent="0.2">
      <c r="A78" s="61" t="s">
        <v>276</v>
      </c>
      <c r="B78" s="62" t="s">
        <v>34</v>
      </c>
      <c r="C78" s="34">
        <v>18485.321489999998</v>
      </c>
      <c r="D78" s="30">
        <f>IF(OR(13766.56633="",18485.32149=""),"-",18485.32149/13766.56633*100)</f>
        <v>134.27692168755925</v>
      </c>
      <c r="E78" s="30">
        <f>IF(13766.56633="","-",13766.56633/684759.39703*100)</f>
        <v>2.0104238641644918</v>
      </c>
      <c r="F78" s="30">
        <f>IF(18485.32149="","-",18485.32149/1062764.76132*100)</f>
        <v>1.7393615372644107</v>
      </c>
      <c r="G78" s="30">
        <f>IF(OR(675027.19329="",16115.96689="",13766.56633=""),"-",(13766.56633-16115.96689)/675027.19329*100)</f>
        <v>-0.34804532074468131</v>
      </c>
      <c r="H78" s="30">
        <f>IF(OR(684759.39703="",18485.32149="",13766.56633=""),"-",(18485.32149-13766.56633)/684759.39703*100)</f>
        <v>0.68911141350766536</v>
      </c>
      <c r="I78" s="61"/>
      <c r="J78" s="62"/>
      <c r="K78" s="29"/>
    </row>
    <row r="79" spans="1:11" ht="24" x14ac:dyDescent="0.2">
      <c r="A79" s="63" t="s">
        <v>280</v>
      </c>
      <c r="B79" s="64" t="s">
        <v>173</v>
      </c>
      <c r="C79" s="57">
        <v>407.25608</v>
      </c>
      <c r="D79" s="27" t="str">
        <f>IF(""="","-",407.25608/""*100)</f>
        <v>-</v>
      </c>
      <c r="E79" s="27" t="str">
        <f>IF(""="","-",""/684759.39703*100)</f>
        <v>-</v>
      </c>
      <c r="F79" s="27">
        <f>IF(407.25608="","-",407.25608/1062764.76132*100)</f>
        <v>3.8320435040974654E-2</v>
      </c>
      <c r="G79" s="30" t="str">
        <f t="shared" ref="G79" si="0">IF(OR(675027.19329="",187.21487="",""=""),"-",(""-187.21487)/675027.19329*100)</f>
        <v>-</v>
      </c>
      <c r="H79" s="27">
        <v>0</v>
      </c>
      <c r="I79" s="61"/>
      <c r="J79" s="62"/>
      <c r="K79" s="29"/>
    </row>
    <row r="80" spans="1:11" x14ac:dyDescent="0.2">
      <c r="A80" s="87" t="s">
        <v>329</v>
      </c>
      <c r="B80" s="88" t="s">
        <v>330</v>
      </c>
      <c r="C80" s="34">
        <v>304.17898000000002</v>
      </c>
      <c r="D80" s="30" t="str">
        <f>IF(OR(""="",304.17898=""),"-",304.17898/""*100)</f>
        <v>-</v>
      </c>
      <c r="E80" s="30" t="str">
        <f>IF(""="","-",""/684759.39703*100)</f>
        <v>-</v>
      </c>
      <c r="F80" s="30">
        <f>IF(304.17898="","-",304.17898/1062764.76132*100)</f>
        <v>2.8621477778600458E-2</v>
      </c>
      <c r="G80" s="30" t="str">
        <f>IF(OR(675027.19329="",187.21487="",""=""),"-",(""-187.21487)/675027.19329*100)</f>
        <v>-</v>
      </c>
      <c r="H80" s="30">
        <v>0</v>
      </c>
      <c r="I80" s="61"/>
      <c r="J80" s="62"/>
      <c r="K80" s="29"/>
    </row>
    <row r="81" spans="1:11" ht="24" x14ac:dyDescent="0.2">
      <c r="A81" s="67" t="s">
        <v>334</v>
      </c>
      <c r="B81" s="68" t="s">
        <v>370</v>
      </c>
      <c r="C81" s="40">
        <v>103.0771</v>
      </c>
      <c r="D81" s="41" t="str">
        <f>IF(OR(""="",103.0771=""),"-",103.0771/""*100)</f>
        <v>-</v>
      </c>
      <c r="E81" s="41" t="str">
        <f>IF(""="","-",""/684759.39703*100)</f>
        <v>-</v>
      </c>
      <c r="F81" s="41">
        <f>IF(103.0771="","-",103.0771/1062764.76132*100)</f>
        <v>9.6989572623742016E-3</v>
      </c>
      <c r="G81" s="41" t="str">
        <f>IF(OR(675027.19329="",""="",""=""),"-",(""-"")/675027.19329*100)</f>
        <v>-</v>
      </c>
      <c r="H81" s="41">
        <v>0</v>
      </c>
      <c r="I81" s="61"/>
      <c r="J81" s="62"/>
      <c r="K81" s="29"/>
    </row>
    <row r="82" spans="1:11" x14ac:dyDescent="0.2">
      <c r="A82" s="42" t="s">
        <v>283</v>
      </c>
      <c r="B82" s="43"/>
      <c r="C82" s="43"/>
      <c r="D82" s="43"/>
      <c r="E82" s="43"/>
      <c r="I82" s="18"/>
      <c r="J82" s="18"/>
      <c r="K82" s="18"/>
    </row>
    <row r="83" spans="1:11" ht="13.5" x14ac:dyDescent="0.2">
      <c r="A83" s="43" t="s">
        <v>386</v>
      </c>
      <c r="B83" s="43"/>
    </row>
  </sheetData>
  <mergeCells count="11">
    <mergeCell ref="A5:A7"/>
    <mergeCell ref="B2:H2"/>
    <mergeCell ref="B3:H3"/>
    <mergeCell ref="B5:B7"/>
    <mergeCell ref="C5:D5"/>
    <mergeCell ref="E5:F5"/>
    <mergeCell ref="G5:H5"/>
    <mergeCell ref="C6:C7"/>
    <mergeCell ref="D6:D7"/>
    <mergeCell ref="E6:F6"/>
    <mergeCell ref="G6:H6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2:N85"/>
  <sheetViews>
    <sheetView zoomScaleNormal="100" workbookViewId="0">
      <selection activeCell="B2" sqref="B2:H2"/>
    </sheetView>
  </sheetViews>
  <sheetFormatPr defaultRowHeight="12" x14ac:dyDescent="0.2"/>
  <cols>
    <col min="1" max="1" width="5.25" style="3" customWidth="1"/>
    <col min="2" max="2" width="26.75" style="3" customWidth="1"/>
    <col min="3" max="3" width="11.875" style="3" customWidth="1"/>
    <col min="4" max="4" width="10.125" style="3" customWidth="1"/>
    <col min="5" max="5" width="7.375" style="3" customWidth="1"/>
    <col min="6" max="6" width="7.875" style="3" customWidth="1"/>
    <col min="7" max="8" width="8.625" style="3" customWidth="1"/>
    <col min="9" max="9" width="11.375" style="3" bestFit="1" customWidth="1"/>
    <col min="10" max="16384" width="9" style="3"/>
  </cols>
  <sheetData>
    <row r="2" spans="1:14" x14ac:dyDescent="0.2">
      <c r="B2" s="45" t="s">
        <v>388</v>
      </c>
      <c r="C2" s="45"/>
      <c r="D2" s="45"/>
      <c r="E2" s="45"/>
      <c r="F2" s="45"/>
      <c r="G2" s="45"/>
      <c r="H2" s="45"/>
    </row>
    <row r="3" spans="1:14" x14ac:dyDescent="0.2">
      <c r="B3" s="45" t="s">
        <v>282</v>
      </c>
      <c r="C3" s="45"/>
      <c r="D3" s="45"/>
      <c r="E3" s="45"/>
      <c r="F3" s="45"/>
      <c r="G3" s="45"/>
      <c r="H3" s="45"/>
    </row>
    <row r="4" spans="1:14" x14ac:dyDescent="0.2">
      <c r="B4" s="46"/>
    </row>
    <row r="5" spans="1:14" ht="57.75" customHeight="1" x14ac:dyDescent="0.2">
      <c r="A5" s="70" t="s">
        <v>207</v>
      </c>
      <c r="B5" s="71"/>
      <c r="C5" s="72" t="s">
        <v>339</v>
      </c>
      <c r="D5" s="49"/>
      <c r="E5" s="72" t="s">
        <v>0</v>
      </c>
      <c r="F5" s="49"/>
      <c r="G5" s="50" t="s">
        <v>114</v>
      </c>
      <c r="H5" s="73"/>
    </row>
    <row r="6" spans="1:14" ht="19.5" customHeight="1" x14ac:dyDescent="0.2">
      <c r="A6" s="74"/>
      <c r="B6" s="75"/>
      <c r="C6" s="76" t="s">
        <v>106</v>
      </c>
      <c r="D6" s="47" t="s">
        <v>340</v>
      </c>
      <c r="E6" s="77" t="s">
        <v>341</v>
      </c>
      <c r="F6" s="77"/>
      <c r="G6" s="77" t="s">
        <v>389</v>
      </c>
      <c r="H6" s="72"/>
    </row>
    <row r="7" spans="1:14" ht="33" customHeight="1" x14ac:dyDescent="0.2">
      <c r="A7" s="78"/>
      <c r="B7" s="79"/>
      <c r="C7" s="80"/>
      <c r="D7" s="51"/>
      <c r="E7" s="81" t="s">
        <v>315</v>
      </c>
      <c r="F7" s="81" t="s">
        <v>316</v>
      </c>
      <c r="G7" s="81" t="s">
        <v>315</v>
      </c>
      <c r="H7" s="53" t="s">
        <v>316</v>
      </c>
    </row>
    <row r="8" spans="1:14" x14ac:dyDescent="0.2">
      <c r="A8" s="82"/>
      <c r="B8" s="19" t="s">
        <v>118</v>
      </c>
      <c r="C8" s="20">
        <v>2037614.1912100001</v>
      </c>
      <c r="D8" s="21">
        <f>IF(1550863.02837="","-",2037614.19121/1550863.02837*100)</f>
        <v>131.38582543627913</v>
      </c>
      <c r="E8" s="83">
        <v>100</v>
      </c>
      <c r="F8" s="83">
        <v>100</v>
      </c>
      <c r="G8" s="21">
        <f>IF(1365113.41163="","-",(1550863.02837-1365113.41163)/1365113.41163*100)</f>
        <v>13.606899995085939</v>
      </c>
      <c r="H8" s="21">
        <f>IF(1550863.02837="","-",(2037614.19121-1550863.02837)/1550863.02837*100)</f>
        <v>31.38582543627912</v>
      </c>
      <c r="I8" s="84"/>
      <c r="J8" s="84"/>
      <c r="K8" s="84"/>
      <c r="L8" s="84"/>
      <c r="M8" s="84"/>
      <c r="N8" s="84"/>
    </row>
    <row r="9" spans="1:14" ht="12" customHeight="1" x14ac:dyDescent="0.2">
      <c r="A9" s="59" t="s">
        <v>208</v>
      </c>
      <c r="B9" s="60" t="s">
        <v>174</v>
      </c>
      <c r="C9" s="26">
        <v>231721.09641</v>
      </c>
      <c r="D9" s="27">
        <f>IF(192640.61475="","-",231721.09641/192640.61475*100)</f>
        <v>120.28673014292278</v>
      </c>
      <c r="E9" s="27">
        <f>IF(192640.61475="","-",192640.61475/1550863.02837*100)</f>
        <v>12.421510554189343</v>
      </c>
      <c r="F9" s="27">
        <f>IF(231721.09641="","-",231721.09641/2037614.19121*100)</f>
        <v>11.372177196724206</v>
      </c>
      <c r="G9" s="27">
        <f>IF(1365113.41163="","-",(192640.61475-177095.38701)/1365113.41163*100)</f>
        <v>1.1387499095359688</v>
      </c>
      <c r="H9" s="27">
        <f>IF(1550863.02837="","-",(231721.09641-192640.61475)/1550863.02837*100)</f>
        <v>2.5199183258030633</v>
      </c>
    </row>
    <row r="10" spans="1:14" x14ac:dyDescent="0.2">
      <c r="A10" s="61" t="s">
        <v>209</v>
      </c>
      <c r="B10" s="62" t="s">
        <v>22</v>
      </c>
      <c r="C10" s="29">
        <v>1859.80116</v>
      </c>
      <c r="D10" s="30" t="s">
        <v>286</v>
      </c>
      <c r="E10" s="30">
        <f>IF(771.41475="","-",771.41475/1550863.02837*100)</f>
        <v>4.9740998133844118E-2</v>
      </c>
      <c r="F10" s="30">
        <f>IF(1859.80116="","-",1859.80116/2037614.19121*100)</f>
        <v>9.1273469139689825E-2</v>
      </c>
      <c r="G10" s="30">
        <f>IF(OR(1365113.41163="",1802.92988="",771.41475=""),"-",(771.41475-1802.92988)/1365113.41163*100)</f>
        <v>-7.5562595840907423E-2</v>
      </c>
      <c r="H10" s="30">
        <f>IF(OR(1550863.02837="",1859.80116="",771.41475=""),"-",(1859.80116-771.41475)/1550863.02837*100)</f>
        <v>7.017940269966487E-2</v>
      </c>
    </row>
    <row r="11" spans="1:14" ht="14.25" customHeight="1" x14ac:dyDescent="0.2">
      <c r="A11" s="61" t="s">
        <v>210</v>
      </c>
      <c r="B11" s="62" t="s">
        <v>175</v>
      </c>
      <c r="C11" s="29">
        <v>26946.039479999999</v>
      </c>
      <c r="D11" s="30" t="s">
        <v>202</v>
      </c>
      <c r="E11" s="30">
        <f>IF(10997.67784="","-",10997.67784/1550863.02837*100)</f>
        <v>0.70913276277911308</v>
      </c>
      <c r="F11" s="30">
        <f>IF(26946.03948="","-",26946.03948/2037614.19121*100)</f>
        <v>1.3224308898240733</v>
      </c>
      <c r="G11" s="30">
        <f>IF(OR(1365113.41163="",8766.54936="",10997.67784=""),"-",(10997.67784-8766.54936)/1365113.41163*100)</f>
        <v>0.16343905649098728</v>
      </c>
      <c r="H11" s="30">
        <f>IF(OR(1550863.02837="",26946.03948="",10997.67784=""),"-",(26946.03948-10997.67784)/1550863.02837*100)</f>
        <v>1.0283539776405766</v>
      </c>
    </row>
    <row r="12" spans="1:14" s="33" customFormat="1" x14ac:dyDescent="0.2">
      <c r="A12" s="61" t="s">
        <v>211</v>
      </c>
      <c r="B12" s="62" t="s">
        <v>176</v>
      </c>
      <c r="C12" s="29">
        <v>29905.21903</v>
      </c>
      <c r="D12" s="30">
        <f>IF(OR(22230.82608="",29905.21903=""),"-",29905.21903/22230.82608*100)</f>
        <v>134.5214024993173</v>
      </c>
      <c r="E12" s="30">
        <f>IF(22230.82608="","-",22230.82608/1550863.02837*100)</f>
        <v>1.433448710384515</v>
      </c>
      <c r="F12" s="30">
        <f>IF(29905.21903="","-",29905.21903/2037614.19121*100)</f>
        <v>1.467658556708487</v>
      </c>
      <c r="G12" s="30">
        <f>IF(OR(1365113.41163="",21888.74896="",22230.82608=""),"-",(22230.82608-21888.74896)/1365113.41163*100)</f>
        <v>2.5058512874146063E-2</v>
      </c>
      <c r="H12" s="30">
        <f>IF(OR(1550863.02837="",29905.21903="",22230.82608=""),"-",(29905.21903-22230.82608)/1550863.02837*100)</f>
        <v>0.4948465989331115</v>
      </c>
    </row>
    <row r="13" spans="1:14" s="33" customFormat="1" x14ac:dyDescent="0.2">
      <c r="A13" s="61" t="s">
        <v>212</v>
      </c>
      <c r="B13" s="62" t="s">
        <v>177</v>
      </c>
      <c r="C13" s="29">
        <v>18917.478790000001</v>
      </c>
      <c r="D13" s="30">
        <f>IF(OR(16345.56642="",18917.47879=""),"-",18917.47879/16345.56642*100)</f>
        <v>115.73461759546662</v>
      </c>
      <c r="E13" s="30">
        <f>IF(16345.56642="","-",16345.56642/1550863.02837*100)</f>
        <v>1.0539658319909555</v>
      </c>
      <c r="F13" s="30">
        <f>IF(18917.47879="","-",18917.47879/2037614.19121*100)</f>
        <v>0.92841318398779915</v>
      </c>
      <c r="G13" s="30">
        <f>IF(OR(1365113.41163="",14968.85328="",16345.56642=""),"-",(16345.56642-14968.85328)/1365113.41163*100)</f>
        <v>0.10084972635029271</v>
      </c>
      <c r="H13" s="30">
        <f>IF(OR(1550863.02837="",18917.47879="",16345.56642=""),"-",(18917.47879-16345.56642)/1550863.02837*100)</f>
        <v>0.16583749325065497</v>
      </c>
    </row>
    <row r="14" spans="1:14" s="33" customFormat="1" ht="15" customHeight="1" x14ac:dyDescent="0.2">
      <c r="A14" s="61" t="s">
        <v>213</v>
      </c>
      <c r="B14" s="62" t="s">
        <v>178</v>
      </c>
      <c r="C14" s="29">
        <v>44798.84491</v>
      </c>
      <c r="D14" s="30">
        <f>IF(OR(35355.76067="",44798.84491=""),"-",44798.84491/35355.76067*100)</f>
        <v>126.70875710506951</v>
      </c>
      <c r="E14" s="30">
        <f>IF(35355.76067="","-",35355.76067/1550863.02837*100)</f>
        <v>2.2797474711328882</v>
      </c>
      <c r="F14" s="30">
        <f>IF(44798.84491="","-",44798.84491/2037614.19121*100)</f>
        <v>2.1985930949664727</v>
      </c>
      <c r="G14" s="30">
        <f>IF(OR(1365113.41163="",32921.65269="",35355.76067=""),"-",(35355.76067-32921.65269)/1365113.41163*100)</f>
        <v>0.17830811412903624</v>
      </c>
      <c r="H14" s="30">
        <f>IF(OR(1550863.02837="",44798.84491="",35355.76067=""),"-",(44798.84491-35355.76067)/1550863.02837*100)</f>
        <v>0.60889221467384769</v>
      </c>
    </row>
    <row r="15" spans="1:14" s="33" customFormat="1" ht="14.25" customHeight="1" x14ac:dyDescent="0.2">
      <c r="A15" s="61" t="s">
        <v>214</v>
      </c>
      <c r="B15" s="62" t="s">
        <v>179</v>
      </c>
      <c r="C15" s="29">
        <v>54069.708070000001</v>
      </c>
      <c r="D15" s="30">
        <f>IF(OR(51606.02306="",54069.70807=""),"-",54069.70807/51606.02306*100)</f>
        <v>104.77402609989068</v>
      </c>
      <c r="E15" s="30">
        <f>IF(51606.02306="","-",51606.02306/1550863.02837*100)</f>
        <v>3.3275680776425087</v>
      </c>
      <c r="F15" s="30">
        <f>IF(54069.70807="","-",54069.70807/2037614.19121*100)</f>
        <v>2.6535792842064811</v>
      </c>
      <c r="G15" s="30">
        <f>IF(OR(1365113.41163="",50585.41739="",51606.02306=""),"-",(51606.02306-50585.41739)/1365113.41163*100)</f>
        <v>7.4763434400761858E-2</v>
      </c>
      <c r="H15" s="30">
        <f>IF(OR(1550863.02837="",54069.70807="",51606.02306=""),"-",(54069.70807-51606.02306)/1550863.02837*100)</f>
        <v>0.15885896851828379</v>
      </c>
    </row>
    <row r="16" spans="1:14" s="33" customFormat="1" ht="24" x14ac:dyDescent="0.2">
      <c r="A16" s="61" t="s">
        <v>215</v>
      </c>
      <c r="B16" s="62" t="s">
        <v>137</v>
      </c>
      <c r="C16" s="29">
        <v>4649.4794499999998</v>
      </c>
      <c r="D16" s="30">
        <f>IF(OR(6366.29624="",4649.47945=""),"-",4649.47945/6366.29624*100)</f>
        <v>73.032722241024715</v>
      </c>
      <c r="E16" s="30">
        <f>IF(6366.29624="","-",6366.29624/1550863.02837*100)</f>
        <v>0.41050022623152954</v>
      </c>
      <c r="F16" s="30">
        <f>IF(4649.47945="","-",4649.47945/2037614.19121*100)</f>
        <v>0.2281825219934786</v>
      </c>
      <c r="G16" s="30">
        <f>IF(OR(1365113.41163="",5893.29666="",6366.29624=""),"-",(6366.29624-5893.29666)/1365113.41163*100)</f>
        <v>3.4649105046533776E-2</v>
      </c>
      <c r="H16" s="30">
        <f>IF(OR(1550863.02837="",4649.47945="",6366.29624=""),"-",(4649.47945-6366.29624)/1550863.02837*100)</f>
        <v>-0.1107007362090785</v>
      </c>
    </row>
    <row r="17" spans="1:8" s="33" customFormat="1" ht="24" x14ac:dyDescent="0.2">
      <c r="A17" s="61" t="s">
        <v>216</v>
      </c>
      <c r="B17" s="62" t="s">
        <v>180</v>
      </c>
      <c r="C17" s="29">
        <v>13810.388139999999</v>
      </c>
      <c r="D17" s="30">
        <f>IF(OR(14652.49849="",13810.38814=""),"-",13810.38814/14652.49849*100)</f>
        <v>94.252786645398928</v>
      </c>
      <c r="E17" s="30">
        <f>IF(14652.49849="","-",14652.49849/1550863.02837*100)</f>
        <v>0.94479642766390415</v>
      </c>
      <c r="F17" s="30">
        <f>IF(13810.38814="","-",13810.38814/2037614.19121*100)</f>
        <v>0.67777247525935969</v>
      </c>
      <c r="G17" s="30">
        <f>IF(OR(1365113.41163="",12527.88928="",14652.49849=""),"-",(14652.49849-12527.88928)/1365113.41163*100)</f>
        <v>0.15563609527966854</v>
      </c>
      <c r="H17" s="30">
        <f>IF(OR(1550863.02837="",13810.38814="",14652.49849=""),"-",(13810.38814-14652.49849)/1550863.02837*100)</f>
        <v>-5.4299466464493781E-2</v>
      </c>
    </row>
    <row r="18" spans="1:8" s="33" customFormat="1" ht="24" x14ac:dyDescent="0.2">
      <c r="A18" s="61" t="s">
        <v>217</v>
      </c>
      <c r="B18" s="62" t="s">
        <v>138</v>
      </c>
      <c r="C18" s="29">
        <v>11804.633949999999</v>
      </c>
      <c r="D18" s="30">
        <f>IF(OR(11110.34439="",11804.63395=""),"-",11804.63395/11110.34439*100)</f>
        <v>106.24903725419081</v>
      </c>
      <c r="E18" s="30">
        <f>IF(11110.34439="","-",11110.34439/1550863.02837*100)</f>
        <v>0.71639752749005048</v>
      </c>
      <c r="F18" s="30">
        <f>IF(11804.63395="","-",11804.63395/2037614.19121*100)</f>
        <v>0.57933606866911513</v>
      </c>
      <c r="G18" s="30">
        <f>IF(OR(1365113.41163="",8429.56335="",11110.34439=""),"-",(11110.34439-8429.56335)/1365113.41163*100)</f>
        <v>0.19637789923981774</v>
      </c>
      <c r="H18" s="30">
        <f>IF(OR(1550863.02837="",11804.63395="",11110.34439=""),"-",(11804.63395-11110.34439)/1550863.02837*100)</f>
        <v>4.4767948380955144E-2</v>
      </c>
    </row>
    <row r="19" spans="1:8" s="33" customFormat="1" ht="15.75" customHeight="1" x14ac:dyDescent="0.2">
      <c r="A19" s="61" t="s">
        <v>218</v>
      </c>
      <c r="B19" s="62" t="s">
        <v>181</v>
      </c>
      <c r="C19" s="29">
        <v>24959.503430000001</v>
      </c>
      <c r="D19" s="30">
        <f>IF(OR(23204.20681="",24959.50343=""),"-",24959.50343/23204.20681*100)</f>
        <v>107.56456203986058</v>
      </c>
      <c r="E19" s="30">
        <f>IF(23204.20681="","-",23204.20681/1550863.02837*100)</f>
        <v>1.4962125207400336</v>
      </c>
      <c r="F19" s="30">
        <f>IF(24959.50343="","-",24959.50343/2037614.19121*100)</f>
        <v>1.2249376519692501</v>
      </c>
      <c r="G19" s="30">
        <f>IF(OR(1365113.41163="",19310.48616="",23204.20681=""),"-",(23204.20681-19310.48616)/1365113.41163*100)</f>
        <v>0.28523056156563148</v>
      </c>
      <c r="H19" s="30">
        <f>IF(OR(1550863.02837="",24959.50343="",23204.20681=""),"-",(24959.50343-23204.20681)/1550863.02837*100)</f>
        <v>0.11318192437954153</v>
      </c>
    </row>
    <row r="20" spans="1:8" s="33" customFormat="1" x14ac:dyDescent="0.2">
      <c r="A20" s="59" t="s">
        <v>219</v>
      </c>
      <c r="B20" s="60" t="s">
        <v>182</v>
      </c>
      <c r="C20" s="26">
        <v>22528.547449999998</v>
      </c>
      <c r="D20" s="27">
        <f>IF(24118.12095="","-",22528.54745/24118.12095*100)</f>
        <v>93.409214991104022</v>
      </c>
      <c r="E20" s="27">
        <f>IF(24118.12095="","-",24118.12095/1550863.02837*100)</f>
        <v>1.555141911877854</v>
      </c>
      <c r="F20" s="27">
        <f>IF(22528.54745="","-",22528.54745/2037614.19121*100)</f>
        <v>1.1056336153912352</v>
      </c>
      <c r="G20" s="27">
        <f>IF(1365113.41163="","-",(24118.12095-25986.51045)/1365113.41163*100)</f>
        <v>-0.13686697999465622</v>
      </c>
      <c r="H20" s="27">
        <f>IF(1550863.02837="","-",(22528.54745-24118.12095)/1550863.02837*100)</f>
        <v>-0.10249605999510401</v>
      </c>
    </row>
    <row r="21" spans="1:8" s="33" customFormat="1" x14ac:dyDescent="0.2">
      <c r="A21" s="61" t="s">
        <v>220</v>
      </c>
      <c r="B21" s="62" t="s">
        <v>183</v>
      </c>
      <c r="C21" s="29">
        <v>14339.91214</v>
      </c>
      <c r="D21" s="30">
        <f>IF(OR(14952.30206="",14339.91214=""),"-",14339.91214/14952.30206*100)</f>
        <v>95.904377014705659</v>
      </c>
      <c r="E21" s="30">
        <f>IF(14952.30206="","-",14952.30206/1550863.02837*100)</f>
        <v>0.96412782989064372</v>
      </c>
      <c r="F21" s="30">
        <f>IF(14339.91214="","-",14339.91214/2037614.19121*100)</f>
        <v>0.70375992677418997</v>
      </c>
      <c r="G21" s="30">
        <f>IF(OR(1365113.41163="",12854.00189="",14952.30206=""),"-",(14952.30206-12854.00189)/1365113.41163*100)</f>
        <v>0.15370885320762809</v>
      </c>
      <c r="H21" s="30">
        <f>IF(OR(1550863.02837="",14339.91214="",14952.30206=""),"-",(14339.91214-14952.30206)/1550863.02837*100)</f>
        <v>-3.9487041008620757E-2</v>
      </c>
    </row>
    <row r="22" spans="1:8" s="33" customFormat="1" x14ac:dyDescent="0.2">
      <c r="A22" s="61" t="s">
        <v>221</v>
      </c>
      <c r="B22" s="62" t="s">
        <v>184</v>
      </c>
      <c r="C22" s="29">
        <v>8188.6353099999997</v>
      </c>
      <c r="D22" s="30">
        <f>IF(OR(9165.81889="",8188.63531=""),"-",8188.63531/9165.81889*100)</f>
        <v>89.338829495462562</v>
      </c>
      <c r="E22" s="30">
        <f>IF(9165.81889="","-",9165.81889/1550863.02837*100)</f>
        <v>0.59101408198721006</v>
      </c>
      <c r="F22" s="30">
        <f>IF(8188.63531="","-",8188.63531/2037614.19121*100)</f>
        <v>0.40187368861704525</v>
      </c>
      <c r="G22" s="30">
        <f>IF(OR(1365113.41163="",13132.50856="",9165.81889=""),"-",(9165.81889-13132.50856)/1365113.41163*100)</f>
        <v>-0.29057583320228414</v>
      </c>
      <c r="H22" s="30">
        <f>IF(OR(1550863.02837="",8188.63531="",9165.81889=""),"-",(8188.63531-9165.81889)/1550863.02837*100)</f>
        <v>-6.3009018986483145E-2</v>
      </c>
    </row>
    <row r="23" spans="1:8" s="33" customFormat="1" ht="24" x14ac:dyDescent="0.2">
      <c r="A23" s="59" t="s">
        <v>222</v>
      </c>
      <c r="B23" s="60" t="s">
        <v>23</v>
      </c>
      <c r="C23" s="26">
        <v>63983.120739999998</v>
      </c>
      <c r="D23" s="27">
        <f>IF(55734.96775="","-",63983.12074/55734.96775*100)</f>
        <v>114.7988835787924</v>
      </c>
      <c r="E23" s="27">
        <f>IF(55734.96775="","-",55734.96775/1550863.02837*100)</f>
        <v>3.5938033682174368</v>
      </c>
      <c r="F23" s="27">
        <f>IF(63983.12074="","-",63983.12074/2037614.19121*100)</f>
        <v>3.140099878378094</v>
      </c>
      <c r="G23" s="27">
        <f>IF(1365113.41163="","-",(55734.96775-50902.158)/1365113.41163*100)</f>
        <v>0.35402258221384203</v>
      </c>
      <c r="H23" s="27">
        <f>IF(1550863.02837="","-",(63983.12074-55734.96775)/1550863.02837*100)</f>
        <v>0.53184277651321876</v>
      </c>
    </row>
    <row r="24" spans="1:8" s="33" customFormat="1" ht="15.75" customHeight="1" x14ac:dyDescent="0.2">
      <c r="A24" s="61" t="s">
        <v>224</v>
      </c>
      <c r="B24" s="62" t="s">
        <v>185</v>
      </c>
      <c r="C24" s="29">
        <v>27882.19124</v>
      </c>
      <c r="D24" s="30">
        <f>IF(OR(23587.21758="",27882.19124=""),"-",27882.19124/23587.21758*100)</f>
        <v>118.20890338350793</v>
      </c>
      <c r="E24" s="30">
        <f>IF(23587.21758="","-",23587.21758/1550863.02837*100)</f>
        <v>1.5209091421046268</v>
      </c>
      <c r="F24" s="30">
        <f>IF(27882.19124="","-",27882.19124/2037614.19121*100)</f>
        <v>1.3683744135803584</v>
      </c>
      <c r="G24" s="30">
        <f>IF(OR(1365113.41163="",24319.16024="",23587.21758=""),"-",(23587.21758-24319.16024)/1365113.41163*100)</f>
        <v>-5.3617718041904794E-2</v>
      </c>
      <c r="H24" s="30">
        <f>IF(OR(1550863.02837="",27882.19124="",23587.21758=""),"-",(27882.19124-23587.21758)/1550863.02837*100)</f>
        <v>0.27694087623677094</v>
      </c>
    </row>
    <row r="25" spans="1:8" s="33" customFormat="1" ht="24" x14ac:dyDescent="0.2">
      <c r="A25" s="61" t="s">
        <v>278</v>
      </c>
      <c r="B25" s="62" t="s">
        <v>186</v>
      </c>
      <c r="C25" s="29">
        <v>740.69662000000005</v>
      </c>
      <c r="D25" s="30">
        <f>IF(OR(550.55931="",740.69662=""),"-",740.69662/550.55931*100)</f>
        <v>134.53530011144485</v>
      </c>
      <c r="E25" s="30">
        <f>IF(550.55931="","-",550.55931/1550863.02837*100)</f>
        <v>3.5500189244865366E-2</v>
      </c>
      <c r="F25" s="30">
        <f>IF(740.69662="","-",740.69662/2037614.19121*100)</f>
        <v>3.6351171050695859E-2</v>
      </c>
      <c r="G25" s="30">
        <f>IF(OR(1365113.41163="",338.97655="",550.55931=""),"-",(550.55931-338.97655)/1365113.41163*100)</f>
        <v>1.5499280733559108E-2</v>
      </c>
      <c r="H25" s="30">
        <f>IF(OR(1550863.02837="",740.69662="",550.55931=""),"-",(740.69662-550.55931)/1550863.02837*100)</f>
        <v>1.2260096895845125E-2</v>
      </c>
    </row>
    <row r="26" spans="1:8" s="33" customFormat="1" x14ac:dyDescent="0.2">
      <c r="A26" s="61" t="s">
        <v>225</v>
      </c>
      <c r="B26" s="62" t="s">
        <v>187</v>
      </c>
      <c r="C26" s="29">
        <v>12833.77852</v>
      </c>
      <c r="D26" s="30" t="s">
        <v>196</v>
      </c>
      <c r="E26" s="30">
        <f>IF(6977.83872="","-",6977.83872/1550863.02837*100)</f>
        <v>0.44993262411664442</v>
      </c>
      <c r="F26" s="30">
        <f>IF(12833.77852="","-",12833.77852/2037614.19121*100)</f>
        <v>0.62984340094229985</v>
      </c>
      <c r="G26" s="30">
        <f>IF(OR(1365113.41163="",6853.75549="",6977.83872=""),"-",(6977.83872-6853.75549)/1365113.41163*100)</f>
        <v>9.0895913074240369E-3</v>
      </c>
      <c r="H26" s="30">
        <f>IF(OR(1550863.02837="",12833.77852="",6977.83872=""),"-",(12833.77852-6977.83872)/1550863.02837*100)</f>
        <v>0.37759232716732927</v>
      </c>
    </row>
    <row r="27" spans="1:8" s="33" customFormat="1" x14ac:dyDescent="0.2">
      <c r="A27" s="61" t="s">
        <v>226</v>
      </c>
      <c r="B27" s="62" t="s">
        <v>139</v>
      </c>
      <c r="C27" s="29">
        <v>121.14634</v>
      </c>
      <c r="D27" s="30">
        <f>IF(OR(98.94834="",121.14634=""),"-",121.14634/98.94834*100)</f>
        <v>122.43392865408353</v>
      </c>
      <c r="E27" s="30">
        <f>IF(98.94834="","-",98.94834/1550863.02837*100)</f>
        <v>6.3802114171228556E-3</v>
      </c>
      <c r="F27" s="30">
        <f>IF(121.14634="","-",121.14634/2037614.19121*100)</f>
        <v>5.9454994239149586E-3</v>
      </c>
      <c r="G27" s="30">
        <f>IF(OR(1365113.41163="",85.5725="",98.94834=""),"-",(98.94834-85.5725)/1365113.41163*100)</f>
        <v>9.7983360840537864E-4</v>
      </c>
      <c r="H27" s="30">
        <f>IF(OR(1550863.02837="",121.14634="",98.94834=""),"-",(121.14634-98.94834)/1550863.02837*100)</f>
        <v>1.4313320772970329E-3</v>
      </c>
    </row>
    <row r="28" spans="1:8" s="33" customFormat="1" ht="14.25" customHeight="1" x14ac:dyDescent="0.2">
      <c r="A28" s="61" t="s">
        <v>227</v>
      </c>
      <c r="B28" s="62" t="s">
        <v>140</v>
      </c>
      <c r="C28" s="29">
        <v>1885.5499500000001</v>
      </c>
      <c r="D28" s="30">
        <f>IF(OR(2304.44122="",1885.54995=""),"-",1885.54995/2304.44122*100)</f>
        <v>81.822436330139936</v>
      </c>
      <c r="E28" s="30">
        <f>IF(2304.44122="","-",2304.44122/1550863.02837*100)</f>
        <v>0.14859089280257276</v>
      </c>
      <c r="F28" s="30">
        <f>IF(1885.54995="","-",1885.54995/2037614.19121*100)</f>
        <v>9.2537142611884754E-2</v>
      </c>
      <c r="G28" s="30">
        <f>IF(OR(1365113.41163="",1920.49854="",2304.44122=""),"-",(2304.44122-1920.49854)/1365113.41163*100)</f>
        <v>2.8125332058788959E-2</v>
      </c>
      <c r="H28" s="30">
        <f>IF(OR(1550863.02837="",1885.54995="",2304.44122=""),"-",(1885.54995-2304.44122)/1550863.02837*100)</f>
        <v>-2.7010204146801178E-2</v>
      </c>
    </row>
    <row r="29" spans="1:8" s="33" customFormat="1" ht="36" x14ac:dyDescent="0.2">
      <c r="A29" s="61" t="s">
        <v>228</v>
      </c>
      <c r="B29" s="62" t="s">
        <v>141</v>
      </c>
      <c r="C29" s="29">
        <v>4432.1120799999999</v>
      </c>
      <c r="D29" s="30">
        <f>IF(OR(3927.99761="",4432.11208=""),"-",4432.11208/3927.99761*100)</f>
        <v>112.8338792446465</v>
      </c>
      <c r="E29" s="30">
        <f>IF(3927.99761="","-",3927.99761/1550863.02837*100)</f>
        <v>0.25327817725646823</v>
      </c>
      <c r="F29" s="30">
        <f>IF(4432.11208="","-",4432.11208/2037614.19121*100)</f>
        <v>0.21751478268651395</v>
      </c>
      <c r="G29" s="30">
        <f>IF(OR(1365113.41163="",3407.77764="",3927.99761=""),"-",(3927.99761-3407.77764)/1365113.41163*100)</f>
        <v>3.8108186877955925E-2</v>
      </c>
      <c r="H29" s="30">
        <f>IF(OR(1550863.02837="",4432.11208="",3927.99761=""),"-",(4432.11208-3927.99761)/1550863.02837*100)</f>
        <v>3.2505415422136814E-2</v>
      </c>
    </row>
    <row r="30" spans="1:8" s="33" customFormat="1" ht="24" x14ac:dyDescent="0.2">
      <c r="A30" s="61" t="s">
        <v>229</v>
      </c>
      <c r="B30" s="62" t="s">
        <v>142</v>
      </c>
      <c r="C30" s="29">
        <v>214.21790999999999</v>
      </c>
      <c r="D30" s="30">
        <f>IF(OR(326.93286="",214.21791=""),"-",214.21791/326.93286*100)</f>
        <v>65.523517580949189</v>
      </c>
      <c r="E30" s="30">
        <f>IF(326.93286="","-",326.93286/1550863.02837*100)</f>
        <v>2.1080705002273187E-2</v>
      </c>
      <c r="F30" s="30">
        <f>IF(214.21791="","-",214.21791/2037614.19121*100)</f>
        <v>1.0513173245657001E-2</v>
      </c>
      <c r="G30" s="30">
        <f>IF(OR(1365113.41163="",438.9795="",326.93286=""),"-",(326.93286-438.9795)/1365113.41163*100)</f>
        <v>-8.2078631010013888E-3</v>
      </c>
      <c r="H30" s="30">
        <f>IF(OR(1550863.02837="",214.21791="",326.93286=""),"-",(214.21791-326.93286)/1550863.02837*100)</f>
        <v>-7.2678855539206801E-3</v>
      </c>
    </row>
    <row r="31" spans="1:8" s="33" customFormat="1" ht="24" x14ac:dyDescent="0.2">
      <c r="A31" s="61" t="s">
        <v>230</v>
      </c>
      <c r="B31" s="62" t="s">
        <v>143</v>
      </c>
      <c r="C31" s="29">
        <v>15873.42808</v>
      </c>
      <c r="D31" s="30">
        <f>IF(OR(17961.03211="",15873.42808=""),"-",15873.42808/17961.03211*100)</f>
        <v>88.377037481951248</v>
      </c>
      <c r="E31" s="30">
        <f>IF(17961.03211="","-",17961.03211/1550863.02837*100)</f>
        <v>1.1581314262728633</v>
      </c>
      <c r="F31" s="30">
        <f>IF(15873.42808="","-",15873.42808/2037614.19121*100)</f>
        <v>0.7790202948367696</v>
      </c>
      <c r="G31" s="30">
        <f>IF(OR(1365113.41163="",13537.43754="",17961.03211=""),"-",(17961.03211-13537.43754)/1365113.41163*100)</f>
        <v>0.32404593877061472</v>
      </c>
      <c r="H31" s="30">
        <f>IF(OR(1550863.02837="",15873.42808="",17961.03211=""),"-",(15873.42808-17961.03211)/1550863.02837*100)</f>
        <v>-0.13460918158543828</v>
      </c>
    </row>
    <row r="32" spans="1:8" s="33" customFormat="1" ht="24" x14ac:dyDescent="0.2">
      <c r="A32" s="59" t="s">
        <v>231</v>
      </c>
      <c r="B32" s="60" t="s">
        <v>144</v>
      </c>
      <c r="C32" s="26">
        <v>538777.23479000002</v>
      </c>
      <c r="D32" s="27" t="s">
        <v>307</v>
      </c>
      <c r="E32" s="27">
        <f>IF(194735.25208="","-",194735.25208/1550863.02837*100)</f>
        <v>12.556573244554817</v>
      </c>
      <c r="F32" s="27">
        <f>IF(538777.23479="","-",538777.23479/2037614.19121*100)</f>
        <v>26.441572556483667</v>
      </c>
      <c r="G32" s="27">
        <f>IF(1365113.41163="","-",(194735.25208-207612.23371)/1365113.41163*100)</f>
        <v>-0.94329024389441485</v>
      </c>
      <c r="H32" s="27">
        <f>IF(1550863.02837="","-",(538777.23479-194735.25208)/1550863.02837*100)</f>
        <v>22.183905117113902</v>
      </c>
    </row>
    <row r="33" spans="1:8" s="33" customFormat="1" x14ac:dyDescent="0.2">
      <c r="A33" s="61" t="s">
        <v>232</v>
      </c>
      <c r="B33" s="62" t="s">
        <v>188</v>
      </c>
      <c r="C33" s="29">
        <v>4086.4055800000001</v>
      </c>
      <c r="D33" s="30" t="s">
        <v>286</v>
      </c>
      <c r="E33" s="30">
        <f>IF(1694.64382="","-",1694.64382/1550863.02837*100)</f>
        <v>0.10927101807186143</v>
      </c>
      <c r="F33" s="30">
        <f>IF(4086.40558="","-",4086.40558/2037614.19121*100)</f>
        <v>0.20054854337137112</v>
      </c>
      <c r="G33" s="30">
        <f>IF(OR(1365113.41163="",2711.99305="",1694.64382=""),"-",(1694.64382-2711.99305)/1365113.41163*100)</f>
        <v>-7.4524887187595965E-2</v>
      </c>
      <c r="H33" s="30">
        <f>IF(OR(1550863.02837="",4086.40558="",1694.64382=""),"-",(4086.40558-1694.64382)/1550863.02837*100)</f>
        <v>0.15422134103704876</v>
      </c>
    </row>
    <row r="34" spans="1:8" s="33" customFormat="1" ht="24" x14ac:dyDescent="0.2">
      <c r="A34" s="61" t="s">
        <v>233</v>
      </c>
      <c r="B34" s="62" t="s">
        <v>145</v>
      </c>
      <c r="C34" s="29">
        <v>216119.25270000001</v>
      </c>
      <c r="D34" s="30" t="s">
        <v>102</v>
      </c>
      <c r="E34" s="30">
        <f>IF(115342.73665="","-",115342.73665/1550863.02837*100)</f>
        <v>7.4373258334250458</v>
      </c>
      <c r="F34" s="30">
        <f>IF(216119.2527="","-",216119.2527/2037614.19121*100)</f>
        <v>10.606485449125259</v>
      </c>
      <c r="G34" s="30">
        <f>IF(OR(1365113.41163="",111681.15262="",115342.73665=""),"-",(115342.73665-111681.15262)/1365113.41163*100)</f>
        <v>0.26822562864047578</v>
      </c>
      <c r="H34" s="30">
        <f>IF(OR(1550863.02837="",216119.2527="",115342.73665=""),"-",(216119.2527-115342.73665)/1550863.02837*100)</f>
        <v>6.4980926236870147</v>
      </c>
    </row>
    <row r="35" spans="1:8" s="33" customFormat="1" ht="24" x14ac:dyDescent="0.2">
      <c r="A35" s="61" t="s">
        <v>279</v>
      </c>
      <c r="B35" s="62" t="s">
        <v>189</v>
      </c>
      <c r="C35" s="29">
        <v>318570.39402000001</v>
      </c>
      <c r="D35" s="30" t="s">
        <v>311</v>
      </c>
      <c r="E35" s="30">
        <f>IF(77697.08693="","-",77697.08693/1550863.02837*100)</f>
        <v>5.0099257967134463</v>
      </c>
      <c r="F35" s="30">
        <f>IF(318570.39402="","-",318570.39402/2037614.19121*100)</f>
        <v>15.634480530920467</v>
      </c>
      <c r="G35" s="30">
        <f>IF(OR(1365113.41163="",85109.59435="",77697.08693=""),"-",(77697.08693-85109.59435)/1365113.41163*100)</f>
        <v>-0.54299572158983944</v>
      </c>
      <c r="H35" s="30">
        <f>IF(OR(1550863.02837="",318570.39402="",77697.08693=""),"-",(318570.39402-77697.08693)/1550863.02837*100)</f>
        <v>15.531565501510764</v>
      </c>
    </row>
    <row r="36" spans="1:8" s="33" customFormat="1" x14ac:dyDescent="0.2">
      <c r="A36" s="61" t="s">
        <v>287</v>
      </c>
      <c r="B36" s="62" t="s">
        <v>289</v>
      </c>
      <c r="C36" s="29">
        <v>1.18249</v>
      </c>
      <c r="D36" s="30">
        <f>IF(OR(0.78468="",1.18249=""),"-",1.18249/0.78468*100)</f>
        <v>150.69709945455472</v>
      </c>
      <c r="E36" s="30">
        <f>IF(0.78468="","-",0.78468/1550863.02837*100)</f>
        <v>5.0596344464070469E-5</v>
      </c>
      <c r="F36" s="30">
        <f>IF(1.18249="","-",1.18249/2037614.19121*100)</f>
        <v>5.8033066568789446E-5</v>
      </c>
      <c r="G36" s="30">
        <f>IF(OR(1365113.41163="",8109.49369="",0.78468=""),"-",(0.78468-8109.49369)/1365113.41163*100)</f>
        <v>-0.59399526375745426</v>
      </c>
      <c r="H36" s="30">
        <f>IF(OR(1550863.02837="",1.18249="",0.78468=""),"-",(1.18249-0.78468)/1550863.02837*100)</f>
        <v>2.5650879073318892E-5</v>
      </c>
    </row>
    <row r="37" spans="1:8" s="33" customFormat="1" ht="24" x14ac:dyDescent="0.2">
      <c r="A37" s="59" t="s">
        <v>234</v>
      </c>
      <c r="B37" s="60" t="s">
        <v>146</v>
      </c>
      <c r="C37" s="26">
        <v>4511.3573399999996</v>
      </c>
      <c r="D37" s="27">
        <f>IF(3554.42884="","-",4511.35734/3554.42884*100)</f>
        <v>126.92214538749916</v>
      </c>
      <c r="E37" s="27">
        <f>IF(3554.42884="","-",3554.42884/1550863.02837*100)</f>
        <v>0.22919037819450783</v>
      </c>
      <c r="F37" s="27">
        <f>IF(4511.35734="","-",4511.35734/2037614.19121*100)</f>
        <v>0.2214039026358082</v>
      </c>
      <c r="G37" s="27">
        <f>IF(1365113.41163="","-",(3554.42884-2436.21034)/1365113.41163*100)</f>
        <v>8.1913963372816201E-2</v>
      </c>
      <c r="H37" s="27">
        <f>IF(1550863.02837="","-",(4511.35734-3554.42884)/1550863.02837*100)</f>
        <v>6.1702966831684539E-2</v>
      </c>
    </row>
    <row r="38" spans="1:8" s="33" customFormat="1" x14ac:dyDescent="0.2">
      <c r="A38" s="61" t="s">
        <v>235</v>
      </c>
      <c r="B38" s="62" t="s">
        <v>192</v>
      </c>
      <c r="C38" s="29">
        <v>515.04745000000003</v>
      </c>
      <c r="D38" s="30">
        <f>IF(OR(389.00048="",515.04745=""),"-",515.04745/389.00048*100)</f>
        <v>132.40278006854902</v>
      </c>
      <c r="E38" s="30">
        <f>IF(389.00048="","-",389.00048/1550863.02837*100)</f>
        <v>2.5082839224612265E-2</v>
      </c>
      <c r="F38" s="30">
        <f>IF(515.04745="","-",515.04745/2037614.19121*100)</f>
        <v>2.5276985811241746E-2</v>
      </c>
      <c r="G38" s="30">
        <f>IF(OR(1365113.41163="",330.57056="",389.00048=""),"-",(389.00048-330.57056)/1365113.41163*100)</f>
        <v>4.2802245954226114E-3</v>
      </c>
      <c r="H38" s="30">
        <f>IF(OR(1550863.02837="",515.04745="",389.00048=""),"-",(515.04745-389.00048)/1550863.02837*100)</f>
        <v>8.1275372288988606E-3</v>
      </c>
    </row>
    <row r="39" spans="1:8" s="33" customFormat="1" ht="24" x14ac:dyDescent="0.2">
      <c r="A39" s="61" t="s">
        <v>236</v>
      </c>
      <c r="B39" s="62" t="s">
        <v>147</v>
      </c>
      <c r="C39" s="29">
        <v>3682.0231899999999</v>
      </c>
      <c r="D39" s="30">
        <f>IF(OR(2665.42842="",3682.02319=""),"-",3682.02319/2665.42842*100)</f>
        <v>138.1400139044064</v>
      </c>
      <c r="E39" s="30">
        <f>IF(2665.42842="","-",2665.42842/1550863.02837*100)</f>
        <v>0.17186742937585142</v>
      </c>
      <c r="F39" s="30">
        <f>IF(3682.02319="","-",3682.02319/2037614.19121*100)</f>
        <v>0.18070266716259459</v>
      </c>
      <c r="G39" s="30">
        <f>IF(OR(1365113.41163="",1595.69214="",2665.42842=""),"-",(2665.42842-1595.69214)/1365113.41163*100)</f>
        <v>7.8362447463078702E-2</v>
      </c>
      <c r="H39" s="30">
        <f>IF(OR(1550863.02837="",3682.02319="",2665.42842=""),"-",(3682.02319-2665.42842)/1550863.02837*100)</f>
        <v>6.5550261461095563E-2</v>
      </c>
    </row>
    <row r="40" spans="1:8" s="33" customFormat="1" ht="60" x14ac:dyDescent="0.2">
      <c r="A40" s="61" t="s">
        <v>237</v>
      </c>
      <c r="B40" s="62" t="s">
        <v>190</v>
      </c>
      <c r="C40" s="29">
        <v>314.2867</v>
      </c>
      <c r="D40" s="30">
        <f>IF(OR(499.99994="",314.2867=""),"-",314.2867/499.99994*100)</f>
        <v>62.857347542881705</v>
      </c>
      <c r="E40" s="30">
        <f>IF(499.99994="","-",499.99994/1550863.02837*100)</f>
        <v>3.224010959404415E-2</v>
      </c>
      <c r="F40" s="30">
        <f>IF(314.2867="","-",314.2867/2037614.19121*100)</f>
        <v>1.5424249661971905E-2</v>
      </c>
      <c r="G40" s="30">
        <f>IF(OR(1365113.41163="",509.94764="",499.99994=""),"-",(499.99994-509.94764)/1365113.41163*100)</f>
        <v>-7.2870868568509974E-4</v>
      </c>
      <c r="H40" s="30">
        <f>IF(OR(1550863.02837="",314.2867="",499.99994=""),"-",(314.2867-499.99994)/1550863.02837*100)</f>
        <v>-1.1974831858309869E-2</v>
      </c>
    </row>
    <row r="41" spans="1:8" s="33" customFormat="1" ht="24" x14ac:dyDescent="0.2">
      <c r="A41" s="59" t="s">
        <v>238</v>
      </c>
      <c r="B41" s="60" t="s">
        <v>148</v>
      </c>
      <c r="C41" s="26">
        <v>283484.55063000001</v>
      </c>
      <c r="D41" s="27">
        <f>IF(240095.15096="","-",283484.55063/240095.15096*100)</f>
        <v>118.07175176029637</v>
      </c>
      <c r="E41" s="27">
        <f>IF(240095.15096="","-",240095.15096/1550863.02837*100)</f>
        <v>15.481389817664725</v>
      </c>
      <c r="F41" s="27">
        <f>IF(283484.55063="","-",283484.55063/2037614.19121*100)</f>
        <v>13.91257245129697</v>
      </c>
      <c r="G41" s="27">
        <f>IF(1365113.41163="","-",(240095.15096-221897.24315)/1365113.41163*100)</f>
        <v>1.3330693006869645</v>
      </c>
      <c r="H41" s="27">
        <f>IF(1550863.02837="","-",(283484.55063-240095.15096)/1550863.02837*100)</f>
        <v>2.7977583368921675</v>
      </c>
    </row>
    <row r="42" spans="1:8" s="33" customFormat="1" x14ac:dyDescent="0.2">
      <c r="A42" s="61" t="s">
        <v>239</v>
      </c>
      <c r="B42" s="62" t="s">
        <v>24</v>
      </c>
      <c r="C42" s="29">
        <v>3930.6004699999999</v>
      </c>
      <c r="D42" s="30">
        <f>IF(OR(2839.71484="",3930.60047=""),"-",3930.60047/2839.71484*100)</f>
        <v>138.41532306814298</v>
      </c>
      <c r="E42" s="30">
        <f>IF(2839.71484="","-",2839.71484/1550863.02837*100)</f>
        <v>0.18310545728752198</v>
      </c>
      <c r="F42" s="30">
        <f>IF(3930.60047="","-",3930.60047/2037614.19121*100)</f>
        <v>0.19290209535034131</v>
      </c>
      <c r="G42" s="30">
        <f>IF(OR(1365113.41163="",2739.90744="",2839.71484=""),"-",(2839.71484-2739.90744)/1365113.41163*100)</f>
        <v>7.3112899741294111E-3</v>
      </c>
      <c r="H42" s="30">
        <f>IF(OR(1550863.02837="",3930.60047="",2839.71484=""),"-",(3930.60047-2839.71484)/1550863.02837*100)</f>
        <v>7.0340552972402132E-2</v>
      </c>
    </row>
    <row r="43" spans="1:8" s="33" customFormat="1" x14ac:dyDescent="0.2">
      <c r="A43" s="61" t="s">
        <v>240</v>
      </c>
      <c r="B43" s="62" t="s">
        <v>25</v>
      </c>
      <c r="C43" s="29">
        <v>5925.8723399999999</v>
      </c>
      <c r="D43" s="30" t="s">
        <v>101</v>
      </c>
      <c r="E43" s="30">
        <f>IF(3653.16733="","-",3653.16733/1550863.02837*100)</f>
        <v>0.23555705843601032</v>
      </c>
      <c r="F43" s="30">
        <f>IF(5925.87234="","-",5925.87234/2037614.19121*100)</f>
        <v>0.2908240610790519</v>
      </c>
      <c r="G43" s="30">
        <f>IF(OR(1365113.41163="",4292.9238="",3653.16733=""),"-",(3653.16733-4292.9238)/1365113.41163*100)</f>
        <v>-4.6864712085430658E-2</v>
      </c>
      <c r="H43" s="30">
        <f>IF(OR(1550863.02837="",5925.87234="",3653.16733=""),"-",(5925.87234-3653.16733)/1550863.02837*100)</f>
        <v>0.14654453478001056</v>
      </c>
    </row>
    <row r="44" spans="1:8" s="33" customFormat="1" x14ac:dyDescent="0.2">
      <c r="A44" s="61" t="s">
        <v>241</v>
      </c>
      <c r="B44" s="62" t="s">
        <v>149</v>
      </c>
      <c r="C44" s="29">
        <v>9354.8755199999996</v>
      </c>
      <c r="D44" s="30">
        <f>IF(OR(8531.8071="",9354.87552=""),"-",9354.87552/8531.8071*100)</f>
        <v>109.6470584760408</v>
      </c>
      <c r="E44" s="30">
        <f>IF(8531.8071="","-",8531.8071/1550863.02837*100)</f>
        <v>0.55013285789443089</v>
      </c>
      <c r="F44" s="30">
        <f>IF(9354.87552="","-",9354.87552/2037614.19121*100)</f>
        <v>0.45910926417550996</v>
      </c>
      <c r="G44" s="30">
        <f>IF(OR(1365113.41163="",7465.71618="",8531.8071=""),"-",(8531.8071-7465.71618)/1365113.41163*100)</f>
        <v>7.8095410309319616E-2</v>
      </c>
      <c r="H44" s="30">
        <f>IF(OR(1550863.02837="",9354.87552="",8531.8071=""),"-",(9354.87552-8531.8071)/1550863.02837*100)</f>
        <v>5.3071638496990106E-2</v>
      </c>
    </row>
    <row r="45" spans="1:8" s="33" customFormat="1" x14ac:dyDescent="0.2">
      <c r="A45" s="61" t="s">
        <v>242</v>
      </c>
      <c r="B45" s="62" t="s">
        <v>150</v>
      </c>
      <c r="C45" s="29">
        <v>76680.205239999996</v>
      </c>
      <c r="D45" s="30">
        <f>IF(OR(70461.76108="",76680.20524=""),"-",76680.20524/70461.76108*100)</f>
        <v>108.82527496430268</v>
      </c>
      <c r="E45" s="30">
        <f>IF(70461.76108="","-",70461.76108/1550863.02837*100)</f>
        <v>4.5433903440239503</v>
      </c>
      <c r="F45" s="30">
        <f>IF(76680.20524="","-",76680.20524/2037614.19121*100)</f>
        <v>3.7632347463414968</v>
      </c>
      <c r="G45" s="30">
        <f>IF(OR(1365113.41163="",57417.15029="",70461.76108=""),"-",(70461.76108-57417.15029)/1365113.41163*100)</f>
        <v>0.95556974818848295</v>
      </c>
      <c r="H45" s="30">
        <f>IF(OR(1550863.02837="",76680.20524="",70461.76108=""),"-",(76680.20524-70461.76108)/1550863.02837*100)</f>
        <v>0.40096669056169049</v>
      </c>
    </row>
    <row r="46" spans="1:8" s="33" customFormat="1" ht="48" x14ac:dyDescent="0.2">
      <c r="A46" s="61" t="s">
        <v>243</v>
      </c>
      <c r="B46" s="62" t="s">
        <v>151</v>
      </c>
      <c r="C46" s="29">
        <v>33299.702640000003</v>
      </c>
      <c r="D46" s="30">
        <f>IF(OR(31740.74881="",33299.70264=""),"-",33299.70264/31740.74881*100)</f>
        <v>104.91152190306504</v>
      </c>
      <c r="E46" s="30">
        <f>IF(31740.74881="","-",31740.74881/1550863.02837*100)</f>
        <v>2.0466506860609353</v>
      </c>
      <c r="F46" s="30">
        <f>IF(33299.70264="","-",33299.70264/2037614.19121*100)</f>
        <v>1.6342496427268001</v>
      </c>
      <c r="G46" s="30">
        <f>IF(OR(1365113.41163="",28395.06968="",31740.74881=""),"-",(31740.74881-28395.06968)/1365113.41163*100)</f>
        <v>0.24508433522787867</v>
      </c>
      <c r="H46" s="30">
        <f>IF(OR(1550863.02837="",33299.70264="",31740.74881=""),"-",(33299.70264-31740.74881)/1550863.02837*100)</f>
        <v>0.10052169672511349</v>
      </c>
    </row>
    <row r="47" spans="1:8" s="33" customFormat="1" x14ac:dyDescent="0.2">
      <c r="A47" s="61" t="s">
        <v>244</v>
      </c>
      <c r="B47" s="62" t="s">
        <v>152</v>
      </c>
      <c r="C47" s="29">
        <v>49110.909500000002</v>
      </c>
      <c r="D47" s="30" t="s">
        <v>92</v>
      </c>
      <c r="E47" s="30">
        <f>IF(23623.06706="","-",23623.06706/1550863.02837*100)</f>
        <v>1.5232207247101957</v>
      </c>
      <c r="F47" s="30">
        <f>IF(49110.9095="","-",49110.9095/2037614.19121*100)</f>
        <v>2.4102163064950184</v>
      </c>
      <c r="G47" s="30">
        <f>IF(OR(1365113.41163="",34615.88204="",23623.06706=""),"-",(23623.06706-34615.88204)/1365113.41163*100)</f>
        <v>-0.80526752476002239</v>
      </c>
      <c r="H47" s="30">
        <f>IF(OR(1550863.02837="",49110.9095="",23623.06706=""),"-",(49110.9095-23623.06706)/1550863.02837*100)</f>
        <v>1.6434618643780829</v>
      </c>
    </row>
    <row r="48" spans="1:8" s="33" customFormat="1" x14ac:dyDescent="0.2">
      <c r="A48" s="61" t="s">
        <v>245</v>
      </c>
      <c r="B48" s="62" t="s">
        <v>26</v>
      </c>
      <c r="C48" s="29">
        <v>15976.727440000001</v>
      </c>
      <c r="D48" s="30">
        <f>IF(OR(12084.48941="",15976.72744=""),"-",15976.72744/12084.48941*100)</f>
        <v>132.20854351346566</v>
      </c>
      <c r="E48" s="30">
        <f>IF(12084.48941="","-",12084.48941/1550863.02837*100)</f>
        <v>0.77921061943820613</v>
      </c>
      <c r="F48" s="30">
        <f>IF(15976.72744="","-",15976.72744/2037614.19121*100)</f>
        <v>0.78408991795019412</v>
      </c>
      <c r="G48" s="30">
        <f>IF(OR(1365113.41163="",11188.16257="",12084.48941=""),"-",(12084.48941-11188.16257)/1365113.41163*100)</f>
        <v>6.5659514613496436E-2</v>
      </c>
      <c r="H48" s="30">
        <f>IF(OR(1550863.02837="",15976.72744="",12084.48941=""),"-",(15976.72744-12084.48941)/1550863.02837*100)</f>
        <v>0.25097239142329997</v>
      </c>
    </row>
    <row r="49" spans="1:8" s="33" customFormat="1" x14ac:dyDescent="0.2">
      <c r="A49" s="61" t="s">
        <v>246</v>
      </c>
      <c r="B49" s="62" t="s">
        <v>27</v>
      </c>
      <c r="C49" s="29">
        <v>32450.97177</v>
      </c>
      <c r="D49" s="30">
        <f>IF(OR(32245.24317="",32450.97177=""),"-",32450.97177/32245.24317*100)</f>
        <v>100.63801224545084</v>
      </c>
      <c r="E49" s="30">
        <f>IF(32245.24317="","-",32245.24317/1550863.02837*100)</f>
        <v>2.0791805968764789</v>
      </c>
      <c r="F49" s="30">
        <f>IF(32450.97177="","-",32450.97177/2037614.19121*100)</f>
        <v>1.5925964743467742</v>
      </c>
      <c r="G49" s="30">
        <f>IF(OR(1365113.41163="",24951.75195="",32245.24317=""),"-",(32245.24317-24951.75195)/1365113.41163*100)</f>
        <v>0.53427731043175963</v>
      </c>
      <c r="H49" s="30">
        <f>IF(OR(1550863.02837="",32450.97177="",32245.24317=""),"-",(32450.97177-32245.24317)/1550863.02837*100)</f>
        <v>1.3265426813109668E-2</v>
      </c>
    </row>
    <row r="50" spans="1:8" s="33" customFormat="1" x14ac:dyDescent="0.2">
      <c r="A50" s="61" t="s">
        <v>247</v>
      </c>
      <c r="B50" s="62" t="s">
        <v>153</v>
      </c>
      <c r="C50" s="29">
        <v>56754.685709999998</v>
      </c>
      <c r="D50" s="30">
        <f>IF(OR(54915.15216="",56754.68571=""),"-",56754.68571/54915.15216*100)</f>
        <v>103.34977411086901</v>
      </c>
      <c r="E50" s="30">
        <f>IF(54915.15216="","-",54915.15216/1550863.02837*100)</f>
        <v>3.5409414729369972</v>
      </c>
      <c r="F50" s="30">
        <f>IF(56754.68571="","-",56754.68571/2037614.19121*100)</f>
        <v>2.7853499428317812</v>
      </c>
      <c r="G50" s="30">
        <f>IF(OR(1365113.41163="",50830.6792="",54915.15216=""),"-",(54915.15216-50830.6792)/1365113.41163*100)</f>
        <v>0.29920392878735075</v>
      </c>
      <c r="H50" s="30">
        <f>IF(OR(1550863.02837="",56754.68571="",54915.15216=""),"-",(56754.68571-54915.15216)/1550863.02837*100)</f>
        <v>0.11861354074146709</v>
      </c>
    </row>
    <row r="51" spans="1:8" s="33" customFormat="1" ht="24" x14ac:dyDescent="0.2">
      <c r="A51" s="59" t="s">
        <v>248</v>
      </c>
      <c r="B51" s="60" t="s">
        <v>312</v>
      </c>
      <c r="C51" s="26">
        <v>286135.77727000002</v>
      </c>
      <c r="D51" s="27">
        <f>IF(266067.78603="","-",286135.77727/266067.78603*100)</f>
        <v>107.54243553473147</v>
      </c>
      <c r="E51" s="27">
        <f>IF(266067.78603="","-",266067.78603/1550863.02837*100)</f>
        <v>17.156111220837126</v>
      </c>
      <c r="F51" s="27">
        <f>IF(286135.77727="","-",286135.77727/2037614.19121*100)</f>
        <v>14.042686711957158</v>
      </c>
      <c r="G51" s="27">
        <f>IF(1365113.41163="","-",(266067.78603-244185.24106)/1365113.41163*100)</f>
        <v>1.6029836630109275</v>
      </c>
      <c r="H51" s="27">
        <f>IF(1550863.02837="","-",(286135.77727-266067.78603)/1550863.02837*100)</f>
        <v>1.2939886290984717</v>
      </c>
    </row>
    <row r="52" spans="1:8" s="33" customFormat="1" x14ac:dyDescent="0.2">
      <c r="A52" s="61" t="s">
        <v>249</v>
      </c>
      <c r="B52" s="62" t="s">
        <v>154</v>
      </c>
      <c r="C52" s="29">
        <v>13195.464830000001</v>
      </c>
      <c r="D52" s="30">
        <f>IF(OR(15425.74219="",13195.46483=""),"-",13195.46483/15425.74219*100)</f>
        <v>85.541847306084136</v>
      </c>
      <c r="E52" s="30">
        <f>IF(15425.74219="","-",15425.74219/1550863.02837*100)</f>
        <v>0.99465535690878415</v>
      </c>
      <c r="F52" s="30">
        <f>IF(13195.46483="","-",13195.46483/2037614.19121*100)</f>
        <v>0.64759388145820251</v>
      </c>
      <c r="G52" s="30">
        <f>IF(OR(1365113.41163="",13301.45428="",15425.74219=""),"-",(15425.74219-13301.45428)/1365113.41163*100)</f>
        <v>0.15561255877367114</v>
      </c>
      <c r="H52" s="30">
        <f>IF(OR(1550863.02837="",13195.46483="",15425.74219=""),"-",(13195.46483-15425.74219)/1550863.02837*100)</f>
        <v>-0.14380879028008575</v>
      </c>
    </row>
    <row r="53" spans="1:8" s="33" customFormat="1" x14ac:dyDescent="0.2">
      <c r="A53" s="61" t="s">
        <v>250</v>
      </c>
      <c r="B53" s="62" t="s">
        <v>28</v>
      </c>
      <c r="C53" s="29">
        <v>19802.635030000001</v>
      </c>
      <c r="D53" s="30">
        <f>IF(OR(15277.4405="",19802.63503=""),"-",19802.63503/15277.4405*100)</f>
        <v>129.62010900975201</v>
      </c>
      <c r="E53" s="30">
        <f>IF(15277.4405="","-",15277.4405/1550863.02837*100)</f>
        <v>0.98509283028411687</v>
      </c>
      <c r="F53" s="30">
        <f>IF(19802.63503="","-",19802.63503/2037614.19121*100)</f>
        <v>0.97185400040036862</v>
      </c>
      <c r="G53" s="30">
        <f>IF(OR(1365113.41163="",14990.24474="",15277.4405=""),"-",(15277.4405-14990.24474)/1365113.41163*100)</f>
        <v>2.1038234446548825E-2</v>
      </c>
      <c r="H53" s="30">
        <f>IF(OR(1550863.02837="",19802.63503="",15277.4405=""),"-",(19802.63503-15277.4405)/1550863.02837*100)</f>
        <v>0.29178557017740669</v>
      </c>
    </row>
    <row r="54" spans="1:8" s="33" customFormat="1" x14ac:dyDescent="0.2">
      <c r="A54" s="61" t="s">
        <v>251</v>
      </c>
      <c r="B54" s="62" t="s">
        <v>155</v>
      </c>
      <c r="C54" s="29">
        <v>23555.434700000002</v>
      </c>
      <c r="D54" s="30">
        <f>IF(OR(21544.59436="",23555.4347=""),"-",23555.4347/21544.59436*100)</f>
        <v>109.33338686447193</v>
      </c>
      <c r="E54" s="30">
        <f>IF(21544.59436="","-",21544.59436/1550863.02837*100)</f>
        <v>1.3892003333552909</v>
      </c>
      <c r="F54" s="30">
        <f>IF(23555.4347="","-",23555.4347/2037614.19121*100)</f>
        <v>1.156030165161543</v>
      </c>
      <c r="G54" s="30">
        <f>IF(OR(1365113.41163="",17300.78305="",21544.59436=""),"-",(21544.59436-17300.78305)/1365113.41163*100)</f>
        <v>0.31087609819412154</v>
      </c>
      <c r="H54" s="30">
        <f>IF(OR(1550863.02837="",23555.4347="",21544.59436=""),"-",(23555.4347-21544.59436)/1550863.02837*100)</f>
        <v>0.12965944143458313</v>
      </c>
    </row>
    <row r="55" spans="1:8" s="33" customFormat="1" ht="24" x14ac:dyDescent="0.2">
      <c r="A55" s="61" t="s">
        <v>252</v>
      </c>
      <c r="B55" s="62" t="s">
        <v>156</v>
      </c>
      <c r="C55" s="29">
        <v>28984.58121</v>
      </c>
      <c r="D55" s="30">
        <f>IF(OR(24336.98687="",28984.58121=""),"-",28984.58121/24336.98687*100)</f>
        <v>119.0968354662222</v>
      </c>
      <c r="E55" s="30">
        <f>IF(24336.98687="","-",24336.98687/1550863.02837*100)</f>
        <v>1.5692544360657594</v>
      </c>
      <c r="F55" s="30">
        <f>IF(28984.58121="","-",28984.58121/2037614.19121*100)</f>
        <v>1.4224764106490657</v>
      </c>
      <c r="G55" s="30">
        <f>IF(OR(1365113.41163="",23120.53685="",24336.98687=""),"-",(24336.98687-23120.53685)/1365113.41163*100)</f>
        <v>8.9109813854037975E-2</v>
      </c>
      <c r="H55" s="30">
        <f>IF(OR(1550863.02837="",28984.58121="",24336.98687=""),"-",(28984.58121-24336.98687)/1550863.02837*100)</f>
        <v>0.29967793770187107</v>
      </c>
    </row>
    <row r="56" spans="1:8" s="33" customFormat="1" ht="27.75" customHeight="1" x14ac:dyDescent="0.2">
      <c r="A56" s="61" t="s">
        <v>253</v>
      </c>
      <c r="B56" s="62" t="s">
        <v>157</v>
      </c>
      <c r="C56" s="29">
        <v>78964.63854</v>
      </c>
      <c r="D56" s="30">
        <f>IF(OR(69398.18892="",78964.63854=""),"-",78964.63854/69398.18892*100)</f>
        <v>113.7848692723493</v>
      </c>
      <c r="E56" s="30">
        <f>IF(69398.18892="","-",69398.18892/1550863.02837*100)</f>
        <v>4.4748109697952776</v>
      </c>
      <c r="F56" s="30">
        <f>IF(78964.63854="","-",78964.63854/2037614.19121*100)</f>
        <v>3.8753478887535762</v>
      </c>
      <c r="G56" s="30">
        <f>IF(OR(1365113.41163="",66065.02309="",69398.18892=""),"-",(69398.18892-66065.02309)/1365113.41163*100)</f>
        <v>0.24416768611335121</v>
      </c>
      <c r="H56" s="30">
        <f>IF(OR(1550863.02837="",78964.63854="",69398.18892=""),"-",(78964.63854-69398.18892)/1550863.02837*100)</f>
        <v>0.61684684237102505</v>
      </c>
    </row>
    <row r="57" spans="1:8" s="33" customFormat="1" ht="16.5" customHeight="1" x14ac:dyDescent="0.2">
      <c r="A57" s="61" t="s">
        <v>254</v>
      </c>
      <c r="B57" s="62" t="s">
        <v>29</v>
      </c>
      <c r="C57" s="29">
        <v>31484.424739999999</v>
      </c>
      <c r="D57" s="30">
        <f>IF(OR(31217.7585="",31484.42474=""),"-",31484.42474/31217.7585*100)</f>
        <v>100.85421328376283</v>
      </c>
      <c r="E57" s="30">
        <f>IF(31217.7585="","-",31217.7585/1550863.02837*100)</f>
        <v>2.0129281521921847</v>
      </c>
      <c r="F57" s="30">
        <f>IF(31484.42474="","-",31484.42474/2037614.19121*100)</f>
        <v>1.5451612418003207</v>
      </c>
      <c r="G57" s="30">
        <f>IF(OR(1365113.41163="",28866.09593="",31217.7585=""),"-",(31217.7585-28866.09593)/1365113.41163*100)</f>
        <v>0.17226865914327377</v>
      </c>
      <c r="H57" s="30">
        <f>IF(OR(1550863.02837="",31484.42474="",31217.7585=""),"-",(31484.42474-31217.7585)/1550863.02837*100)</f>
        <v>1.7194699668627234E-2</v>
      </c>
    </row>
    <row r="58" spans="1:8" s="33" customFormat="1" ht="16.5" customHeight="1" x14ac:dyDescent="0.2">
      <c r="A58" s="61" t="s">
        <v>255</v>
      </c>
      <c r="B58" s="62" t="s">
        <v>158</v>
      </c>
      <c r="C58" s="29">
        <v>39393.293380000003</v>
      </c>
      <c r="D58" s="30">
        <f>IF(OR(29415.20755="",39393.29338=""),"-",39393.29338/29415.20755*100)</f>
        <v>133.92152108068333</v>
      </c>
      <c r="E58" s="30">
        <f>IF(29415.20755="","-",29415.20755/1550863.02837*100)</f>
        <v>1.8966992578910207</v>
      </c>
      <c r="F58" s="30">
        <f>IF(39393.29338="","-",39393.29338/2037614.19121*100)</f>
        <v>1.9333048204089616</v>
      </c>
      <c r="G58" s="30">
        <f>IF(OR(1365113.41163="",28313.96522="",29415.20755=""),"-",(29415.20755-28313.96522)/1365113.41163*100)</f>
        <v>8.0670391237682854E-2</v>
      </c>
      <c r="H58" s="30">
        <f>IF(OR(1550863.02837="",39393.29338="",29415.20755=""),"-",(39393.29338-29415.20755)/1550863.02837*100)</f>
        <v>0.64338923860266684</v>
      </c>
    </row>
    <row r="59" spans="1:8" s="33" customFormat="1" ht="16.5" customHeight="1" x14ac:dyDescent="0.2">
      <c r="A59" s="61" t="s">
        <v>256</v>
      </c>
      <c r="B59" s="62" t="s">
        <v>30</v>
      </c>
      <c r="C59" s="29">
        <v>7877.27819</v>
      </c>
      <c r="D59" s="30">
        <f>IF(OR(16139.253="",7877.27819=""),"-",7877.27819/16139.253*100)</f>
        <v>48.808195707694772</v>
      </c>
      <c r="E59" s="30">
        <f>IF(16139.253="","-",16139.253/1550863.02837*100)</f>
        <v>1.0406626958515353</v>
      </c>
      <c r="F59" s="30">
        <f>IF(7877.27819="","-",7877.27819/2037614.19121*100)</f>
        <v>0.38659321396472124</v>
      </c>
      <c r="G59" s="30">
        <f>IF(OR(1365113.41163="",17853.72975="",16139.253=""),"-",(16139.253-17853.72975)/1365113.41163*100)</f>
        <v>-0.12559225741931904</v>
      </c>
      <c r="H59" s="30">
        <f>IF(OR(1550863.02837="",7877.27819="",16139.253=""),"-",(7877.27819-16139.253)/1550863.02837*100)</f>
        <v>-0.53273401060334546</v>
      </c>
    </row>
    <row r="60" spans="1:8" s="33" customFormat="1" ht="15.75" customHeight="1" x14ac:dyDescent="0.2">
      <c r="A60" s="61" t="s">
        <v>257</v>
      </c>
      <c r="B60" s="62" t="s">
        <v>31</v>
      </c>
      <c r="C60" s="29">
        <v>42878.02665</v>
      </c>
      <c r="D60" s="30">
        <f>IF(OR(43312.61414="",42878.02665=""),"-",42878.02665/43312.61414*100)</f>
        <v>98.996626043869639</v>
      </c>
      <c r="E60" s="30">
        <f>IF(43312.61414="","-",43312.61414/1550863.02837*100)</f>
        <v>2.7928071884931551</v>
      </c>
      <c r="F60" s="30">
        <f>IF(42878.02665="","-",42878.02665/2037614.19121*100)</f>
        <v>2.1043250893603989</v>
      </c>
      <c r="G60" s="30">
        <f>IF(OR(1365113.41163="",34373.40815="",43312.61414=""),"-",(43312.61414-34373.40815)/1365113.41163*100)</f>
        <v>0.65483247866755823</v>
      </c>
      <c r="H60" s="30">
        <f>IF(OR(1550863.02837="",42878.02665="",43312.61414=""),"-",(42878.02665-43312.61414)/1550863.02837*100)</f>
        <v>-2.8022299974277007E-2</v>
      </c>
    </row>
    <row r="61" spans="1:8" s="33" customFormat="1" ht="24" x14ac:dyDescent="0.2">
      <c r="A61" s="59" t="s">
        <v>258</v>
      </c>
      <c r="B61" s="60" t="s">
        <v>159</v>
      </c>
      <c r="C61" s="26">
        <v>425572.49005000002</v>
      </c>
      <c r="D61" s="27">
        <f>IF(396092.06704="","-",425572.49005/396092.06704*100)</f>
        <v>107.44282086493364</v>
      </c>
      <c r="E61" s="27">
        <f>IF(396092.06704="","-",396092.06704/1550863.02837*100)</f>
        <v>25.540106366214925</v>
      </c>
      <c r="F61" s="27">
        <f>IF(425572.49005="","-",425572.49005/2037614.19121*100)</f>
        <v>20.885822835641008</v>
      </c>
      <c r="G61" s="27">
        <f>IF(1365113.41163="","-",(396092.06704-297532.45036)/1365113.41163*100)</f>
        <v>7.2198848711269967</v>
      </c>
      <c r="H61" s="27">
        <f>IF(1550863.02837="","-",(425572.49005-396092.06704)/1550863.02837*100)</f>
        <v>1.9009043655508877</v>
      </c>
    </row>
    <row r="62" spans="1:8" s="33" customFormat="1" ht="24" x14ac:dyDescent="0.2">
      <c r="A62" s="61" t="s">
        <v>259</v>
      </c>
      <c r="B62" s="62" t="s">
        <v>160</v>
      </c>
      <c r="C62" s="29">
        <v>6458.7591499999999</v>
      </c>
      <c r="D62" s="30">
        <f>IF(OR(7172.01209="",6458.75915=""),"-",6458.75915/7172.01209*100)</f>
        <v>90.055051064477496</v>
      </c>
      <c r="E62" s="30">
        <f>IF(7172.01209="","-",7172.01209/1550863.02837*100)</f>
        <v>0.46245296707717531</v>
      </c>
      <c r="F62" s="30">
        <f>IF(6458.75915="","-",6458.75915/2037614.19121*100)</f>
        <v>0.31697654923401292</v>
      </c>
      <c r="G62" s="30">
        <f>IF(OR(1365113.41163="",4216.6784="",7172.01209=""),"-",(7172.01209-4216.6784)/1365113.41163*100)</f>
        <v>0.21648997547179719</v>
      </c>
      <c r="H62" s="30">
        <f>IF(OR(1550863.02837="",6458.75915="",7172.01209=""),"-",(6458.75915-7172.01209)/1550863.02837*100)</f>
        <v>-4.599071142663378E-2</v>
      </c>
    </row>
    <row r="63" spans="1:8" s="33" customFormat="1" ht="24" x14ac:dyDescent="0.2">
      <c r="A63" s="61" t="s">
        <v>260</v>
      </c>
      <c r="B63" s="62" t="s">
        <v>161</v>
      </c>
      <c r="C63" s="29">
        <v>66074.092730000004</v>
      </c>
      <c r="D63" s="30" t="s">
        <v>101</v>
      </c>
      <c r="E63" s="30">
        <f>IF(41337.36668="","-",41337.36668/1550863.02837*100)</f>
        <v>2.665442784037912</v>
      </c>
      <c r="F63" s="30">
        <f>IF(66074.09273="","-",66074.09273/2037614.19121*100)</f>
        <v>3.2427185192876533</v>
      </c>
      <c r="G63" s="30">
        <f>IF(OR(1365113.41163="",38350.71093="",41337.36668=""),"-",(41337.36668-38350.71093)/1365113.41163*100)</f>
        <v>0.21878444124534763</v>
      </c>
      <c r="H63" s="30">
        <f>IF(OR(1550863.02837="",66074.09273="",41337.36668=""),"-",(66074.09273-41337.36668)/1550863.02837*100)</f>
        <v>1.595029709103259</v>
      </c>
    </row>
    <row r="64" spans="1:8" s="33" customFormat="1" ht="27" customHeight="1" x14ac:dyDescent="0.2">
      <c r="A64" s="61" t="s">
        <v>261</v>
      </c>
      <c r="B64" s="62" t="s">
        <v>162</v>
      </c>
      <c r="C64" s="29">
        <v>2938.0183499999998</v>
      </c>
      <c r="D64" s="30">
        <f>IF(OR(3523.51254="",2938.01835=""),"-",2938.01835/3523.51254*100)</f>
        <v>83.383223889420293</v>
      </c>
      <c r="E64" s="30">
        <f>IF(3523.51254="","-",3523.51254/1550863.02837*100)</f>
        <v>0.22719688815480435</v>
      </c>
      <c r="F64" s="30">
        <f>IF(2938.01835="","-",2938.01835/2037614.19121*100)</f>
        <v>0.14418913858542137</v>
      </c>
      <c r="G64" s="30">
        <f>IF(OR(1365113.41163="",3575.23175="",3523.51254=""),"-",(3523.51254-3575.23175)/1365113.41163*100)</f>
        <v>-3.7886383328579959E-3</v>
      </c>
      <c r="H64" s="30">
        <f>IF(OR(1550863.02837="",2938.01835="",3523.51254=""),"-",(2938.01835-3523.51254)/1550863.02837*100)</f>
        <v>-3.7752798234888023E-2</v>
      </c>
    </row>
    <row r="65" spans="1:8" s="33" customFormat="1" ht="36" x14ac:dyDescent="0.2">
      <c r="A65" s="61" t="s">
        <v>262</v>
      </c>
      <c r="B65" s="62" t="s">
        <v>163</v>
      </c>
      <c r="C65" s="29">
        <v>51991.653160000002</v>
      </c>
      <c r="D65" s="30">
        <f>IF(OR(54968.80707="",51991.65316=""),"-",51991.65316/54968.80707*100)</f>
        <v>94.583921193325608</v>
      </c>
      <c r="E65" s="30">
        <f>IF(54968.80707="","-",54968.80707/1550863.02837*100)</f>
        <v>3.5444011537094764</v>
      </c>
      <c r="F65" s="30">
        <f>IF(51991.65316="","-",51991.65316/2037614.19121*100)</f>
        <v>2.5515945748849398</v>
      </c>
      <c r="G65" s="30">
        <f>IF(OR(1365113.41163="",44160.33261="",54968.80707=""),"-",(54968.80707-44160.33261)/1365113.41163*100)</f>
        <v>0.79176384671909816</v>
      </c>
      <c r="H65" s="30">
        <f>IF(OR(1550863.02837="",51991.65316="",54968.80707=""),"-",(51991.65316-54968.80707)/1550863.02837*100)</f>
        <v>-0.19196755970958135</v>
      </c>
    </row>
    <row r="66" spans="1:8" s="33" customFormat="1" ht="27.75" customHeight="1" x14ac:dyDescent="0.2">
      <c r="A66" s="61" t="s">
        <v>263</v>
      </c>
      <c r="B66" s="62" t="s">
        <v>164</v>
      </c>
      <c r="C66" s="29">
        <v>21084.261429999999</v>
      </c>
      <c r="D66" s="30">
        <f>IF(OR(18234.95743="",21084.26143=""),"-",21084.26143/18234.95743*100)</f>
        <v>115.62550398561584</v>
      </c>
      <c r="E66" s="30">
        <f>IF(18234.95743="","-",18234.95743/1550863.02837*100)</f>
        <v>1.1757941930671625</v>
      </c>
      <c r="F66" s="30">
        <f>IF(21084.26143="","-",21084.26143/2037614.19121*100)</f>
        <v>1.0347523844776274</v>
      </c>
      <c r="G66" s="30">
        <f>IF(OR(1365113.41163="",9932.82056="",18234.95743=""),"-",(18234.95743-9932.82056)/1365113.41163*100)</f>
        <v>0.60816462568387741</v>
      </c>
      <c r="H66" s="30">
        <f>IF(OR(1550863.02837="",21084.26143="",18234.95743=""),"-",(21084.26143-18234.95743)/1550863.02837*100)</f>
        <v>0.18372376850034897</v>
      </c>
    </row>
    <row r="67" spans="1:8" s="33" customFormat="1" ht="48" x14ac:dyDescent="0.2">
      <c r="A67" s="61" t="s">
        <v>264</v>
      </c>
      <c r="B67" s="62" t="s">
        <v>165</v>
      </c>
      <c r="C67" s="29">
        <v>39818.79797</v>
      </c>
      <c r="D67" s="30">
        <f>IF(OR(42651.91115="",39818.79797=""),"-",39818.79797/42651.91115*100)</f>
        <v>93.357593824960404</v>
      </c>
      <c r="E67" s="30">
        <f>IF(42651.91115="","-",42651.91115/1550863.02837*100)</f>
        <v>2.7502049097674561</v>
      </c>
      <c r="F67" s="30">
        <f>IF(39818.79797="","-",39818.79797/2037614.19121*100)</f>
        <v>1.9541873109135706</v>
      </c>
      <c r="G67" s="30">
        <f>IF(OR(1365113.41163="",33098.59868="",42651.91115=""),"-",(42651.91115-33098.59868)/1365113.41163*100)</f>
        <v>0.69981822672102834</v>
      </c>
      <c r="H67" s="30">
        <f>IF(OR(1550863.02837="",39818.79797="",42651.91115=""),"-",(39818.79797-42651.91115)/1550863.02837*100)</f>
        <v>-0.18267978075263558</v>
      </c>
    </row>
    <row r="68" spans="1:8" s="33" customFormat="1" ht="41.25" customHeight="1" x14ac:dyDescent="0.2">
      <c r="A68" s="61" t="s">
        <v>265</v>
      </c>
      <c r="B68" s="62" t="s">
        <v>166</v>
      </c>
      <c r="C68" s="29">
        <v>126237.85905</v>
      </c>
      <c r="D68" s="30">
        <f>IF(OR(128694.35833="",126237.85905=""),"-",126237.85905/128694.35833*100)</f>
        <v>98.091214477560072</v>
      </c>
      <c r="E68" s="30">
        <f>IF(128694.35833="","-",128694.35833/1550863.02837*100)</f>
        <v>8.2982414291777502</v>
      </c>
      <c r="F68" s="30">
        <f>IF(126237.85905="","-",126237.85905/2037614.19121*100)</f>
        <v>6.1953759251664779</v>
      </c>
      <c r="G68" s="30">
        <f>IF(OR(1365113.41163="",93902.51653="",128694.35833=""),"-",(128694.35833-93902.51653)/1365113.41163*100)</f>
        <v>2.548641124143463</v>
      </c>
      <c r="H68" s="30">
        <f>IF(OR(1550863.02837="",126237.85905="",128694.35833=""),"-",(126237.85905-128694.35833)/1550863.02837*100)</f>
        <v>-0.15839563101725704</v>
      </c>
    </row>
    <row r="69" spans="1:8" s="33" customFormat="1" ht="24" x14ac:dyDescent="0.2">
      <c r="A69" s="61" t="s">
        <v>266</v>
      </c>
      <c r="B69" s="62" t="s">
        <v>167</v>
      </c>
      <c r="C69" s="29">
        <v>108491.40059</v>
      </c>
      <c r="D69" s="30">
        <f>IF(OR(99133.49366="",108491.40059=""),"-",108491.40059/99133.49366*100)</f>
        <v>109.43970255108229</v>
      </c>
      <c r="E69" s="30">
        <f>IF(99133.49366="","-",99133.49366/1550863.02837*100)</f>
        <v>6.3921501671357808</v>
      </c>
      <c r="F69" s="30">
        <f>IF(108491.40059="","-",108491.40059/2037614.19121*100)</f>
        <v>5.3244329107059452</v>
      </c>
      <c r="G69" s="30">
        <f>IF(OR(1365113.41163="",67007.00674="",99133.49366=""),"-",(99133.49366-67007.00674)/1365113.41163*100)</f>
        <v>2.3533932526265113</v>
      </c>
      <c r="H69" s="30">
        <f>IF(OR(1550863.02837="",108491.40059="",99133.49366=""),"-",(108491.40059-99133.49366)/1550863.02837*100)</f>
        <v>0.6033999623961267</v>
      </c>
    </row>
    <row r="70" spans="1:8" s="33" customFormat="1" x14ac:dyDescent="0.2">
      <c r="A70" s="61" t="s">
        <v>267</v>
      </c>
      <c r="B70" s="62" t="s">
        <v>32</v>
      </c>
      <c r="C70" s="29">
        <v>2477.6476200000002</v>
      </c>
      <c r="D70" s="30" t="s">
        <v>375</v>
      </c>
      <c r="E70" s="30">
        <f>IF(375.64809="","-",375.64809/1550863.02837*100)</f>
        <v>2.422187408741161E-2</v>
      </c>
      <c r="F70" s="30">
        <f>IF(2477.64762="","-",2477.64762/2037614.19121*100)</f>
        <v>0.12159552238535865</v>
      </c>
      <c r="G70" s="30">
        <f>IF(OR(1365113.41163="",3288.55416="",375.64809=""),"-",(375.64809-3288.55416)/1365113.41163*100)</f>
        <v>-0.21338198315126608</v>
      </c>
      <c r="H70" s="30">
        <f>IF(OR(1550863.02837="",2477.64762="",375.64809=""),"-",(2477.64762-375.64809)/1550863.02837*100)</f>
        <v>0.13553740669214739</v>
      </c>
    </row>
    <row r="71" spans="1:8" s="33" customFormat="1" x14ac:dyDescent="0.2">
      <c r="A71" s="59" t="s">
        <v>268</v>
      </c>
      <c r="B71" s="60" t="s">
        <v>33</v>
      </c>
      <c r="C71" s="26">
        <v>172582.92764000001</v>
      </c>
      <c r="D71" s="27">
        <f>IF(177748.11539="","-",172582.92764/177748.11539*100)</f>
        <v>97.094097038009679</v>
      </c>
      <c r="E71" s="27">
        <f>IF(177748.11539="","-",177748.11539/1550863.02837*100)</f>
        <v>11.461238815965469</v>
      </c>
      <c r="F71" s="27">
        <f>IF(172582.92764="","-",172582.92764/2037614.19121*100)</f>
        <v>8.4698530460035109</v>
      </c>
      <c r="G71" s="27">
        <f>IF(1365113.41163="","-",(177748.11539-137386.64463)/1365113.41163*100)</f>
        <v>2.9566386511291238</v>
      </c>
      <c r="H71" s="27">
        <f>IF(1550863.02837="","-",(172582.92764-177748.11539)/1550863.02837*100)</f>
        <v>-0.33305247823392492</v>
      </c>
    </row>
    <row r="72" spans="1:8" s="33" customFormat="1" ht="36" x14ac:dyDescent="0.2">
      <c r="A72" s="61" t="s">
        <v>269</v>
      </c>
      <c r="B72" s="62" t="s">
        <v>193</v>
      </c>
      <c r="C72" s="29">
        <v>14429.27745</v>
      </c>
      <c r="D72" s="30">
        <f>IF(OR(12967.56513="",14429.27745=""),"-",14429.27745/12967.56513*100)</f>
        <v>111.27206461156212</v>
      </c>
      <c r="E72" s="30">
        <f>IF(12967.56513="","-",12967.56513/1550863.02837*100)</f>
        <v>0.83615154225639599</v>
      </c>
      <c r="F72" s="30">
        <f>IF(14429.27745="","-",14429.27745/2037614.19121*100)</f>
        <v>0.70814570845874591</v>
      </c>
      <c r="G72" s="30">
        <f>IF(OR(1365113.41163="",9544.9618="",12967.56513=""),"-",(12967.56513-9544.9618)/1365113.41163*100)</f>
        <v>0.25071933956851811</v>
      </c>
      <c r="H72" s="30">
        <f>IF(OR(1550863.02837="",14429.27745="",12967.56513=""),"-",(14429.27745-12967.56513)/1550863.02837*100)</f>
        <v>9.425154209371403E-2</v>
      </c>
    </row>
    <row r="73" spans="1:8" x14ac:dyDescent="0.2">
      <c r="A73" s="61" t="s">
        <v>270</v>
      </c>
      <c r="B73" s="62" t="s">
        <v>168</v>
      </c>
      <c r="C73" s="29">
        <v>17788.75128</v>
      </c>
      <c r="D73" s="30">
        <f>IF(OR(16145.26678="",17788.75128=""),"-",17788.75128/16145.26678*100)</f>
        <v>110.17935796536898</v>
      </c>
      <c r="E73" s="30">
        <f>IF(16145.26678="","-",16145.26678/1550863.02837*100)</f>
        <v>1.0410504657506165</v>
      </c>
      <c r="F73" s="30">
        <f>IF(17788.75128="","-",17788.75128/2037614.19121*100)</f>
        <v>0.87301861936073744</v>
      </c>
      <c r="G73" s="30">
        <f>IF(OR(1365113.41163="",11439.42492="",16145.26678=""),"-",(16145.26678-11439.42492)/1365113.41163*100)</f>
        <v>0.34472167806050902</v>
      </c>
      <c r="H73" s="30">
        <f>IF(OR(1550863.02837="",17788.75128="",16145.26678=""),"-",(17788.75128-16145.26678)/1550863.02837*100)</f>
        <v>0.10597225350889615</v>
      </c>
    </row>
    <row r="74" spans="1:8" x14ac:dyDescent="0.2">
      <c r="A74" s="61" t="s">
        <v>271</v>
      </c>
      <c r="B74" s="62" t="s">
        <v>169</v>
      </c>
      <c r="C74" s="29">
        <v>3719.35628</v>
      </c>
      <c r="D74" s="30">
        <f>IF(OR(2837.06946="",3719.35628=""),"-",3719.35628/2837.06946*100)</f>
        <v>131.09852728103454</v>
      </c>
      <c r="E74" s="30">
        <f>IF(2837.06946="","-",2837.06946/1550863.02837*100)</f>
        <v>0.18293488258481724</v>
      </c>
      <c r="F74" s="30">
        <f>IF(3719.35628="","-",3719.35628/2037614.19121*100)</f>
        <v>0.18253486337329286</v>
      </c>
      <c r="G74" s="30">
        <f>IF(OR(1365113.41163="",2506.48749="",2837.06946=""),"-",(2837.06946-2506.48749)/1365113.41163*100)</f>
        <v>2.4216447306401604E-2</v>
      </c>
      <c r="H74" s="30">
        <f>IF(OR(1550863.02837="",3719.35628="",2837.06946=""),"-",(3719.35628-2837.06946)/1550863.02837*100)</f>
        <v>5.6890054367167917E-2</v>
      </c>
    </row>
    <row r="75" spans="1:8" x14ac:dyDescent="0.2">
      <c r="A75" s="61" t="s">
        <v>272</v>
      </c>
      <c r="B75" s="62" t="s">
        <v>170</v>
      </c>
      <c r="C75" s="29">
        <v>41869.008459999997</v>
      </c>
      <c r="D75" s="30">
        <f>IF(OR(43495.18409="",41869.00846=""),"-",41869.00846/43495.18409*100)</f>
        <v>96.261251299373441</v>
      </c>
      <c r="E75" s="30">
        <f>IF(43495.18409="","-",43495.18409/1550863.02837*100)</f>
        <v>2.804579340298972</v>
      </c>
      <c r="F75" s="30">
        <f>IF(41869.00846="","-",41869.00846/2037614.19121*100)</f>
        <v>2.0548054995208318</v>
      </c>
      <c r="G75" s="30">
        <f>IF(OR(1365113.41163="",32302.81821="",43495.18409=""),"-",(43495.18409-32302.81821)/1365113.41163*100)</f>
        <v>0.81988542377851736</v>
      </c>
      <c r="H75" s="30">
        <f>IF(OR(1550863.02837="",41869.00846="",43495.18409=""),"-",(41869.00846-43495.18409)/1550863.02837*100)</f>
        <v>-0.10485617364346875</v>
      </c>
    </row>
    <row r="76" spans="1:8" x14ac:dyDescent="0.2">
      <c r="A76" s="61" t="s">
        <v>273</v>
      </c>
      <c r="B76" s="62" t="s">
        <v>171</v>
      </c>
      <c r="C76" s="29">
        <v>14143.09823</v>
      </c>
      <c r="D76" s="30">
        <f>IF(OR(13449.42642="",14143.09823=""),"-",14143.09823/13449.42642*100)</f>
        <v>105.15763117576876</v>
      </c>
      <c r="E76" s="30">
        <f>IF(13449.42642="","-",13449.42642/1550863.02837*100)</f>
        <v>0.86722206758231379</v>
      </c>
      <c r="F76" s="30">
        <f>IF(14143.09823="","-",14143.09823/2037614.19121*100)</f>
        <v>0.69410088970775075</v>
      </c>
      <c r="G76" s="30">
        <f>IF(OR(1365113.41163="",12002.11825="",13449.42642=""),"-",(13449.42642-12002.11825)/1365113.41163*100)</f>
        <v>0.10602109375453694</v>
      </c>
      <c r="H76" s="30">
        <f>IF(OR(1550863.02837="",14143.09823="",13449.42642=""),"-",(14143.09823-13449.42642)/1550863.02837*100)</f>
        <v>4.4728115720771816E-2</v>
      </c>
    </row>
    <row r="77" spans="1:8" ht="24" x14ac:dyDescent="0.2">
      <c r="A77" s="61" t="s">
        <v>274</v>
      </c>
      <c r="B77" s="62" t="s">
        <v>194</v>
      </c>
      <c r="C77" s="29">
        <v>15188.33404</v>
      </c>
      <c r="D77" s="30">
        <f>IF(OR(20663.54412="",15188.33404=""),"-",15188.33404/20663.54412*100)</f>
        <v>73.503044549358748</v>
      </c>
      <c r="E77" s="30">
        <f>IF(20663.54412="","-",20663.54412/1550863.02837*100)</f>
        <v>1.3323900139471347</v>
      </c>
      <c r="F77" s="30">
        <f>IF(15188.33404="","-",15188.33404/2037614.19121*100)</f>
        <v>0.74539793183226133</v>
      </c>
      <c r="G77" s="30">
        <f>IF(OR(1365113.41163="",13864.31493="",20663.54412=""),"-",(20663.54412-13864.31493)/1365113.41163*100)</f>
        <v>0.49807064615103641</v>
      </c>
      <c r="H77" s="30">
        <f>IF(OR(1550863.02837="",15188.33404="",20663.54412=""),"-",(15188.33404-20663.54412)/1550863.02837*100)</f>
        <v>-0.35304278842436504</v>
      </c>
    </row>
    <row r="78" spans="1:8" ht="24" x14ac:dyDescent="0.2">
      <c r="A78" s="61" t="s">
        <v>275</v>
      </c>
      <c r="B78" s="62" t="s">
        <v>172</v>
      </c>
      <c r="C78" s="29">
        <v>3379.3901700000001</v>
      </c>
      <c r="D78" s="30">
        <f>IF(OR(3113.94998="",3379.39017=""),"-",3379.39017/3113.94998*100)</f>
        <v>108.52422780407025</v>
      </c>
      <c r="E78" s="30">
        <f>IF(3113.94998="","-",3113.94998/1550863.02837*100)</f>
        <v>0.20078820134572734</v>
      </c>
      <c r="F78" s="30">
        <f>IF(3379.39017="","-",3379.39017/2037614.19121*100)</f>
        <v>0.16585034520166994</v>
      </c>
      <c r="G78" s="30">
        <f>IF(OR(1365113.41163="",3024.1239="",3113.94998=""),"-",(3113.94998-3024.1239)/1365113.41163*100)</f>
        <v>6.5801184894040332E-3</v>
      </c>
      <c r="H78" s="30">
        <f>IF(OR(1550863.02837="",3379.39017="",3113.94998=""),"-",(3379.39017-3113.94998)/1550863.02837*100)</f>
        <v>1.7115643686405065E-2</v>
      </c>
    </row>
    <row r="79" spans="1:8" x14ac:dyDescent="0.2">
      <c r="A79" s="61" t="s">
        <v>276</v>
      </c>
      <c r="B79" s="62" t="s">
        <v>34</v>
      </c>
      <c r="C79" s="29">
        <v>62065.711730000003</v>
      </c>
      <c r="D79" s="30">
        <f>IF(OR(65076.10941="",62065.71173=""),"-",62065.71173/65076.10941*100)</f>
        <v>95.374035560372022</v>
      </c>
      <c r="E79" s="30">
        <f>IF(65076.10941="","-",65076.10941/1550863.02837*100)</f>
        <v>4.196122302199492</v>
      </c>
      <c r="F79" s="30">
        <f>IF(62065.71173="","-",62065.71173/2037614.19121*100)</f>
        <v>3.0459991885482212</v>
      </c>
      <c r="G79" s="30">
        <f>IF(OR(1365113.41163="",52702.39513="",65076.10941=""),"-",(65076.10941-52702.39513)/1365113.41163*100)</f>
        <v>0.90642390402020079</v>
      </c>
      <c r="H79" s="30">
        <f>IF(OR(1550863.02837="",62065.71173="",65076.10941=""),"-",(62065.71173-65076.10941)/1550863.02837*100)</f>
        <v>-0.19411112554304721</v>
      </c>
    </row>
    <row r="80" spans="1:8" ht="24" x14ac:dyDescent="0.2">
      <c r="A80" s="63" t="s">
        <v>280</v>
      </c>
      <c r="B80" s="64" t="s">
        <v>173</v>
      </c>
      <c r="C80" s="26">
        <v>8317.0888900000009</v>
      </c>
      <c r="D80" s="27" t="s">
        <v>376</v>
      </c>
      <c r="E80" s="27">
        <f>IF(76.52458="","-",76.52458/1550863.02837*100)</f>
        <v>4.9343222837950722E-3</v>
      </c>
      <c r="F80" s="27">
        <f>IF(8317.08889="","-",8317.08889/2037614.19121*100)</f>
        <v>0.40817780548834165</v>
      </c>
      <c r="G80" s="27">
        <f>IF(1365113.41163="","-",(76.52458-79.33292)/1365113.41163*100)</f>
        <v>-2.0572210162719966E-4</v>
      </c>
      <c r="H80" s="27">
        <f>IF(1550863.02837="","-",(8317.08889-76.52458)/1550863.02837*100)</f>
        <v>0.53135345670475254</v>
      </c>
    </row>
    <row r="81" spans="1:11" ht="24" x14ac:dyDescent="0.2">
      <c r="A81" s="61" t="s">
        <v>373</v>
      </c>
      <c r="B81" s="62" t="s">
        <v>374</v>
      </c>
      <c r="C81" s="34">
        <v>312.86025999999998</v>
      </c>
      <c r="D81" s="30" t="str">
        <f>IF(OR(""="",312.86026=""),"-",312.86026/""*100)</f>
        <v>-</v>
      </c>
      <c r="E81" s="30" t="str">
        <f>IF(""="","-",""/1550863.02837*100)</f>
        <v>-</v>
      </c>
      <c r="F81" s="30">
        <f>IF(312.86026="","-",312.86026/2037614.19121*100)</f>
        <v>1.5354244260254864E-2</v>
      </c>
      <c r="G81" s="30" t="str">
        <f>IF(OR(1365113.41163="",""="",""=""),"-",(""-"")/1365113.41163*100)</f>
        <v>-</v>
      </c>
      <c r="H81" s="30" t="str">
        <f>IF(OR(1550863.02837="",312.86026="",""=""),"-",(312.86026-"")/1550863.02837*100)</f>
        <v>-</v>
      </c>
    </row>
    <row r="82" spans="1:11" x14ac:dyDescent="0.2">
      <c r="A82" s="61" t="s">
        <v>329</v>
      </c>
      <c r="B82" s="62" t="s">
        <v>330</v>
      </c>
      <c r="C82" s="34">
        <v>117.4885</v>
      </c>
      <c r="D82" s="30" t="s">
        <v>377</v>
      </c>
      <c r="E82" s="30">
        <f>IF(1.39899="","-",1.39899/1550863.02837*100)</f>
        <v>9.020719266680677E-5</v>
      </c>
      <c r="F82" s="30">
        <f>IF(117.4885="","-",117.4885/2037614.19121*100)</f>
        <v>5.7659835952669526E-3</v>
      </c>
      <c r="G82" s="30" t="str">
        <f>IF(OR(1365113.41163="",""="",1.39899=""),"-",(1.39899-"")/1365113.41163*100)</f>
        <v>-</v>
      </c>
      <c r="H82" s="30">
        <f>IF(OR(1550863.02837="",117.4885="",1.39899=""),"-",(117.4885-1.39899)/1550863.02837*100)</f>
        <v>7.4854779484951218E-3</v>
      </c>
    </row>
    <row r="83" spans="1:11" ht="24" x14ac:dyDescent="0.2">
      <c r="A83" s="67" t="s">
        <v>334</v>
      </c>
      <c r="B83" s="68" t="s">
        <v>370</v>
      </c>
      <c r="C83" s="85">
        <v>7886.7401300000001</v>
      </c>
      <c r="D83" s="41" t="s">
        <v>378</v>
      </c>
      <c r="E83" s="41">
        <f>IF(75.12559="","-",75.12559/1550863.02837*100)</f>
        <v>4.8441150911282659E-3</v>
      </c>
      <c r="F83" s="41">
        <f>IF(7886.74013="","-",7886.74013/2037614.19121*100)</f>
        <v>0.38705757763281984</v>
      </c>
      <c r="G83" s="41">
        <f>IF(OR(1365113.41163="",79.33292="",75.12559=""),"-",(75.12559-79.33292)/1365113.41163*100)</f>
        <v>-3.0820369678855318E-4</v>
      </c>
      <c r="H83" s="41">
        <f>IF(OR(1550863.02837="",7886.74013="",75.12559=""),"-",(7886.74013-75.12559)/1550863.02837*100)</f>
        <v>0.50369467819541891</v>
      </c>
    </row>
    <row r="84" spans="1:11" x14ac:dyDescent="0.2">
      <c r="A84" s="42" t="s">
        <v>283</v>
      </c>
      <c r="B84" s="43"/>
      <c r="I84" s="18"/>
      <c r="J84" s="18"/>
      <c r="K84" s="18"/>
    </row>
    <row r="85" spans="1:11" ht="13.5" x14ac:dyDescent="0.2">
      <c r="A85" s="44" t="s">
        <v>386</v>
      </c>
      <c r="B85" s="44"/>
      <c r="C85" s="44"/>
      <c r="D85" s="44"/>
      <c r="E85" s="44"/>
    </row>
  </sheetData>
  <mergeCells count="12">
    <mergeCell ref="A85:E85"/>
    <mergeCell ref="A5:A7"/>
    <mergeCell ref="B2:H2"/>
    <mergeCell ref="B3:H3"/>
    <mergeCell ref="B5:B7"/>
    <mergeCell ref="C5:D5"/>
    <mergeCell ref="E5:F5"/>
    <mergeCell ref="G5:H5"/>
    <mergeCell ref="C6:C7"/>
    <mergeCell ref="D6:D7"/>
    <mergeCell ref="E6:F6"/>
    <mergeCell ref="G6:H6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E87"/>
  <sheetViews>
    <sheetView zoomScale="99" zoomScaleNormal="99" workbookViewId="0">
      <selection activeCell="B2" sqref="B2:E2"/>
    </sheetView>
  </sheetViews>
  <sheetFormatPr defaultRowHeight="12" x14ac:dyDescent="0.2"/>
  <cols>
    <col min="1" max="1" width="7" style="3" customWidth="1"/>
    <col min="2" max="2" width="38" style="3" customWidth="1"/>
    <col min="3" max="4" width="13.5" style="3" customWidth="1"/>
    <col min="5" max="5" width="14.75" style="3" customWidth="1"/>
    <col min="6" max="16384" width="9" style="3"/>
  </cols>
  <sheetData>
    <row r="2" spans="1:5" x14ac:dyDescent="0.2">
      <c r="B2" s="45" t="s">
        <v>387</v>
      </c>
      <c r="C2" s="45"/>
      <c r="D2" s="45"/>
      <c r="E2" s="45"/>
    </row>
    <row r="3" spans="1:5" x14ac:dyDescent="0.2">
      <c r="B3" s="45" t="s">
        <v>282</v>
      </c>
      <c r="C3" s="45"/>
      <c r="D3" s="45"/>
      <c r="E3" s="45"/>
    </row>
    <row r="4" spans="1:5" x14ac:dyDescent="0.2">
      <c r="B4" s="46"/>
    </row>
    <row r="5" spans="1:5" ht="21" customHeight="1" x14ac:dyDescent="0.2">
      <c r="A5" s="47" t="s">
        <v>281</v>
      </c>
      <c r="B5" s="47"/>
      <c r="C5" s="48" t="s">
        <v>342</v>
      </c>
      <c r="D5" s="49"/>
      <c r="E5" s="50" t="s">
        <v>343</v>
      </c>
    </row>
    <row r="6" spans="1:5" ht="27" customHeight="1" x14ac:dyDescent="0.2">
      <c r="A6" s="51"/>
      <c r="B6" s="51"/>
      <c r="C6" s="52" t="s">
        <v>315</v>
      </c>
      <c r="D6" s="53" t="s">
        <v>316</v>
      </c>
      <c r="E6" s="54"/>
    </row>
    <row r="7" spans="1:5" x14ac:dyDescent="0.2">
      <c r="A7" s="55"/>
      <c r="B7" s="19" t="s">
        <v>290</v>
      </c>
      <c r="C7" s="56">
        <v>-866103.63133999996</v>
      </c>
      <c r="D7" s="57">
        <v>-974849.42989000003</v>
      </c>
      <c r="E7" s="21">
        <f>IF(-866103.63134="","-",-974849.42989/-866103.63134*100)</f>
        <v>112.55574905993097</v>
      </c>
    </row>
    <row r="8" spans="1:5" x14ac:dyDescent="0.2">
      <c r="A8" s="55"/>
      <c r="B8" s="22" t="s">
        <v>121</v>
      </c>
      <c r="C8" s="58"/>
      <c r="D8" s="58"/>
      <c r="E8" s="58"/>
    </row>
    <row r="9" spans="1:5" x14ac:dyDescent="0.2">
      <c r="A9" s="59" t="s">
        <v>208</v>
      </c>
      <c r="B9" s="60" t="s">
        <v>174</v>
      </c>
      <c r="C9" s="27">
        <v>-71320.603459999998</v>
      </c>
      <c r="D9" s="27">
        <v>81562.909740000003</v>
      </c>
      <c r="E9" s="27" t="s">
        <v>21</v>
      </c>
    </row>
    <row r="10" spans="1:5" x14ac:dyDescent="0.2">
      <c r="A10" s="61" t="s">
        <v>209</v>
      </c>
      <c r="B10" s="62" t="s">
        <v>22</v>
      </c>
      <c r="C10" s="30">
        <v>2335.7317400000002</v>
      </c>
      <c r="D10" s="30">
        <v>476.98750000000001</v>
      </c>
      <c r="E10" s="30">
        <f>IF(OR(2335.73174="",476.9875="",2335.73174=0,476.9875=0),"-",476.9875/2335.73174*100)</f>
        <v>20.421330576258725</v>
      </c>
    </row>
    <row r="11" spans="1:5" x14ac:dyDescent="0.2">
      <c r="A11" s="61" t="s">
        <v>210</v>
      </c>
      <c r="B11" s="62" t="s">
        <v>175</v>
      </c>
      <c r="C11" s="30">
        <v>-9634.4025299999994</v>
      </c>
      <c r="D11" s="30">
        <v>-26770.019400000001</v>
      </c>
      <c r="E11" s="30" t="s">
        <v>307</v>
      </c>
    </row>
    <row r="12" spans="1:5" x14ac:dyDescent="0.2">
      <c r="A12" s="61" t="s">
        <v>211</v>
      </c>
      <c r="B12" s="62" t="s">
        <v>176</v>
      </c>
      <c r="C12" s="30">
        <v>-20225.750520000001</v>
      </c>
      <c r="D12" s="30">
        <v>-27261.24179</v>
      </c>
      <c r="E12" s="30">
        <f>IF(OR(-20225.75052="",-27261.24179="",-20225.75052=0,-27261.24179=0),"-",-27261.24179/-20225.75052*100)</f>
        <v>134.78482176986725</v>
      </c>
    </row>
    <row r="13" spans="1:5" x14ac:dyDescent="0.2">
      <c r="A13" s="61" t="s">
        <v>212</v>
      </c>
      <c r="B13" s="62" t="s">
        <v>177</v>
      </c>
      <c r="C13" s="30">
        <v>-16344.435100000001</v>
      </c>
      <c r="D13" s="30">
        <v>-18916.81494</v>
      </c>
      <c r="E13" s="30">
        <f>IF(OR(-16344.4351="",-18916.81494="",-16344.4351=0,-18916.81494=0),"-",-18916.81494/-16344.4351*100)</f>
        <v>115.73856682266124</v>
      </c>
    </row>
    <row r="14" spans="1:5" x14ac:dyDescent="0.2">
      <c r="A14" s="61" t="s">
        <v>213</v>
      </c>
      <c r="B14" s="62" t="s">
        <v>178</v>
      </c>
      <c r="C14" s="30">
        <v>-4983.7719399999996</v>
      </c>
      <c r="D14" s="30">
        <v>139021.98548999999</v>
      </c>
      <c r="E14" s="30" t="s">
        <v>21</v>
      </c>
    </row>
    <row r="15" spans="1:5" x14ac:dyDescent="0.2">
      <c r="A15" s="61" t="s">
        <v>214</v>
      </c>
      <c r="B15" s="62" t="s">
        <v>179</v>
      </c>
      <c r="C15" s="30">
        <v>20982.859120000001</v>
      </c>
      <c r="D15" s="30">
        <v>39083.779880000002</v>
      </c>
      <c r="E15" s="30" t="s">
        <v>102</v>
      </c>
    </row>
    <row r="16" spans="1:5" x14ac:dyDescent="0.2">
      <c r="A16" s="61" t="s">
        <v>215</v>
      </c>
      <c r="B16" s="62" t="s">
        <v>137</v>
      </c>
      <c r="C16" s="30">
        <v>-4048.44499</v>
      </c>
      <c r="D16" s="30">
        <v>4907.9694499999996</v>
      </c>
      <c r="E16" s="30" t="s">
        <v>21</v>
      </c>
    </row>
    <row r="17" spans="1:5" ht="15.75" customHeight="1" x14ac:dyDescent="0.2">
      <c r="A17" s="61" t="s">
        <v>216</v>
      </c>
      <c r="B17" s="62" t="s">
        <v>180</v>
      </c>
      <c r="C17" s="30">
        <v>-11982.97063</v>
      </c>
      <c r="D17" s="30">
        <v>-11060.786620000001</v>
      </c>
      <c r="E17" s="30">
        <f>IF(OR(-11982.97063="",-11060.78662="",-11982.97063=0,-11060.78662=0),"-",-11060.78662/-11982.97063*100)</f>
        <v>92.304212048294076</v>
      </c>
    </row>
    <row r="18" spans="1:5" ht="24" x14ac:dyDescent="0.2">
      <c r="A18" s="61" t="s">
        <v>217</v>
      </c>
      <c r="B18" s="62" t="s">
        <v>138</v>
      </c>
      <c r="C18" s="30">
        <v>-5451.3649400000004</v>
      </c>
      <c r="D18" s="30">
        <v>5326.0659400000004</v>
      </c>
      <c r="E18" s="30" t="s">
        <v>21</v>
      </c>
    </row>
    <row r="19" spans="1:5" x14ac:dyDescent="0.2">
      <c r="A19" s="61" t="s">
        <v>218</v>
      </c>
      <c r="B19" s="62" t="s">
        <v>181</v>
      </c>
      <c r="C19" s="30">
        <v>-21968.053670000001</v>
      </c>
      <c r="D19" s="30">
        <v>-23245.015770000002</v>
      </c>
      <c r="E19" s="30">
        <f>IF(OR(-21968.05367="",-23245.01577="",-21968.05367=0,-23245.01577=0),"-",-23245.01577/-21968.05367*100)</f>
        <v>105.81281400338094</v>
      </c>
    </row>
    <row r="20" spans="1:5" x14ac:dyDescent="0.2">
      <c r="A20" s="59" t="s">
        <v>219</v>
      </c>
      <c r="B20" s="60" t="s">
        <v>182</v>
      </c>
      <c r="C20" s="27">
        <v>24737.632079999999</v>
      </c>
      <c r="D20" s="27">
        <v>15196.625340000001</v>
      </c>
      <c r="E20" s="27">
        <f>IF(24737.63208="","-",15196.62534/24737.63208*100)</f>
        <v>61.431204453421564</v>
      </c>
    </row>
    <row r="21" spans="1:5" x14ac:dyDescent="0.2">
      <c r="A21" s="61" t="s">
        <v>220</v>
      </c>
      <c r="B21" s="62" t="s">
        <v>183</v>
      </c>
      <c r="C21" s="30">
        <v>30333.044709999998</v>
      </c>
      <c r="D21" s="30">
        <v>20455.663250000001</v>
      </c>
      <c r="E21" s="30">
        <f>IF(OR(30333.04471="",20455.66325="",30333.04471=0,20455.66325=0),"-",20455.66325/30333.04471*100)</f>
        <v>67.436894138280536</v>
      </c>
    </row>
    <row r="22" spans="1:5" x14ac:dyDescent="0.2">
      <c r="A22" s="61" t="s">
        <v>221</v>
      </c>
      <c r="B22" s="62" t="s">
        <v>184</v>
      </c>
      <c r="C22" s="30">
        <v>-5595.4126299999998</v>
      </c>
      <c r="D22" s="30">
        <v>-5259.03791</v>
      </c>
      <c r="E22" s="30">
        <f>IF(OR(-5595.41263="",-5259.03791="",-5595.41263=0,-5259.03791=0),"-",-5259.03791/-5595.41263*100)</f>
        <v>93.988384016640438</v>
      </c>
    </row>
    <row r="23" spans="1:5" ht="16.5" customHeight="1" x14ac:dyDescent="0.2">
      <c r="A23" s="59" t="s">
        <v>222</v>
      </c>
      <c r="B23" s="60" t="s">
        <v>23</v>
      </c>
      <c r="C23" s="27">
        <v>22383.95364</v>
      </c>
      <c r="D23" s="27">
        <v>107024.838</v>
      </c>
      <c r="E23" s="27" t="s">
        <v>309</v>
      </c>
    </row>
    <row r="24" spans="1:5" x14ac:dyDescent="0.2">
      <c r="A24" s="61" t="s">
        <v>223</v>
      </c>
      <c r="B24" s="62" t="s">
        <v>191</v>
      </c>
      <c r="C24" s="30">
        <v>445.97507000000002</v>
      </c>
      <c r="D24" s="30">
        <v>386.95204999999999</v>
      </c>
      <c r="E24" s="30">
        <f>IF(OR(445.97507="",386.95205="",445.97507=0,386.95205=0),"-",386.95205/445.97507*100)</f>
        <v>86.765399240814062</v>
      </c>
    </row>
    <row r="25" spans="1:5" x14ac:dyDescent="0.2">
      <c r="A25" s="61" t="s">
        <v>224</v>
      </c>
      <c r="B25" s="62" t="s">
        <v>185</v>
      </c>
      <c r="C25" s="30">
        <v>33444.402430000002</v>
      </c>
      <c r="D25" s="30">
        <v>118262.62006</v>
      </c>
      <c r="E25" s="30" t="s">
        <v>379</v>
      </c>
    </row>
    <row r="26" spans="1:5" ht="17.25" customHeight="1" x14ac:dyDescent="0.2">
      <c r="A26" s="61" t="s">
        <v>278</v>
      </c>
      <c r="B26" s="62" t="s">
        <v>186</v>
      </c>
      <c r="C26" s="30">
        <v>-550.55476999999996</v>
      </c>
      <c r="D26" s="30">
        <v>-736.16800999999998</v>
      </c>
      <c r="E26" s="30">
        <f>IF(OR(-550.55477="",-736.16801="",-550.55477=0,-736.16801=0),"-",-736.16801/-550.55477*100)</f>
        <v>133.71385557153562</v>
      </c>
    </row>
    <row r="27" spans="1:5" x14ac:dyDescent="0.2">
      <c r="A27" s="61" t="s">
        <v>225</v>
      </c>
      <c r="B27" s="62" t="s">
        <v>187</v>
      </c>
      <c r="C27" s="30">
        <v>-6593.6036000000004</v>
      </c>
      <c r="D27" s="30">
        <v>-11874.49813</v>
      </c>
      <c r="E27" s="30" t="s">
        <v>196</v>
      </c>
    </row>
    <row r="28" spans="1:5" x14ac:dyDescent="0.2">
      <c r="A28" s="61" t="s">
        <v>226</v>
      </c>
      <c r="B28" s="62" t="s">
        <v>139</v>
      </c>
      <c r="C28" s="30">
        <v>762.75450000000001</v>
      </c>
      <c r="D28" s="30">
        <v>800.26802999999995</v>
      </c>
      <c r="E28" s="30">
        <f>IF(OR(762.7545="",800.26803="",762.7545=0,800.26803=0),"-",800.26803/762.7545*100)</f>
        <v>104.91816567453878</v>
      </c>
    </row>
    <row r="29" spans="1:5" ht="36" x14ac:dyDescent="0.2">
      <c r="A29" s="61" t="s">
        <v>227</v>
      </c>
      <c r="B29" s="62" t="s">
        <v>140</v>
      </c>
      <c r="C29" s="30">
        <v>-2267.6074400000002</v>
      </c>
      <c r="D29" s="30">
        <v>-1864.6979699999999</v>
      </c>
      <c r="E29" s="30">
        <f>IF(OR(-2267.60744="",-1864.69797="",-2267.60744=0,-1864.69797=0),"-",-1864.69797/-2267.60744*100)</f>
        <v>82.231956779961862</v>
      </c>
    </row>
    <row r="30" spans="1:5" ht="24" x14ac:dyDescent="0.2">
      <c r="A30" s="61" t="s">
        <v>228</v>
      </c>
      <c r="B30" s="62" t="s">
        <v>141</v>
      </c>
      <c r="C30" s="30">
        <v>-2524.46146</v>
      </c>
      <c r="D30" s="30">
        <v>-2726.1311799999999</v>
      </c>
      <c r="E30" s="30">
        <f>IF(OR(-2524.46146="",-2726.13118="",-2524.46146=0,-2726.13118=0),"-",-2726.13118/-2524.46146*100)</f>
        <v>107.98862344287879</v>
      </c>
    </row>
    <row r="31" spans="1:5" x14ac:dyDescent="0.2">
      <c r="A31" s="61" t="s">
        <v>229</v>
      </c>
      <c r="B31" s="62" t="s">
        <v>142</v>
      </c>
      <c r="C31" s="30">
        <v>16655.295999999998</v>
      </c>
      <c r="D31" s="30">
        <v>19388.528320000001</v>
      </c>
      <c r="E31" s="30">
        <f>IF(OR(16655.296="",19388.52832="",16655.296=0,19388.52832=0),"-",19388.52832/16655.296*100)</f>
        <v>116.41058988084032</v>
      </c>
    </row>
    <row r="32" spans="1:5" x14ac:dyDescent="0.2">
      <c r="A32" s="61" t="s">
        <v>230</v>
      </c>
      <c r="B32" s="62" t="s">
        <v>143</v>
      </c>
      <c r="C32" s="30">
        <v>-16988.247090000001</v>
      </c>
      <c r="D32" s="30">
        <v>-14612.035169999999</v>
      </c>
      <c r="E32" s="30">
        <f>IF(OR(-16988.24709="",-14612.03517="",-16988.24709=0,-14612.03517=0),"-",-14612.03517/-16988.24709*100)</f>
        <v>86.012612676214601</v>
      </c>
    </row>
    <row r="33" spans="1:5" ht="15.75" customHeight="1" x14ac:dyDescent="0.2">
      <c r="A33" s="59" t="s">
        <v>231</v>
      </c>
      <c r="B33" s="60" t="s">
        <v>144</v>
      </c>
      <c r="C33" s="27">
        <v>-182515.62633</v>
      </c>
      <c r="D33" s="27">
        <v>-529852.99091000005</v>
      </c>
      <c r="E33" s="27" t="s">
        <v>324</v>
      </c>
    </row>
    <row r="34" spans="1:5" x14ac:dyDescent="0.2">
      <c r="A34" s="61" t="s">
        <v>232</v>
      </c>
      <c r="B34" s="62" t="s">
        <v>188</v>
      </c>
      <c r="C34" s="30">
        <v>-1370.45623</v>
      </c>
      <c r="D34" s="30">
        <v>-4044.12997</v>
      </c>
      <c r="E34" s="30" t="s">
        <v>292</v>
      </c>
    </row>
    <row r="35" spans="1:5" x14ac:dyDescent="0.2">
      <c r="A35" s="61" t="s">
        <v>233</v>
      </c>
      <c r="B35" s="62" t="s">
        <v>145</v>
      </c>
      <c r="C35" s="30">
        <v>-103448.69561</v>
      </c>
      <c r="D35" s="30">
        <v>-207238.9105</v>
      </c>
      <c r="E35" s="30" t="s">
        <v>19</v>
      </c>
    </row>
    <row r="36" spans="1:5" x14ac:dyDescent="0.2">
      <c r="A36" s="61" t="s">
        <v>279</v>
      </c>
      <c r="B36" s="62" t="s">
        <v>189</v>
      </c>
      <c r="C36" s="30">
        <v>-77697.086930000005</v>
      </c>
      <c r="D36" s="30">
        <v>-318570.39402000001</v>
      </c>
      <c r="E36" s="30" t="s">
        <v>311</v>
      </c>
    </row>
    <row r="37" spans="1:5" x14ac:dyDescent="0.2">
      <c r="A37" s="61" t="s">
        <v>287</v>
      </c>
      <c r="B37" s="62" t="s">
        <v>289</v>
      </c>
      <c r="C37" s="30">
        <v>0.61243999999999998</v>
      </c>
      <c r="D37" s="30">
        <v>0.44357999999999997</v>
      </c>
      <c r="E37" s="30">
        <f>IF(OR(0.61244="",0.44358="",0.61244=0,0.44358=0),"-",0.44358/0.61244*100)</f>
        <v>72.428319508849853</v>
      </c>
    </row>
    <row r="38" spans="1:5" ht="24" x14ac:dyDescent="0.2">
      <c r="A38" s="59" t="s">
        <v>234</v>
      </c>
      <c r="B38" s="60" t="s">
        <v>146</v>
      </c>
      <c r="C38" s="27">
        <v>21150.459989999999</v>
      </c>
      <c r="D38" s="27">
        <v>96611.92985</v>
      </c>
      <c r="E38" s="27" t="s">
        <v>380</v>
      </c>
    </row>
    <row r="39" spans="1:5" x14ac:dyDescent="0.2">
      <c r="A39" s="61" t="s">
        <v>235</v>
      </c>
      <c r="B39" s="62" t="s">
        <v>192</v>
      </c>
      <c r="C39" s="30">
        <v>-384.83746000000002</v>
      </c>
      <c r="D39" s="30">
        <v>-513.45150999999998</v>
      </c>
      <c r="E39" s="30">
        <f>IF(OR(-384.83746="",-513.45151="",-384.83746=0,-513.45151=0),"-",-513.45151/-384.83746*100)</f>
        <v>133.42035622</v>
      </c>
    </row>
    <row r="40" spans="1:5" ht="14.25" customHeight="1" x14ac:dyDescent="0.2">
      <c r="A40" s="61" t="s">
        <v>236</v>
      </c>
      <c r="B40" s="62" t="s">
        <v>147</v>
      </c>
      <c r="C40" s="30">
        <v>22031.735059999999</v>
      </c>
      <c r="D40" s="30">
        <v>97439.668059999996</v>
      </c>
      <c r="E40" s="30" t="s">
        <v>331</v>
      </c>
    </row>
    <row r="41" spans="1:5" ht="40.5" customHeight="1" x14ac:dyDescent="0.2">
      <c r="A41" s="61" t="s">
        <v>237</v>
      </c>
      <c r="B41" s="62" t="s">
        <v>190</v>
      </c>
      <c r="C41" s="30">
        <v>-496.43761000000001</v>
      </c>
      <c r="D41" s="30">
        <v>-314.2867</v>
      </c>
      <c r="E41" s="30">
        <f>IF(OR(-496.43761="",-314.2867="",-496.43761=0,-314.2867=0),"-",-314.2867/-496.43761*100)</f>
        <v>63.308398410829504</v>
      </c>
    </row>
    <row r="42" spans="1:5" ht="15" customHeight="1" x14ac:dyDescent="0.2">
      <c r="A42" s="59" t="s">
        <v>238</v>
      </c>
      <c r="B42" s="60" t="s">
        <v>148</v>
      </c>
      <c r="C42" s="27">
        <v>-204876.26744</v>
      </c>
      <c r="D42" s="27">
        <v>-242826.37132000001</v>
      </c>
      <c r="E42" s="27">
        <f>IF(-204876.26744="","-",-242826.37132/-204876.26744*100)</f>
        <v>118.52342604353336</v>
      </c>
    </row>
    <row r="43" spans="1:5" x14ac:dyDescent="0.2">
      <c r="A43" s="61" t="s">
        <v>239</v>
      </c>
      <c r="B43" s="62" t="s">
        <v>24</v>
      </c>
      <c r="C43" s="30">
        <v>5220.1640100000004</v>
      </c>
      <c r="D43" s="30">
        <v>10075.25935</v>
      </c>
      <c r="E43" s="30" t="s">
        <v>102</v>
      </c>
    </row>
    <row r="44" spans="1:5" x14ac:dyDescent="0.2">
      <c r="A44" s="61" t="s">
        <v>240</v>
      </c>
      <c r="B44" s="62" t="s">
        <v>25</v>
      </c>
      <c r="C44" s="30">
        <v>-3465.15852</v>
      </c>
      <c r="D44" s="30">
        <v>-5165.43595</v>
      </c>
      <c r="E44" s="30">
        <f>IF(OR(-3465.15852="",-5165.43595="",-3465.15852=0,-5165.43595=0),"-",-5165.43595/-3465.15852*100)</f>
        <v>149.06781090061071</v>
      </c>
    </row>
    <row r="45" spans="1:5" x14ac:dyDescent="0.2">
      <c r="A45" s="61" t="s">
        <v>241</v>
      </c>
      <c r="B45" s="62" t="s">
        <v>149</v>
      </c>
      <c r="C45" s="30">
        <v>-8137.7736500000001</v>
      </c>
      <c r="D45" s="30">
        <v>-8582.8667999999998</v>
      </c>
      <c r="E45" s="30">
        <f>IF(OR(-8137.77365="",-8582.8668="",-8137.77365=0,-8582.8668=0),"-",-8582.8668/-8137.77365*100)</f>
        <v>105.46947075629217</v>
      </c>
    </row>
    <row r="46" spans="1:5" x14ac:dyDescent="0.2">
      <c r="A46" s="61" t="s">
        <v>242</v>
      </c>
      <c r="B46" s="62" t="s">
        <v>150</v>
      </c>
      <c r="C46" s="30">
        <v>-49498.962879999999</v>
      </c>
      <c r="D46" s="30">
        <v>-58328.540910000003</v>
      </c>
      <c r="E46" s="30">
        <f>IF(OR(-49498.96288="",-58328.54091="",-49498.96288=0,-58328.54091=0),"-",-58328.54091/-49498.96288*100)</f>
        <v>117.83790511208385</v>
      </c>
    </row>
    <row r="47" spans="1:5" ht="28.5" customHeight="1" x14ac:dyDescent="0.2">
      <c r="A47" s="61" t="s">
        <v>243</v>
      </c>
      <c r="B47" s="62" t="s">
        <v>151</v>
      </c>
      <c r="C47" s="30">
        <v>-29442.34275</v>
      </c>
      <c r="D47" s="30">
        <v>-30078.174569999999</v>
      </c>
      <c r="E47" s="30">
        <f>IF(OR(-29442.34275="",-30078.17457="",-29442.34275=0,-30078.17457=0),"-",-30078.17457/-29442.34275*100)</f>
        <v>102.1595829700067</v>
      </c>
    </row>
    <row r="48" spans="1:5" x14ac:dyDescent="0.2">
      <c r="A48" s="61" t="s">
        <v>244</v>
      </c>
      <c r="B48" s="62" t="s">
        <v>152</v>
      </c>
      <c r="C48" s="30">
        <v>-23576.380120000002</v>
      </c>
      <c r="D48" s="30">
        <v>-49039.69154</v>
      </c>
      <c r="E48" s="30" t="s">
        <v>92</v>
      </c>
    </row>
    <row r="49" spans="1:5" x14ac:dyDescent="0.2">
      <c r="A49" s="61" t="s">
        <v>245</v>
      </c>
      <c r="B49" s="62" t="s">
        <v>26</v>
      </c>
      <c r="C49" s="30">
        <v>-11738.790370000001</v>
      </c>
      <c r="D49" s="30">
        <v>-15220.526309999999</v>
      </c>
      <c r="E49" s="30">
        <f>IF(OR(-11738.79037="",-15220.52631="",-11738.79037=0,-15220.52631=0),"-",-15220.52631/-11738.79037*100)</f>
        <v>129.66009128928673</v>
      </c>
    </row>
    <row r="50" spans="1:5" x14ac:dyDescent="0.2">
      <c r="A50" s="61" t="s">
        <v>246</v>
      </c>
      <c r="B50" s="62" t="s">
        <v>27</v>
      </c>
      <c r="C50" s="30">
        <v>-31335.24928</v>
      </c>
      <c r="D50" s="30">
        <v>-31029.764050000002</v>
      </c>
      <c r="E50" s="30">
        <f>IF(OR(-31335.24928="",-31029.76405="",-31335.24928=0,-31029.76405=0),"-",-31029.76405/-31335.24928*100)</f>
        <v>99.025106750323573</v>
      </c>
    </row>
    <row r="51" spans="1:5" x14ac:dyDescent="0.2">
      <c r="A51" s="61" t="s">
        <v>247</v>
      </c>
      <c r="B51" s="62" t="s">
        <v>153</v>
      </c>
      <c r="C51" s="30">
        <v>-52901.773880000001</v>
      </c>
      <c r="D51" s="30">
        <v>-55456.630539999998</v>
      </c>
      <c r="E51" s="30">
        <f>IF(OR(-52901.77388="",-55456.63054="",-52901.77388=0,-55456.63054=0),"-",-55456.63054/-52901.77388*100)</f>
        <v>104.82943476677231</v>
      </c>
    </row>
    <row r="52" spans="1:5" ht="24" x14ac:dyDescent="0.2">
      <c r="A52" s="59" t="s">
        <v>248</v>
      </c>
      <c r="B52" s="60" t="s">
        <v>312</v>
      </c>
      <c r="C52" s="27">
        <v>-216155.38592999999</v>
      </c>
      <c r="D52" s="27">
        <v>-213395.48387</v>
      </c>
      <c r="E52" s="27">
        <f>IF(-216155.38593="","-",-213395.48387/-216155.38593*100)</f>
        <v>98.723186078327117</v>
      </c>
    </row>
    <row r="53" spans="1:5" x14ac:dyDescent="0.2">
      <c r="A53" s="61" t="s">
        <v>249</v>
      </c>
      <c r="B53" s="62" t="s">
        <v>154</v>
      </c>
      <c r="C53" s="30">
        <v>-15103.3632</v>
      </c>
      <c r="D53" s="30">
        <v>-12738.83166</v>
      </c>
      <c r="E53" s="30">
        <f>IF(OR(-15103.3632="",-12738.83166="",-15103.3632=0,-12738.83166=0),"-",-12738.83166/-15103.3632*100)</f>
        <v>84.344337690296683</v>
      </c>
    </row>
    <row r="54" spans="1:5" x14ac:dyDescent="0.2">
      <c r="A54" s="61" t="s">
        <v>250</v>
      </c>
      <c r="B54" s="62" t="s">
        <v>28</v>
      </c>
      <c r="C54" s="30">
        <v>-14738.3632</v>
      </c>
      <c r="D54" s="30">
        <v>-19654.08165</v>
      </c>
      <c r="E54" s="30">
        <f>IF(OR(-14738.3632="",-19654.08165="",-14738.3632=0,-19654.08165=0),"-",-19654.08165/-14738.3632*100)</f>
        <v>133.35321828681762</v>
      </c>
    </row>
    <row r="55" spans="1:5" x14ac:dyDescent="0.2">
      <c r="A55" s="61" t="s">
        <v>251</v>
      </c>
      <c r="B55" s="62" t="s">
        <v>155</v>
      </c>
      <c r="C55" s="30">
        <v>-15864.43446</v>
      </c>
      <c r="D55" s="30">
        <v>-16095.167219999999</v>
      </c>
      <c r="E55" s="30">
        <f>IF(OR(-15864.43446="",-16095.16722="",-15864.43446=0,-16095.16722=0),"-",-16095.16722/-15864.43446*100)</f>
        <v>101.45440268029573</v>
      </c>
    </row>
    <row r="56" spans="1:5" ht="24" x14ac:dyDescent="0.2">
      <c r="A56" s="61" t="s">
        <v>252</v>
      </c>
      <c r="B56" s="62" t="s">
        <v>156</v>
      </c>
      <c r="C56" s="30">
        <v>-22025.556840000001</v>
      </c>
      <c r="D56" s="30">
        <v>-24639.525259999999</v>
      </c>
      <c r="E56" s="30">
        <f>IF(OR(-22025.55684="",-24639.52526="",-22025.55684=0,-24639.52526=0),"-",-24639.52526/-22025.55684*100)</f>
        <v>111.86788801295067</v>
      </c>
    </row>
    <row r="57" spans="1:5" ht="24" x14ac:dyDescent="0.2">
      <c r="A57" s="61" t="s">
        <v>253</v>
      </c>
      <c r="B57" s="62" t="s">
        <v>157</v>
      </c>
      <c r="C57" s="30">
        <v>-49790.336609999998</v>
      </c>
      <c r="D57" s="30">
        <v>-54859.864869999998</v>
      </c>
      <c r="E57" s="30">
        <f>IF(OR(-49790.33661="",-54859.86487="",-49790.33661=0,-54859.86487=0),"-",-54859.86487/-49790.33661*100)</f>
        <v>110.1817513299997</v>
      </c>
    </row>
    <row r="58" spans="1:5" x14ac:dyDescent="0.2">
      <c r="A58" s="61" t="s">
        <v>254</v>
      </c>
      <c r="B58" s="62" t="s">
        <v>29</v>
      </c>
      <c r="C58" s="30">
        <v>-19344.178070000002</v>
      </c>
      <c r="D58" s="30">
        <v>-10217.861709999999</v>
      </c>
      <c r="E58" s="30">
        <f>IF(OR(-19344.17807="",-10217.86171="",-19344.17807=0,-10217.86171=0),"-",-10217.86171/-19344.17807*100)</f>
        <v>52.821379502530597</v>
      </c>
    </row>
    <row r="59" spans="1:5" x14ac:dyDescent="0.2">
      <c r="A59" s="61" t="s">
        <v>255</v>
      </c>
      <c r="B59" s="62" t="s">
        <v>158</v>
      </c>
      <c r="C59" s="30">
        <v>-28011.505450000001</v>
      </c>
      <c r="D59" s="30">
        <v>-36259.487719999997</v>
      </c>
      <c r="E59" s="30">
        <f>IF(OR(-28011.50545="",-36259.48772="",-28011.50545=0,-36259.48772=0),"-",-36259.48772/-28011.50545*100)</f>
        <v>129.44498033039491</v>
      </c>
    </row>
    <row r="60" spans="1:5" x14ac:dyDescent="0.2">
      <c r="A60" s="61" t="s">
        <v>256</v>
      </c>
      <c r="B60" s="62" t="s">
        <v>30</v>
      </c>
      <c r="C60" s="30">
        <v>-15902.559569999999</v>
      </c>
      <c r="D60" s="30">
        <v>-7084.46216</v>
      </c>
      <c r="E60" s="30">
        <f>IF(OR(-15902.55957="",-7084.46216="",-15902.55957=0,-7084.46216=0),"-",-7084.46216/-15902.55957*100)</f>
        <v>44.549194290488678</v>
      </c>
    </row>
    <row r="61" spans="1:5" x14ac:dyDescent="0.2">
      <c r="A61" s="61" t="s">
        <v>257</v>
      </c>
      <c r="B61" s="62" t="s">
        <v>31</v>
      </c>
      <c r="C61" s="30">
        <v>-35375.088530000001</v>
      </c>
      <c r="D61" s="30">
        <v>-31846.20162</v>
      </c>
      <c r="E61" s="30">
        <f>IF(OR(-35375.08853="",-31846.20162="",-35375.08853=0,-31846.20162=0),"-",-31846.20162/-35375.08853*100)</f>
        <v>90.024372922749535</v>
      </c>
    </row>
    <row r="62" spans="1:5" x14ac:dyDescent="0.2">
      <c r="A62" s="59" t="s">
        <v>258</v>
      </c>
      <c r="B62" s="60" t="s">
        <v>159</v>
      </c>
      <c r="C62" s="27">
        <v>-222110.13592999999</v>
      </c>
      <c r="D62" s="27">
        <v>-258235.53997000001</v>
      </c>
      <c r="E62" s="27">
        <f>IF(-222110.13593="","-",-258235.53997/-222110.13593*100)</f>
        <v>116.26463551009904</v>
      </c>
    </row>
    <row r="63" spans="1:5" ht="16.5" customHeight="1" x14ac:dyDescent="0.2">
      <c r="A63" s="61" t="s">
        <v>259</v>
      </c>
      <c r="B63" s="62" t="s">
        <v>160</v>
      </c>
      <c r="C63" s="30">
        <v>-6717.7363500000001</v>
      </c>
      <c r="D63" s="30">
        <v>-5884.1478500000003</v>
      </c>
      <c r="E63" s="30">
        <f>IF(OR(-6717.73635="",-5884.14785="",-6717.73635=0,-5884.14785=0),"-",-5884.14785/-6717.73635*100)</f>
        <v>87.591229298541919</v>
      </c>
    </row>
    <row r="64" spans="1:5" ht="24" x14ac:dyDescent="0.2">
      <c r="A64" s="61" t="s">
        <v>260</v>
      </c>
      <c r="B64" s="62" t="s">
        <v>161</v>
      </c>
      <c r="C64" s="30">
        <v>-37261.116679999999</v>
      </c>
      <c r="D64" s="30">
        <v>-63912.039409999998</v>
      </c>
      <c r="E64" s="30" t="s">
        <v>100</v>
      </c>
    </row>
    <row r="65" spans="1:5" x14ac:dyDescent="0.2">
      <c r="A65" s="61" t="s">
        <v>261</v>
      </c>
      <c r="B65" s="62" t="s">
        <v>162</v>
      </c>
      <c r="C65" s="30">
        <v>-2020.5443600000001</v>
      </c>
      <c r="D65" s="30">
        <v>-2177.9155300000002</v>
      </c>
      <c r="E65" s="30">
        <f>IF(OR(-2020.54436="",-2177.91553="",-2020.54436=0,-2177.91553=0),"-",-2177.91553/-2020.54436*100)</f>
        <v>107.78855308081432</v>
      </c>
    </row>
    <row r="66" spans="1:5" ht="24" x14ac:dyDescent="0.2">
      <c r="A66" s="61" t="s">
        <v>262</v>
      </c>
      <c r="B66" s="62" t="s">
        <v>163</v>
      </c>
      <c r="C66" s="30">
        <v>-49071.756130000002</v>
      </c>
      <c r="D66" s="30">
        <v>-45232.150280000002</v>
      </c>
      <c r="E66" s="30">
        <f>IF(OR(-49071.75613="",-45232.15028="",-49071.75613=0,-45232.15028=0),"-",-45232.15028/-49071.75613*100)</f>
        <v>92.175527935400993</v>
      </c>
    </row>
    <row r="67" spans="1:5" ht="27.75" customHeight="1" x14ac:dyDescent="0.2">
      <c r="A67" s="61" t="s">
        <v>263</v>
      </c>
      <c r="B67" s="62" t="s">
        <v>164</v>
      </c>
      <c r="C67" s="30">
        <v>-17704.188429999998</v>
      </c>
      <c r="D67" s="30">
        <v>-20460.468010000001</v>
      </c>
      <c r="E67" s="30">
        <f>IF(OR(-17704.18843="",-20460.46801="",-17704.18843=0,-20460.46801=0),"-",-20460.46801/-17704.18843*100)</f>
        <v>115.56851696929212</v>
      </c>
    </row>
    <row r="68" spans="1:5" ht="29.25" customHeight="1" x14ac:dyDescent="0.2">
      <c r="A68" s="61" t="s">
        <v>264</v>
      </c>
      <c r="B68" s="62" t="s">
        <v>165</v>
      </c>
      <c r="C68" s="30">
        <v>-41834.29421</v>
      </c>
      <c r="D68" s="30">
        <v>-39404.461009999999</v>
      </c>
      <c r="E68" s="30">
        <f>IF(OR(-41834.29421="",-39404.46101="",-41834.29421=0,-39404.46101=0),"-",-39404.46101/-41834.29421*100)</f>
        <v>94.191767195108611</v>
      </c>
    </row>
    <row r="69" spans="1:5" ht="15" customHeight="1" x14ac:dyDescent="0.2">
      <c r="A69" s="61" t="s">
        <v>265</v>
      </c>
      <c r="B69" s="62" t="s">
        <v>166</v>
      </c>
      <c r="C69" s="30">
        <v>20096.401669999999</v>
      </c>
      <c r="D69" s="30">
        <v>6627.6731900000004</v>
      </c>
      <c r="E69" s="30">
        <f>IF(OR(20096.40167="",6627.67319="",20096.40167=0,6627.67319=0),"-",6627.67319/20096.40167*100)</f>
        <v>32.979402476284207</v>
      </c>
    </row>
    <row r="70" spans="1:5" x14ac:dyDescent="0.2">
      <c r="A70" s="61" t="s">
        <v>266</v>
      </c>
      <c r="B70" s="62" t="s">
        <v>167</v>
      </c>
      <c r="C70" s="30">
        <v>-87489.189190000005</v>
      </c>
      <c r="D70" s="30">
        <v>-85372.254860000001</v>
      </c>
      <c r="E70" s="30">
        <f>IF(OR(-87489.18919="",-85372.25486="",-87489.18919=0,-85372.25486=0),"-",-85372.25486/-87489.18919*100)</f>
        <v>97.5803475268211</v>
      </c>
    </row>
    <row r="71" spans="1:5" x14ac:dyDescent="0.2">
      <c r="A71" s="61" t="s">
        <v>267</v>
      </c>
      <c r="B71" s="62" t="s">
        <v>32</v>
      </c>
      <c r="C71" s="30">
        <v>-107.71225</v>
      </c>
      <c r="D71" s="30">
        <v>-2419.77621</v>
      </c>
      <c r="E71" s="30" t="s">
        <v>381</v>
      </c>
    </row>
    <row r="72" spans="1:5" x14ac:dyDescent="0.2">
      <c r="A72" s="59" t="s">
        <v>268</v>
      </c>
      <c r="B72" s="60" t="s">
        <v>33</v>
      </c>
      <c r="C72" s="27">
        <v>-37321.133379999999</v>
      </c>
      <c r="D72" s="27">
        <v>-23025.513940000001</v>
      </c>
      <c r="E72" s="27">
        <f>IF(-37321.13338="","-",-23025.51394/-37321.13338*100)</f>
        <v>61.69564494613963</v>
      </c>
    </row>
    <row r="73" spans="1:5" ht="24" x14ac:dyDescent="0.2">
      <c r="A73" s="61" t="s">
        <v>269</v>
      </c>
      <c r="B73" s="62" t="s">
        <v>193</v>
      </c>
      <c r="C73" s="30">
        <v>-8863.7939900000001</v>
      </c>
      <c r="D73" s="30">
        <v>-9716.0869000000002</v>
      </c>
      <c r="E73" s="30">
        <f>IF(OR(-8863.79399="",-9716.0869="",-8863.79399=0,-9716.0869=0),"-",-9716.0869/-8863.79399*100)</f>
        <v>109.61544132187124</v>
      </c>
    </row>
    <row r="74" spans="1:5" x14ac:dyDescent="0.2">
      <c r="A74" s="61" t="s">
        <v>270</v>
      </c>
      <c r="B74" s="62" t="s">
        <v>168</v>
      </c>
      <c r="C74" s="30">
        <v>27885.80774</v>
      </c>
      <c r="D74" s="30">
        <v>21267.257509999999</v>
      </c>
      <c r="E74" s="30">
        <f>IF(OR(27885.80774="",21267.25751="",27885.80774=0,21267.25751=0),"-",21267.25751/27885.80774*100)</f>
        <v>76.265524414032981</v>
      </c>
    </row>
    <row r="75" spans="1:5" x14ac:dyDescent="0.2">
      <c r="A75" s="61" t="s">
        <v>271</v>
      </c>
      <c r="B75" s="62" t="s">
        <v>169</v>
      </c>
      <c r="C75" s="30">
        <v>791.35103000000004</v>
      </c>
      <c r="D75" s="30">
        <v>-268.44556999999998</v>
      </c>
      <c r="E75" s="30" t="s">
        <v>21</v>
      </c>
    </row>
    <row r="76" spans="1:5" x14ac:dyDescent="0.2">
      <c r="A76" s="61" t="s">
        <v>272</v>
      </c>
      <c r="B76" s="62" t="s">
        <v>170</v>
      </c>
      <c r="C76" s="30">
        <v>16033.210510000001</v>
      </c>
      <c r="D76" s="30">
        <v>27427.89472</v>
      </c>
      <c r="E76" s="30" t="s">
        <v>100</v>
      </c>
    </row>
    <row r="77" spans="1:5" x14ac:dyDescent="0.2">
      <c r="A77" s="61" t="s">
        <v>273</v>
      </c>
      <c r="B77" s="62" t="s">
        <v>171</v>
      </c>
      <c r="C77" s="30">
        <v>-4997.47307</v>
      </c>
      <c r="D77" s="30">
        <v>-4469.7429700000002</v>
      </c>
      <c r="E77" s="30">
        <f>IF(OR(-4997.47307="",-4469.74297="",-4997.47307=0,-4469.74297=0),"-",-4469.74297/-4997.47307*100)</f>
        <v>89.440061154746758</v>
      </c>
    </row>
    <row r="78" spans="1:5" ht="24" x14ac:dyDescent="0.2">
      <c r="A78" s="61" t="s">
        <v>274</v>
      </c>
      <c r="B78" s="62" t="s">
        <v>194</v>
      </c>
      <c r="C78" s="30">
        <v>-14552.726919999999</v>
      </c>
      <c r="D78" s="30">
        <v>-11353.77974</v>
      </c>
      <c r="E78" s="30">
        <f>IF(OR(-14552.72692="",-11353.77974="",-14552.72692=0,-11353.77974=0),"-",-11353.77974/-14552.72692*100)</f>
        <v>78.018228490196947</v>
      </c>
    </row>
    <row r="79" spans="1:5" ht="24" x14ac:dyDescent="0.2">
      <c r="A79" s="61" t="s">
        <v>275</v>
      </c>
      <c r="B79" s="62" t="s">
        <v>172</v>
      </c>
      <c r="C79" s="30">
        <v>-2307.9656</v>
      </c>
      <c r="D79" s="30">
        <v>-2332.22075</v>
      </c>
      <c r="E79" s="30">
        <f>IF(OR(-2307.9656="",-2332.22075="",-2307.9656=0,-2332.22075=0),"-",-2332.22075/-2307.9656*100)</f>
        <v>101.05093204162141</v>
      </c>
    </row>
    <row r="80" spans="1:5" x14ac:dyDescent="0.2">
      <c r="A80" s="61" t="s">
        <v>276</v>
      </c>
      <c r="B80" s="62" t="s">
        <v>34</v>
      </c>
      <c r="C80" s="30">
        <v>-51309.543080000003</v>
      </c>
      <c r="D80" s="30">
        <v>-43580.390240000001</v>
      </c>
      <c r="E80" s="30">
        <f>IF(OR(-51309.54308="",-43580.39024="",-51309.54308=0,-43580.39024=0),"-",-43580.39024/-51309.54308*100)</f>
        <v>84.936227500702969</v>
      </c>
    </row>
    <row r="81" spans="1:5" x14ac:dyDescent="0.2">
      <c r="A81" s="63" t="s">
        <v>280</v>
      </c>
      <c r="B81" s="64" t="s">
        <v>173</v>
      </c>
      <c r="C81" s="65">
        <v>-76.52458</v>
      </c>
      <c r="D81" s="27">
        <v>-7909.8328099999999</v>
      </c>
      <c r="E81" s="27" t="s">
        <v>382</v>
      </c>
    </row>
    <row r="82" spans="1:5" ht="24" x14ac:dyDescent="0.2">
      <c r="A82" s="61" t="s">
        <v>373</v>
      </c>
      <c r="B82" s="62" t="s">
        <v>374</v>
      </c>
      <c r="C82" s="66" t="s">
        <v>284</v>
      </c>
      <c r="D82" s="38">
        <v>-312.86025999999998</v>
      </c>
      <c r="E82" s="38" t="str">
        <f>IF(OR(0="",-312.86026="",0=0,-312.86026=0),"-",-312.86026/0*100)</f>
        <v>-</v>
      </c>
    </row>
    <row r="83" spans="1:5" x14ac:dyDescent="0.2">
      <c r="A83" s="61" t="s">
        <v>329</v>
      </c>
      <c r="B83" s="62" t="s">
        <v>330</v>
      </c>
      <c r="C83" s="38">
        <v>-1.39899</v>
      </c>
      <c r="D83" s="38">
        <v>186.69048000000001</v>
      </c>
      <c r="E83" s="38" t="s">
        <v>21</v>
      </c>
    </row>
    <row r="84" spans="1:5" x14ac:dyDescent="0.2">
      <c r="A84" s="67" t="s">
        <v>334</v>
      </c>
      <c r="B84" s="68" t="s">
        <v>335</v>
      </c>
      <c r="C84" s="41">
        <v>-75.125590000000003</v>
      </c>
      <c r="D84" s="41">
        <v>-7783.6630299999997</v>
      </c>
      <c r="E84" s="41" t="s">
        <v>383</v>
      </c>
    </row>
    <row r="85" spans="1:5" x14ac:dyDescent="0.2">
      <c r="A85" s="42" t="s">
        <v>283</v>
      </c>
      <c r="B85" s="43"/>
    </row>
    <row r="86" spans="1:5" x14ac:dyDescent="0.2">
      <c r="C86" s="30"/>
      <c r="D86" s="30"/>
      <c r="E86" s="69"/>
    </row>
    <row r="87" spans="1:5" x14ac:dyDescent="0.2">
      <c r="C87" s="30"/>
      <c r="D87" s="30"/>
      <c r="E87" s="69"/>
    </row>
  </sheetData>
  <mergeCells count="6">
    <mergeCell ref="A5:A6"/>
    <mergeCell ref="B2:E2"/>
    <mergeCell ref="B3:E3"/>
    <mergeCell ref="B5:B6"/>
    <mergeCell ref="E5:E6"/>
    <mergeCell ref="C5:D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Doina Vudvud</cp:lastModifiedBy>
  <cp:lastPrinted>2022-05-13T13:32:15Z</cp:lastPrinted>
  <dcterms:created xsi:type="dcterms:W3CDTF">2016-09-01T07:59:47Z</dcterms:created>
  <dcterms:modified xsi:type="dcterms:W3CDTF">2022-05-17T05:09:26Z</dcterms:modified>
</cp:coreProperties>
</file>