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Cebotari\Desktop\comert\"/>
    </mc:Choice>
  </mc:AlternateContent>
  <xr:revisionPtr revIDLastSave="0" documentId="13_ncr:1_{3A877832-98F6-489C-9516-E3639AC682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4" i="1" l="1"/>
  <c r="F114" i="1"/>
  <c r="E114" i="1"/>
  <c r="D114" i="1"/>
  <c r="C114" i="1"/>
  <c r="G113" i="1"/>
  <c r="F113" i="1"/>
  <c r="E113" i="1"/>
  <c r="D113" i="1"/>
  <c r="C113" i="1"/>
  <c r="C52" i="1" l="1"/>
  <c r="D90" i="3" l="1"/>
  <c r="D76" i="3"/>
  <c r="D22" i="3"/>
  <c r="C103" i="2"/>
  <c r="C82" i="2"/>
  <c r="C75" i="1" l="1"/>
  <c r="D7" i="5" l="1"/>
  <c r="C6" i="7"/>
  <c r="C6" i="1"/>
  <c r="E79" i="4" l="1"/>
  <c r="E78" i="4"/>
  <c r="E77" i="4"/>
  <c r="E76" i="4"/>
  <c r="E75" i="4"/>
  <c r="E73" i="4"/>
  <c r="E72" i="4"/>
  <c r="E71" i="4"/>
  <c r="E69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38" i="4"/>
  <c r="E31" i="4"/>
  <c r="E30" i="4"/>
  <c r="E29" i="4"/>
  <c r="E28" i="4"/>
  <c r="E27" i="4"/>
  <c r="E26" i="4"/>
  <c r="E23" i="4"/>
  <c r="E21" i="4"/>
  <c r="E20" i="4"/>
  <c r="E19" i="4"/>
  <c r="E18" i="4"/>
  <c r="E16" i="4"/>
  <c r="E12" i="4"/>
  <c r="E11" i="4"/>
  <c r="E10" i="4"/>
  <c r="E6" i="4"/>
  <c r="H82" i="6"/>
  <c r="G82" i="6"/>
  <c r="F82" i="6"/>
  <c r="E82" i="6"/>
  <c r="H81" i="6"/>
  <c r="G81" i="6"/>
  <c r="F81" i="6"/>
  <c r="E81" i="6"/>
  <c r="H80" i="6"/>
  <c r="G80" i="6"/>
  <c r="F80" i="6"/>
  <c r="E80" i="6"/>
  <c r="H79" i="6"/>
  <c r="G79" i="6"/>
  <c r="F79" i="6"/>
  <c r="E79" i="6"/>
  <c r="H78" i="6"/>
  <c r="G78" i="6"/>
  <c r="F78" i="6"/>
  <c r="E78" i="6"/>
  <c r="D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H38" i="6"/>
  <c r="G38" i="6"/>
  <c r="F38" i="6"/>
  <c r="E38" i="6"/>
  <c r="H37" i="6"/>
  <c r="G37" i="6"/>
  <c r="F37" i="6"/>
  <c r="E37" i="6"/>
  <c r="D37" i="6"/>
  <c r="H36" i="6"/>
  <c r="G36" i="6"/>
  <c r="F36" i="6"/>
  <c r="E36" i="6"/>
  <c r="H35" i="6"/>
  <c r="G35" i="6"/>
  <c r="F35" i="6"/>
  <c r="E35" i="6"/>
  <c r="H34" i="6"/>
  <c r="G34" i="6"/>
  <c r="F34" i="6"/>
  <c r="E34" i="6"/>
  <c r="H33" i="6"/>
  <c r="G33" i="6"/>
  <c r="F33" i="6"/>
  <c r="E33" i="6"/>
  <c r="H32" i="6"/>
  <c r="G32" i="6"/>
  <c r="F32" i="6"/>
  <c r="E32" i="6"/>
  <c r="H31" i="6"/>
  <c r="G31" i="6"/>
  <c r="F31" i="6"/>
  <c r="E31" i="6"/>
  <c r="H30" i="6"/>
  <c r="G30" i="6"/>
  <c r="F30" i="6"/>
  <c r="E30" i="6"/>
  <c r="D30" i="6"/>
  <c r="H29" i="6"/>
  <c r="G29" i="6"/>
  <c r="F29" i="6"/>
  <c r="E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24" i="6"/>
  <c r="G24" i="6"/>
  <c r="F24" i="6"/>
  <c r="E24" i="6"/>
  <c r="H23" i="6"/>
  <c r="G23" i="6"/>
  <c r="F23" i="6"/>
  <c r="E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H8" i="6"/>
  <c r="G8" i="6"/>
  <c r="F8" i="6"/>
  <c r="E8" i="6"/>
  <c r="D8" i="6"/>
  <c r="H7" i="6"/>
  <c r="G7" i="6"/>
  <c r="D7" i="6"/>
  <c r="H82" i="5"/>
  <c r="G82" i="5"/>
  <c r="F82" i="5"/>
  <c r="E82" i="5"/>
  <c r="D82" i="5"/>
  <c r="H81" i="5"/>
  <c r="G81" i="5"/>
  <c r="F81" i="5"/>
  <c r="E81" i="5"/>
  <c r="H80" i="5"/>
  <c r="G80" i="5"/>
  <c r="F80" i="5"/>
  <c r="E80" i="5"/>
  <c r="H79" i="5"/>
  <c r="G79" i="5"/>
  <c r="F79" i="5"/>
  <c r="E79" i="5"/>
  <c r="D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H69" i="5"/>
  <c r="G69" i="5"/>
  <c r="F69" i="5"/>
  <c r="E69" i="5"/>
  <c r="H68" i="5"/>
  <c r="G68" i="5"/>
  <c r="F68" i="5"/>
  <c r="E68" i="5"/>
  <c r="D68" i="5"/>
  <c r="H67" i="5"/>
  <c r="G67" i="5"/>
  <c r="F67" i="5"/>
  <c r="E67" i="5"/>
  <c r="D67" i="5"/>
  <c r="H66" i="5"/>
  <c r="G66" i="5"/>
  <c r="F66" i="5"/>
  <c r="E66" i="5"/>
  <c r="H65" i="5"/>
  <c r="G65" i="5"/>
  <c r="F65" i="5"/>
  <c r="E65" i="5"/>
  <c r="D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D59" i="5"/>
  <c r="H58" i="5"/>
  <c r="G58" i="5"/>
  <c r="F58" i="5"/>
  <c r="E58" i="5"/>
  <c r="D58" i="5"/>
  <c r="H57" i="5"/>
  <c r="G57" i="5"/>
  <c r="F57" i="5"/>
  <c r="E57" i="5"/>
  <c r="D57" i="5"/>
  <c r="H56" i="5"/>
  <c r="G56" i="5"/>
  <c r="F56" i="5"/>
  <c r="E56" i="5"/>
  <c r="D56" i="5"/>
  <c r="H55" i="5"/>
  <c r="G55" i="5"/>
  <c r="F55" i="5"/>
  <c r="E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H51" i="5"/>
  <c r="G51" i="5"/>
  <c r="F51" i="5"/>
  <c r="E51" i="5"/>
  <c r="D51" i="5"/>
  <c r="H50" i="5"/>
  <c r="G50" i="5"/>
  <c r="F50" i="5"/>
  <c r="E50" i="5"/>
  <c r="D50" i="5"/>
  <c r="H49" i="5"/>
  <c r="G49" i="5"/>
  <c r="F49" i="5"/>
  <c r="E49" i="5"/>
  <c r="D49" i="5"/>
  <c r="H48" i="5"/>
  <c r="G48" i="5"/>
  <c r="F48" i="5"/>
  <c r="E48" i="5"/>
  <c r="H47" i="5"/>
  <c r="G47" i="5"/>
  <c r="F47" i="5"/>
  <c r="E47" i="5"/>
  <c r="D47" i="5"/>
  <c r="H46" i="5"/>
  <c r="G46" i="5"/>
  <c r="F46" i="5"/>
  <c r="E46" i="5"/>
  <c r="H45" i="5"/>
  <c r="G45" i="5"/>
  <c r="F45" i="5"/>
  <c r="E45" i="5"/>
  <c r="D45" i="5"/>
  <c r="H44" i="5"/>
  <c r="G44" i="5"/>
  <c r="F44" i="5"/>
  <c r="E44" i="5"/>
  <c r="D44" i="5"/>
  <c r="H43" i="5"/>
  <c r="G43" i="5"/>
  <c r="F43" i="5"/>
  <c r="E43" i="5"/>
  <c r="H42" i="5"/>
  <c r="G42" i="5"/>
  <c r="F42" i="5"/>
  <c r="E42" i="5"/>
  <c r="D42" i="5"/>
  <c r="H41" i="5"/>
  <c r="G41" i="5"/>
  <c r="F41" i="5"/>
  <c r="E41" i="5"/>
  <c r="D41" i="5"/>
  <c r="H40" i="5"/>
  <c r="G40" i="5"/>
  <c r="F40" i="5"/>
  <c r="E40" i="5"/>
  <c r="H39" i="5"/>
  <c r="G39" i="5"/>
  <c r="F39" i="5"/>
  <c r="E39" i="5"/>
  <c r="H38" i="5"/>
  <c r="G38" i="5"/>
  <c r="F38" i="5"/>
  <c r="E38" i="5"/>
  <c r="D38" i="5"/>
  <c r="H37" i="5"/>
  <c r="G37" i="5"/>
  <c r="F37" i="5"/>
  <c r="E37" i="5"/>
  <c r="H36" i="5"/>
  <c r="G36" i="5"/>
  <c r="F36" i="5"/>
  <c r="E36" i="5"/>
  <c r="H35" i="5"/>
  <c r="G35" i="5"/>
  <c r="F35" i="5"/>
  <c r="E35" i="5"/>
  <c r="D35" i="5"/>
  <c r="H34" i="5"/>
  <c r="G34" i="5"/>
  <c r="F34" i="5"/>
  <c r="E34" i="5"/>
  <c r="H33" i="5"/>
  <c r="G33" i="5"/>
  <c r="F33" i="5"/>
  <c r="E33" i="5"/>
  <c r="H32" i="5"/>
  <c r="G32" i="5"/>
  <c r="F32" i="5"/>
  <c r="E32" i="5"/>
  <c r="H31" i="5"/>
  <c r="G31" i="5"/>
  <c r="F31" i="5"/>
  <c r="E31" i="5"/>
  <c r="D31" i="5"/>
  <c r="H30" i="5"/>
  <c r="G30" i="5"/>
  <c r="F30" i="5"/>
  <c r="E30" i="5"/>
  <c r="D30" i="5"/>
  <c r="H29" i="5"/>
  <c r="G29" i="5"/>
  <c r="F29" i="5"/>
  <c r="E29" i="5"/>
  <c r="H28" i="5"/>
  <c r="G28" i="5"/>
  <c r="F28" i="5"/>
  <c r="E28" i="5"/>
  <c r="D28" i="5"/>
  <c r="H27" i="5"/>
  <c r="G27" i="5"/>
  <c r="F27" i="5"/>
  <c r="E27" i="5"/>
  <c r="D27" i="5"/>
  <c r="H26" i="5"/>
  <c r="G26" i="5"/>
  <c r="F26" i="5"/>
  <c r="E26" i="5"/>
  <c r="D26" i="5"/>
  <c r="H25" i="5"/>
  <c r="G25" i="5"/>
  <c r="F25" i="5"/>
  <c r="E25" i="5"/>
  <c r="H24" i="5"/>
  <c r="G24" i="5"/>
  <c r="F24" i="5"/>
  <c r="E24" i="5"/>
  <c r="H23" i="5"/>
  <c r="G23" i="5"/>
  <c r="F23" i="5"/>
  <c r="E23" i="5"/>
  <c r="D23" i="5"/>
  <c r="H22" i="5"/>
  <c r="G22" i="5"/>
  <c r="F22" i="5"/>
  <c r="E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H12" i="5"/>
  <c r="G12" i="5"/>
  <c r="F12" i="5"/>
  <c r="E12" i="5"/>
  <c r="D12" i="5"/>
  <c r="H11" i="5"/>
  <c r="G11" i="5"/>
  <c r="F11" i="5"/>
  <c r="E11" i="5"/>
  <c r="D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H7" i="5"/>
  <c r="G7" i="5"/>
  <c r="E39" i="8"/>
  <c r="D39" i="8"/>
  <c r="E38" i="8"/>
  <c r="D38" i="8"/>
  <c r="E37" i="8"/>
  <c r="D37" i="8"/>
  <c r="E36" i="8"/>
  <c r="D36" i="8"/>
  <c r="E35" i="8"/>
  <c r="D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39" i="7"/>
  <c r="D39" i="7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D138" i="3" l="1"/>
  <c r="D137" i="3"/>
  <c r="D136" i="3"/>
  <c r="D130" i="3"/>
  <c r="D128" i="3"/>
  <c r="D127" i="3"/>
  <c r="D126" i="3"/>
  <c r="D125" i="3"/>
  <c r="D124" i="3"/>
  <c r="D123" i="3"/>
  <c r="D122" i="3"/>
  <c r="D117" i="3"/>
  <c r="D116" i="3"/>
  <c r="D113" i="3"/>
  <c r="D109" i="3"/>
  <c r="D108" i="3"/>
  <c r="D105" i="3"/>
  <c r="D104" i="3"/>
  <c r="D101" i="3"/>
  <c r="D99" i="3"/>
  <c r="D98" i="3"/>
  <c r="D97" i="3"/>
  <c r="D94" i="3"/>
  <c r="D93" i="3"/>
  <c r="D92" i="3"/>
  <c r="D91" i="3"/>
  <c r="D89" i="3"/>
  <c r="D86" i="3"/>
  <c r="D85" i="3"/>
  <c r="D84" i="3"/>
  <c r="D83" i="3"/>
  <c r="D82" i="3"/>
  <c r="D79" i="3"/>
  <c r="D77" i="3"/>
  <c r="D74" i="3"/>
  <c r="D73" i="3"/>
  <c r="D72" i="3"/>
  <c r="D70" i="3"/>
  <c r="D69" i="3"/>
  <c r="D68" i="3"/>
  <c r="D67" i="3"/>
  <c r="D66" i="3"/>
  <c r="D64" i="3"/>
  <c r="D63" i="3"/>
  <c r="D62" i="3"/>
  <c r="D61" i="3"/>
  <c r="D60" i="3"/>
  <c r="D58" i="3"/>
  <c r="D57" i="3"/>
  <c r="D56" i="3"/>
  <c r="D55" i="3"/>
  <c r="D54" i="3"/>
  <c r="D53" i="3"/>
  <c r="D52" i="3"/>
  <c r="D51" i="3"/>
  <c r="D50" i="3"/>
  <c r="D48" i="3"/>
  <c r="D47" i="3"/>
  <c r="D46" i="3"/>
  <c r="D45" i="3"/>
  <c r="D39" i="3"/>
  <c r="D38" i="3"/>
  <c r="D36" i="3"/>
  <c r="D33" i="3"/>
  <c r="D31" i="3"/>
  <c r="D30" i="3"/>
  <c r="D29" i="3"/>
  <c r="D27" i="3"/>
  <c r="D26" i="3"/>
  <c r="D25" i="3"/>
  <c r="D24" i="3"/>
  <c r="D23" i="3"/>
  <c r="D21" i="3"/>
  <c r="D20" i="3"/>
  <c r="D18" i="3"/>
  <c r="D17" i="3"/>
  <c r="D16" i="3"/>
  <c r="D15" i="3"/>
  <c r="D14" i="3"/>
  <c r="D13" i="3"/>
  <c r="D12" i="3"/>
  <c r="D11" i="3"/>
  <c r="D10" i="3"/>
  <c r="D8" i="3"/>
  <c r="D7" i="3"/>
  <c r="D5" i="3"/>
  <c r="G122" i="2"/>
  <c r="F122" i="2"/>
  <c r="E122" i="2"/>
  <c r="D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C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C114" i="2"/>
  <c r="G113" i="2"/>
  <c r="F113" i="2"/>
  <c r="E113" i="2"/>
  <c r="D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G109" i="2"/>
  <c r="F109" i="2"/>
  <c r="E109" i="2"/>
  <c r="D109" i="2"/>
  <c r="C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C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G102" i="2"/>
  <c r="F102" i="2"/>
  <c r="E102" i="2"/>
  <c r="D102" i="2"/>
  <c r="C102" i="2"/>
  <c r="G101" i="2"/>
  <c r="F101" i="2"/>
  <c r="E101" i="2"/>
  <c r="D101" i="2"/>
  <c r="G100" i="2"/>
  <c r="F100" i="2"/>
  <c r="E100" i="2"/>
  <c r="D100" i="2"/>
  <c r="C100" i="2"/>
  <c r="G99" i="2"/>
  <c r="F99" i="2"/>
  <c r="E99" i="2"/>
  <c r="D99" i="2"/>
  <c r="G98" i="2"/>
  <c r="F98" i="2"/>
  <c r="E98" i="2"/>
  <c r="D98" i="2"/>
  <c r="C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G91" i="2"/>
  <c r="F91" i="2"/>
  <c r="E91" i="2"/>
  <c r="D91" i="2"/>
  <c r="C91" i="2"/>
  <c r="G90" i="2"/>
  <c r="F90" i="2"/>
  <c r="E90" i="2"/>
  <c r="D90" i="2"/>
  <c r="G89" i="2"/>
  <c r="F89" i="2"/>
  <c r="E89" i="2"/>
  <c r="D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C43" i="2"/>
  <c r="G42" i="2"/>
  <c r="F42" i="2"/>
  <c r="E42" i="2"/>
  <c r="D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G8" i="2"/>
  <c r="F8" i="2"/>
  <c r="E8" i="2"/>
  <c r="D8" i="2"/>
  <c r="C8" i="2"/>
  <c r="G6" i="2"/>
  <c r="F6" i="2"/>
  <c r="C6" i="2"/>
  <c r="G112" i="1" l="1"/>
  <c r="F112" i="1"/>
  <c r="E112" i="1"/>
  <c r="D112" i="1"/>
  <c r="C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G108" i="1"/>
  <c r="F108" i="1"/>
  <c r="E108" i="1"/>
  <c r="D108" i="1"/>
  <c r="G107" i="1"/>
  <c r="F107" i="1"/>
  <c r="E107" i="1"/>
  <c r="D107" i="1"/>
  <c r="G106" i="1"/>
  <c r="F106" i="1"/>
  <c r="E106" i="1"/>
  <c r="D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G101" i="1"/>
  <c r="F101" i="1"/>
  <c r="E101" i="1"/>
  <c r="D101" i="1"/>
  <c r="C101" i="1"/>
  <c r="G100" i="1"/>
  <c r="F100" i="1"/>
  <c r="E100" i="1"/>
  <c r="D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G95" i="1"/>
  <c r="F95" i="1"/>
  <c r="E95" i="1"/>
  <c r="D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G78" i="1"/>
  <c r="F78" i="1"/>
  <c r="E78" i="1"/>
  <c r="D78" i="1"/>
  <c r="C78" i="1"/>
  <c r="G77" i="1"/>
  <c r="F77" i="1"/>
  <c r="E77" i="1"/>
  <c r="D77" i="1"/>
  <c r="G76" i="1"/>
  <c r="F76" i="1"/>
  <c r="E76" i="1"/>
  <c r="D76" i="1"/>
  <c r="C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C71" i="1"/>
  <c r="G70" i="1"/>
  <c r="F70" i="1"/>
  <c r="E70" i="1"/>
  <c r="D70" i="1"/>
  <c r="G69" i="1"/>
  <c r="F69" i="1"/>
  <c r="E69" i="1"/>
  <c r="D69" i="1"/>
  <c r="C69" i="1"/>
  <c r="G68" i="1"/>
  <c r="F68" i="1"/>
  <c r="E68" i="1"/>
  <c r="D68" i="1"/>
  <c r="G67" i="1"/>
  <c r="F67" i="1"/>
  <c r="E67" i="1"/>
  <c r="D67" i="1"/>
  <c r="C67" i="1"/>
  <c r="G66" i="1"/>
  <c r="F66" i="1"/>
  <c r="E66" i="1"/>
  <c r="D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G62" i="1"/>
  <c r="F62" i="1"/>
  <c r="E62" i="1"/>
  <c r="D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G58" i="1"/>
  <c r="F58" i="1"/>
  <c r="E58" i="1"/>
  <c r="D58" i="1"/>
  <c r="C58" i="1"/>
  <c r="G57" i="1"/>
  <c r="F57" i="1"/>
  <c r="E57" i="1"/>
  <c r="D57" i="1"/>
  <c r="G56" i="1"/>
  <c r="F56" i="1"/>
  <c r="E56" i="1"/>
  <c r="D56" i="1"/>
  <c r="G55" i="1"/>
  <c r="F55" i="1"/>
  <c r="E55" i="1"/>
  <c r="D55" i="1"/>
  <c r="C55" i="1"/>
  <c r="G54" i="1"/>
  <c r="F54" i="1"/>
  <c r="E54" i="1"/>
  <c r="D54" i="1"/>
  <c r="G53" i="1"/>
  <c r="F53" i="1"/>
  <c r="E53" i="1"/>
  <c r="D53" i="1"/>
  <c r="C53" i="1"/>
  <c r="G52" i="1"/>
  <c r="F52" i="1"/>
  <c r="E52" i="1"/>
  <c r="D52" i="1"/>
  <c r="G51" i="1"/>
  <c r="F51" i="1"/>
  <c r="E51" i="1"/>
  <c r="D51" i="1"/>
  <c r="C51" i="1"/>
  <c r="G50" i="1"/>
  <c r="F50" i="1"/>
  <c r="E50" i="1"/>
  <c r="D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G43" i="1"/>
  <c r="F43" i="1"/>
  <c r="E43" i="1"/>
  <c r="D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C34" i="1"/>
  <c r="G33" i="1"/>
  <c r="F33" i="1"/>
  <c r="E33" i="1"/>
  <c r="D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G23" i="1"/>
  <c r="F23" i="1"/>
  <c r="E23" i="1"/>
  <c r="D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G11" i="1"/>
  <c r="F11" i="1"/>
  <c r="E11" i="1"/>
  <c r="D11" i="1"/>
  <c r="C11" i="1"/>
  <c r="G10" i="1"/>
  <c r="F10" i="1"/>
  <c r="E10" i="1"/>
  <c r="D10" i="1"/>
  <c r="G9" i="1"/>
  <c r="F9" i="1"/>
  <c r="E9" i="1"/>
  <c r="D9" i="1"/>
  <c r="G8" i="1"/>
  <c r="F8" i="1"/>
  <c r="E8" i="1"/>
  <c r="D8" i="1"/>
  <c r="C8" i="1"/>
  <c r="G6" i="1"/>
  <c r="F6" i="1"/>
</calcChain>
</file>

<file path=xl/sharedStrings.xml><?xml version="1.0" encoding="utf-8"?>
<sst xmlns="http://schemas.openxmlformats.org/spreadsheetml/2006/main" count="1175" uniqueCount="419">
  <si>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</si>
  <si>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</si>
  <si>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</si>
  <si>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</si>
  <si>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</si>
  <si>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</si>
  <si>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</si>
  <si>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</si>
  <si>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</si>
  <si>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</si>
  <si>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</si>
  <si>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</si>
  <si>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</si>
  <si>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</si>
  <si>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</si>
  <si>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</si>
  <si>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</si>
  <si>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</si>
  <si>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</si>
  <si>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</si>
  <si>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</si>
  <si>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</si>
  <si>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</si>
  <si>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</si>
  <si>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</si>
  <si>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</si>
  <si>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</si>
  <si>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</si>
  <si>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</si>
  <si>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</si>
  <si>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</si>
  <si>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</si>
  <si>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</si>
  <si>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</si>
  <si>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</si>
  <si>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</si>
  <si>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</si>
  <si>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</si>
  <si>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</si>
  <si>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</si>
  <si>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</si>
  <si>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</si>
  <si>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</si>
  <si>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</si>
  <si>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</si>
  <si>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</si>
  <si>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</si>
  <si>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</si>
  <si>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</si>
  <si>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</si>
  <si>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</si>
  <si>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</si>
  <si>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</si>
  <si>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</si>
  <si>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</si>
  <si>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</si>
  <si>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</si>
  <si>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</si>
  <si>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</si>
  <si>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</si>
  <si>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</si>
  <si>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</si>
  <si>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</si>
  <si>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</si>
  <si>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</si>
  <si>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</si>
  <si>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</si>
  <si>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</si>
  <si>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</si>
  <si>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</si>
  <si>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</si>
  <si>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</si>
  <si>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</si>
  <si>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</si>
  <si>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</si>
  <si>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</si>
  <si>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</si>
  <si>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</si>
  <si>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</si>
  <si>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</si>
  <si>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</si>
  <si>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</si>
  <si>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</si>
  <si>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</si>
  <si>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</si>
  <si>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</si>
  <si>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</si>
  <si>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</si>
  <si>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</si>
  <si>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</si>
  <si>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</si>
  <si>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</si>
  <si>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</si>
  <si>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</si>
  <si>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</si>
  <si>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</si>
  <si>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</si>
  <si>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</si>
  <si>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</si>
  <si>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</si>
  <si>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1,9 ori</t>
  </si>
  <si>
    <t>Gradul de influenţă a grupelor de mărfuri  la creşterea (+),  scăderea (-) exporturilor, %</t>
  </si>
  <si>
    <t>Qatar</t>
  </si>
  <si>
    <t>Ponderea, %</t>
  </si>
  <si>
    <t>mii dolari         SUA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</si>
  <si>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</si>
  <si>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</si>
  <si>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</si>
  <si>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</si>
  <si>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</si>
  <si>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</si>
  <si>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</si>
  <si>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</si>
  <si>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</si>
  <si>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</si>
  <si>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</si>
  <si>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</si>
  <si>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</si>
  <si>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</si>
  <si>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</si>
  <si>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</si>
  <si>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</si>
  <si>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</si>
  <si>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 xml:space="preserve">     din care:</t>
  </si>
  <si>
    <t>Zimbabwe</t>
  </si>
  <si>
    <t>Camerun</t>
  </si>
  <si>
    <t xml:space="preserve">EXPORT - total      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</si>
  <si>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</si>
  <si>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</si>
  <si>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</si>
  <si>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</si>
  <si>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</si>
  <si>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</si>
  <si>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</si>
  <si>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</si>
  <si>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</si>
  <si>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</si>
  <si>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</si>
  <si>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</si>
  <si>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</si>
  <si>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</si>
  <si>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</si>
  <si>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</si>
  <si>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</si>
  <si>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</si>
  <si>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</si>
  <si>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</si>
  <si>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</si>
  <si>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</si>
  <si>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</si>
  <si>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</si>
  <si>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</si>
  <si>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</si>
  <si>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</si>
  <si>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</si>
  <si>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</si>
  <si>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</si>
  <si>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</si>
  <si>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</si>
  <si>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</si>
  <si>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</si>
  <si>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</si>
  <si>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</si>
  <si>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</si>
  <si>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</si>
  <si>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</si>
  <si>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</si>
  <si>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</si>
  <si>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</si>
  <si>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</si>
  <si>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</si>
  <si>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</si>
  <si>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</si>
  <si>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</si>
  <si>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</si>
  <si>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</si>
  <si>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</si>
  <si>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</si>
  <si>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</si>
  <si>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</si>
  <si>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</si>
  <si>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</si>
  <si>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</si>
  <si>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</si>
  <si>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</si>
  <si>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</si>
  <si>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</si>
  <si>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</si>
  <si>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</si>
  <si>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</si>
  <si>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</si>
  <si>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</si>
  <si>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</si>
  <si>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</si>
  <si>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</si>
  <si>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</si>
  <si>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</si>
  <si>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</si>
  <si>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</si>
  <si>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BALANŢA COMERCIALĂ – total, mii dolari SUA</t>
  </si>
  <si>
    <t>Afganistan</t>
  </si>
  <si>
    <t>Tanzania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</si>
  <si>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</si>
  <si>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</si>
  <si>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</si>
  <si>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</si>
  <si>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</si>
  <si>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</si>
  <si>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</si>
  <si>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</si>
  <si>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</si>
  <si>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</si>
  <si>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</si>
  <si>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</si>
  <si>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</si>
  <si>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</si>
  <si>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</si>
  <si>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</si>
  <si>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</si>
  <si>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</si>
  <si>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</si>
  <si>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</si>
  <si>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</si>
  <si>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</si>
  <si>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</si>
  <si>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</si>
  <si>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</si>
  <si>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</si>
  <si>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</si>
  <si>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</si>
  <si>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</si>
  <si>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</si>
  <si>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</si>
  <si>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</si>
  <si>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</si>
  <si>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</si>
  <si>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</si>
  <si>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</si>
  <si>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</si>
  <si>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</si>
  <si>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</si>
  <si>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</si>
  <si>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</si>
  <si>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</si>
  <si>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</si>
  <si>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</si>
  <si>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</si>
  <si>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</si>
  <si>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</si>
  <si>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</si>
  <si>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</si>
  <si>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</si>
  <si>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</si>
  <si>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</si>
  <si>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</si>
  <si>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</si>
  <si>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</si>
  <si>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</si>
  <si>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</si>
  <si>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</si>
  <si>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</si>
  <si>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</si>
  <si>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</si>
  <si>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</si>
  <si>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</si>
  <si>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</si>
  <si>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</si>
  <si>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</si>
  <si>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</si>
  <si>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</si>
  <si>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</si>
  <si>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</si>
  <si>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</si>
  <si>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</si>
  <si>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</si>
  <si>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</si>
  <si>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</si>
  <si>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</si>
  <si>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de 2,4 ori</t>
  </si>
  <si>
    <t>35</t>
  </si>
  <si>
    <t>Energie electrica</t>
  </si>
  <si>
    <t>Energie electrică</t>
  </si>
  <si>
    <t>BALANŢA COMERCIALĂ - total, mii dolari SUA</t>
  </si>
  <si>
    <t>Celelalte țări ale lumii</t>
  </si>
  <si>
    <t>Madagascar</t>
  </si>
  <si>
    <t>Malawi</t>
  </si>
  <si>
    <t>Coreea de Nord</t>
  </si>
  <si>
    <t>de 3,7 ori</t>
  </si>
  <si>
    <t>Republica Yemen</t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</si>
  <si>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</si>
  <si>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</si>
  <si>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</si>
  <si>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</si>
  <si>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</si>
  <si>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</si>
  <si>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2,8 ori</t>
  </si>
  <si>
    <t>Șri Lanka</t>
  </si>
  <si>
    <t>2021</t>
  </si>
  <si>
    <t>2022</t>
  </si>
  <si>
    <t>Cehia</t>
  </si>
  <si>
    <t>Kârgâzstan</t>
  </si>
  <si>
    <t>Panama</t>
  </si>
  <si>
    <t>Taiwan, provincie a Chinei</t>
  </si>
  <si>
    <t>Insulele Feroe</t>
  </si>
  <si>
    <t>97</t>
  </si>
  <si>
    <t>Aur nemonetar</t>
  </si>
  <si>
    <t>99</t>
  </si>
  <si>
    <t>Kuwait</t>
  </si>
  <si>
    <t>Paraguay</t>
  </si>
  <si>
    <t>Burkina Faso</t>
  </si>
  <si>
    <t>de 4,3 ori</t>
  </si>
  <si>
    <t>Liechtenstein</t>
  </si>
  <si>
    <t>Operațiuni neidentificate (ajutor umanitar)</t>
  </si>
  <si>
    <t>96</t>
  </si>
  <si>
    <t>Monede, care nu au curs legal (cu exceptia monedelor de aur)</t>
  </si>
  <si>
    <t>de 3,5 ori</t>
  </si>
  <si>
    <t>Gambia</t>
  </si>
  <si>
    <t xml:space="preserve">Țări cu codul țării de origine a mărfii "EU" </t>
  </si>
  <si>
    <t>San Marino</t>
  </si>
  <si>
    <t>Mauritius</t>
  </si>
  <si>
    <t>Venezuela</t>
  </si>
  <si>
    <t>Guatemala</t>
  </si>
  <si>
    <t>de 3,1 ori</t>
  </si>
  <si>
    <t>Regatul Țărilor de Jos (Netherlands)</t>
  </si>
  <si>
    <t>Senegal</t>
  </si>
  <si>
    <t>de 6,0 ori</t>
  </si>
  <si>
    <t>Trinidad și Tobago</t>
  </si>
  <si>
    <t>Țările Uniunii Europene - total</t>
  </si>
  <si>
    <t>Gaz și produse industriale obținute din gaz</t>
  </si>
  <si>
    <t>Mărfuri manufacturate, clasificate mai ales după materia primă</t>
  </si>
  <si>
    <t>Insulele Georgia și Sandwich de Sud</t>
  </si>
  <si>
    <t>Algeria</t>
  </si>
  <si>
    <t>Lesotho</t>
  </si>
  <si>
    <t>Andorra</t>
  </si>
  <si>
    <t>Honduras</t>
  </si>
  <si>
    <t>de 6,8 ori</t>
  </si>
  <si>
    <t>de 2,6 ori</t>
  </si>
  <si>
    <t>de 17,9 ori</t>
  </si>
  <si>
    <t>de 4,4 ori</t>
  </si>
  <si>
    <t>de 2,7 ori</t>
  </si>
  <si>
    <t>de 2,5 ori</t>
  </si>
  <si>
    <t>de 35,8 ori</t>
  </si>
  <si>
    <t>de 3,8 ori</t>
  </si>
  <si>
    <t>de 3,0 ori</t>
  </si>
  <si>
    <t>de 4,0 ori</t>
  </si>
  <si>
    <t>de 15,1 ori</t>
  </si>
  <si>
    <t>de 2,3 ori</t>
  </si>
  <si>
    <t>de 4,7 ori</t>
  </si>
  <si>
    <t>de 4,6 ori</t>
  </si>
  <si>
    <t>de 3,6 ori</t>
  </si>
  <si>
    <t>de 5,7 ori</t>
  </si>
  <si>
    <t>de 3,3 ori</t>
  </si>
  <si>
    <t>de 8,7 ori</t>
  </si>
  <si>
    <t>de 5,5 ori</t>
  </si>
  <si>
    <t>de 3,2 ori</t>
  </si>
  <si>
    <t>de 5,0 ori</t>
  </si>
  <si>
    <t>de 2910,1 ori</t>
  </si>
  <si>
    <t>de 2,9 ori</t>
  </si>
  <si>
    <t>Republica Dominicană</t>
  </si>
  <si>
    <t>de 9,0 ori</t>
  </si>
  <si>
    <t>de 6,6 ori</t>
  </si>
  <si>
    <t>de 6,2 ori</t>
  </si>
  <si>
    <t>de 5,9 ori</t>
  </si>
  <si>
    <t>de 6,1 ori</t>
  </si>
  <si>
    <t>Ianuarie - august 2022</t>
  </si>
  <si>
    <t>în % faţă de ianuarie - august 2021¹</t>
  </si>
  <si>
    <t>ianuarie - august</t>
  </si>
  <si>
    <t>Ianuarie - august</t>
  </si>
  <si>
    <t>Ianuarie - august 2022  în % faţă de    ianuarie - august 2021¹</t>
  </si>
  <si>
    <t>Ianuarie - august 2022 în % faţă de            ianuarie - august 2021 ¹</t>
  </si>
  <si>
    <t>Kosovo</t>
  </si>
  <si>
    <t>Muntenegru</t>
  </si>
  <si>
    <t>Togo</t>
  </si>
  <si>
    <t>Samoa Americană</t>
  </si>
  <si>
    <t>Barbados</t>
  </si>
  <si>
    <t>Expedieri postale</t>
  </si>
  <si>
    <t>Instalatii fixe de transport</t>
  </si>
  <si>
    <t>de 9,5 ori</t>
  </si>
  <si>
    <t>de 7,3 ori</t>
  </si>
  <si>
    <t>de 5,6 ori</t>
  </si>
  <si>
    <t>de 111,7 ori</t>
  </si>
  <si>
    <t>de 3,9 ori</t>
  </si>
  <si>
    <t>de 15,0 ori</t>
  </si>
  <si>
    <t>de 28,7 ori</t>
  </si>
  <si>
    <t>de 8,8 ori</t>
  </si>
  <si>
    <t>de 3,4 ori</t>
  </si>
  <si>
    <t>de 16,5 ori</t>
  </si>
  <si>
    <t>de 32,8 ori</t>
  </si>
  <si>
    <t>de 8,6 ori</t>
  </si>
  <si>
    <t>de 12,4 ori</t>
  </si>
  <si>
    <t>de 4,5 ori</t>
  </si>
  <si>
    <t>de 16,6 ori</t>
  </si>
  <si>
    <t>de 2233,2 ori</t>
  </si>
  <si>
    <t>de 6,5 ori</t>
  </si>
  <si>
    <t>de 12,9 ori</t>
  </si>
  <si>
    <t>de 14,8 ori</t>
  </si>
  <si>
    <t>de 22,9 ori</t>
  </si>
  <si>
    <t>de 93,8 ori</t>
  </si>
  <si>
    <t>de 24,1 ori</t>
  </si>
  <si>
    <t>de 23,7 ori</t>
  </si>
  <si>
    <t>de 7,2 ori</t>
  </si>
  <si>
    <t>de 112,4 ori</t>
  </si>
  <si>
    <t>de 17,6 ori</t>
  </si>
  <si>
    <t>de 172,3 ori</t>
  </si>
  <si>
    <t>de 6,4 ori</t>
  </si>
  <si>
    <t>de 156,6 ori</t>
  </si>
  <si>
    <t>Libia</t>
  </si>
  <si>
    <r>
      <rPr>
        <b/>
        <sz val="9"/>
        <rFont val="Arial"/>
        <family val="2"/>
      </rPr>
      <t xml:space="preserve">Anexa 1.  </t>
    </r>
    <r>
      <rPr>
        <b/>
        <i/>
        <sz val="9"/>
        <rFont val="Arial"/>
        <family val="2"/>
      </rPr>
      <t>Exporturile structurate pe principalele ţări de destinaţie a mărfurilor şi pe grupe de ţări</t>
    </r>
  </si>
  <si>
    <r>
      <t>Ianuarie - august</t>
    </r>
    <r>
      <rPr>
        <b/>
        <vertAlign val="superscript"/>
        <sz val="9"/>
        <rFont val="Arial"/>
        <family val="2"/>
      </rPr>
      <t xml:space="preserve"> 1,2</t>
    </r>
  </si>
  <si>
    <r>
      <t xml:space="preserve"> 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Faţă de perioada corespunzătoare din anul precedent</t>
    </r>
  </si>
  <si>
    <r>
      <rPr>
        <b/>
        <sz val="9"/>
        <color indexed="8"/>
        <rFont val="Arial"/>
        <family val="2"/>
      </rPr>
      <t xml:space="preserve">Anexa 8.  </t>
    </r>
    <r>
      <rPr>
        <b/>
        <i/>
        <sz val="9"/>
        <color indexed="8"/>
        <rFont val="Arial"/>
        <family val="2"/>
      </rPr>
      <t xml:space="preserve">Balanţa comercială structurată pe grupe de mărfuri, </t>
    </r>
  </si>
  <si>
    <r>
      <rPr>
        <b/>
        <sz val="9"/>
        <color indexed="8"/>
        <rFont val="Arial"/>
        <family val="2"/>
      </rPr>
      <t>Anexa 7.</t>
    </r>
    <r>
      <rPr>
        <b/>
        <i/>
        <sz val="9"/>
        <color indexed="8"/>
        <rFont val="Arial"/>
        <family val="2"/>
      </rPr>
      <t xml:space="preserve">  Importurile structurate pe grupe de mărfuri, </t>
    </r>
  </si>
  <si>
    <r>
      <t xml:space="preserve">ianuarie - august </t>
    </r>
    <r>
      <rPr>
        <b/>
        <vertAlign val="superscript"/>
        <sz val="9"/>
        <color rgb="FF000000"/>
        <rFont val="Arial"/>
        <family val="2"/>
      </rPr>
      <t>1,2</t>
    </r>
  </si>
  <si>
    <r>
      <rPr>
        <b/>
        <sz val="9"/>
        <color indexed="8"/>
        <rFont val="Arial"/>
        <family val="2"/>
      </rPr>
      <t>Anexa 6.</t>
    </r>
    <r>
      <rPr>
        <b/>
        <i/>
        <sz val="9"/>
        <color indexed="8"/>
        <rFont val="Arial"/>
        <family val="2"/>
      </rPr>
      <t xml:space="preserve">  Exporturile structurate pe grupe de mărfuri, </t>
    </r>
  </si>
  <si>
    <r>
      <rPr>
        <b/>
        <sz val="9"/>
        <rFont val="Arial"/>
        <family val="2"/>
      </rPr>
      <t>Anexa 5.</t>
    </r>
    <r>
      <rPr>
        <b/>
        <i/>
        <sz val="9"/>
        <rFont val="Arial"/>
        <family val="2"/>
      </rPr>
      <t xml:space="preserve">  Importurile structurate după modul de transport al mărfurilor </t>
    </r>
  </si>
  <si>
    <r>
      <rPr>
        <b/>
        <sz val="9"/>
        <rFont val="Arial"/>
        <family val="2"/>
      </rPr>
      <t xml:space="preserve">Anexa 4.  </t>
    </r>
    <r>
      <rPr>
        <b/>
        <i/>
        <sz val="9"/>
        <rFont val="Arial"/>
        <family val="2"/>
      </rPr>
      <t xml:space="preserve">Exporturile structurate după modul de transport al mărfurilor </t>
    </r>
  </si>
  <si>
    <r>
      <rPr>
        <b/>
        <sz val="9"/>
        <color indexed="8"/>
        <rFont val="Arial"/>
        <family val="2"/>
      </rPr>
      <t xml:space="preserve">Anexa 3.  </t>
    </r>
    <r>
      <rPr>
        <b/>
        <i/>
        <sz val="9"/>
        <color indexed="8"/>
        <rFont val="Arial"/>
        <family val="2"/>
      </rPr>
      <t>Balanţa comercială structurată pe principalele ţări şi pe grupe de ţări</t>
    </r>
  </si>
  <si>
    <r>
      <rPr>
        <b/>
        <sz val="9"/>
        <color indexed="8"/>
        <rFont val="Arial"/>
        <family val="2"/>
      </rPr>
      <t xml:space="preserve">Anexa 2.  </t>
    </r>
    <r>
      <rPr>
        <b/>
        <i/>
        <sz val="9"/>
        <color indexed="8"/>
        <rFont val="Arial"/>
        <family val="2"/>
      </rPr>
      <t>Importurile structurate pe principalele ţări de origine a mărfurilor şi pe grupe de ţări</t>
    </r>
  </si>
  <si>
    <r>
      <t>ianuarie -august</t>
    </r>
    <r>
      <rPr>
        <b/>
        <vertAlign val="superscript"/>
        <sz val="9"/>
        <rFont val="Arial"/>
        <family val="2"/>
      </rPr>
      <t xml:space="preserve"> 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</si>
</sst>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indexed="8"/>
      <name val="Times New Roman"/>
      <family val="2"/>
      <charset val="238"/>
    </font>
    <font>
      <sz val="8"/>
      <name val="Times New Roman"/>
      <family val="2"/>
      <charset val="238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2"/>
      <charset val="238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b/>
      <i/>
      <sz val="9"/>
      <color indexed="8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</cellStyleXfs>
  <cellXfs count="104">
    <xf numFmtId="0" fontId="0" fillId="0" borderId="0" xfId="0"/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7" fillId="0" borderId="5" xfId="0" applyFont="1" applyBorder="1" applyAlignment="1">
      <alignment horizontal="left" vertical="top" wrapText="1" indent="1"/>
    </xf>
    <xf numFmtId="4" fontId="7" fillId="0" borderId="0" xfId="0" applyNumberFormat="1" applyFont="1" applyAlignment="1">
      <alignment horizontal="right" vertical="top" indent="1"/>
    </xf>
    <xf numFmtId="4" fontId="7" fillId="0" borderId="5" xfId="0" applyNumberFormat="1" applyFont="1" applyBorder="1" applyAlignment="1">
      <alignment horizontal="right" vertical="top" indent="1"/>
    </xf>
    <xf numFmtId="0" fontId="9" fillId="0" borderId="0" xfId="0" applyFont="1" applyAlignment="1">
      <alignment horizontal="left" vertical="top" wrapText="1"/>
    </xf>
    <xf numFmtId="4" fontId="11" fillId="0" borderId="0" xfId="0" applyNumberFormat="1" applyFont="1" applyAlignment="1">
      <alignment horizontal="right" vertical="top" indent="1"/>
    </xf>
    <xf numFmtId="0" fontId="7" fillId="0" borderId="0" xfId="0" applyFont="1" applyAlignment="1">
      <alignment horizontal="left" vertical="top" wrapText="1" indent="1"/>
    </xf>
    <xf numFmtId="38" fontId="9" fillId="0" borderId="0" xfId="0" applyNumberFormat="1" applyFont="1" applyAlignment="1">
      <alignment horizontal="left" vertical="top" wrapText="1" indent="1"/>
    </xf>
    <xf numFmtId="4" fontId="9" fillId="0" borderId="0" xfId="0" applyNumberFormat="1" applyFont="1" applyAlignment="1">
      <alignment horizontal="right" vertical="top" indent="1"/>
    </xf>
    <xf numFmtId="0" fontId="12" fillId="0" borderId="0" xfId="0" applyFont="1"/>
    <xf numFmtId="0" fontId="13" fillId="0" borderId="0" xfId="0" applyFont="1"/>
    <xf numFmtId="0" fontId="9" fillId="0" borderId="0" xfId="0" applyFont="1"/>
    <xf numFmtId="0" fontId="14" fillId="0" borderId="0" xfId="0" applyFont="1" applyAlignment="1">
      <alignment horizontal="left" vertical="top" wrapText="1" indent="1"/>
    </xf>
    <xf numFmtId="2" fontId="9" fillId="0" borderId="0" xfId="0" applyNumberFormat="1" applyFont="1" applyAlignment="1">
      <alignment horizontal="right" vertical="top" indent="1"/>
    </xf>
    <xf numFmtId="4" fontId="14" fillId="0" borderId="0" xfId="0" applyNumberFormat="1" applyFont="1" applyAlignment="1">
      <alignment horizontal="right" vertical="top" indent="1"/>
    </xf>
    <xf numFmtId="38" fontId="9" fillId="0" borderId="0" xfId="0" applyNumberFormat="1" applyFont="1" applyBorder="1" applyAlignment="1">
      <alignment horizontal="left" vertical="top" wrapText="1" indent="1"/>
    </xf>
    <xf numFmtId="4" fontId="9" fillId="0" borderId="0" xfId="0" applyNumberFormat="1" applyFont="1" applyBorder="1" applyAlignment="1">
      <alignment horizontal="right" vertical="top" indent="1"/>
    </xf>
    <xf numFmtId="0" fontId="14" fillId="0" borderId="0" xfId="0" applyFont="1" applyBorder="1" applyAlignment="1">
      <alignment horizontal="left" vertical="top" wrapText="1" indent="1"/>
    </xf>
    <xf numFmtId="38" fontId="9" fillId="0" borderId="3" xfId="0" applyNumberFormat="1" applyFont="1" applyBorder="1" applyAlignment="1">
      <alignment horizontal="left" vertical="top" wrapText="1" indent="1"/>
    </xf>
    <xf numFmtId="4" fontId="9" fillId="0" borderId="3" xfId="0" applyNumberFormat="1" applyFont="1" applyBorder="1" applyAlignment="1">
      <alignment horizontal="right" vertical="top" inden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4" fontId="8" fillId="0" borderId="0" xfId="0" applyNumberFormat="1" applyFont="1" applyAlignment="1">
      <alignment horizontal="right" vertical="top" indent="1"/>
    </xf>
    <xf numFmtId="38" fontId="7" fillId="0" borderId="0" xfId="0" applyNumberFormat="1" applyFont="1" applyAlignment="1">
      <alignment horizontal="center" vertical="top"/>
    </xf>
    <xf numFmtId="38" fontId="7" fillId="0" borderId="0" xfId="0" applyNumberFormat="1" applyFont="1" applyAlignment="1">
      <alignment horizontal="left" vertical="top" wrapText="1"/>
    </xf>
    <xf numFmtId="4" fontId="7" fillId="0" borderId="0" xfId="4" applyNumberFormat="1" applyFont="1" applyAlignment="1">
      <alignment horizontal="right" vertical="top" indent="1"/>
    </xf>
    <xf numFmtId="38" fontId="9" fillId="0" borderId="0" xfId="0" applyNumberFormat="1" applyFont="1" applyAlignment="1">
      <alignment horizontal="center" vertical="top"/>
    </xf>
    <xf numFmtId="38" fontId="9" fillId="0" borderId="0" xfId="0" applyNumberFormat="1" applyFont="1" applyAlignment="1">
      <alignment horizontal="left" vertical="top" wrapText="1"/>
    </xf>
    <xf numFmtId="4" fontId="9" fillId="0" borderId="0" xfId="4" applyNumberFormat="1" applyFont="1" applyAlignment="1">
      <alignment horizontal="right" vertical="top" indent="1"/>
    </xf>
    <xf numFmtId="38" fontId="9" fillId="0" borderId="3" xfId="0" applyNumberFormat="1" applyFont="1" applyBorder="1" applyAlignment="1">
      <alignment horizontal="center" vertical="top"/>
    </xf>
    <xf numFmtId="38" fontId="9" fillId="0" borderId="3" xfId="0" applyNumberFormat="1" applyFont="1" applyBorder="1" applyAlignment="1">
      <alignment horizontal="left" vertical="top" wrapText="1"/>
    </xf>
    <xf numFmtId="4" fontId="9" fillId="0" borderId="3" xfId="4" applyNumberFormat="1" applyFont="1" applyBorder="1" applyAlignment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164" fontId="9" fillId="0" borderId="0" xfId="0" applyNumberFormat="1" applyFont="1" applyFill="1" applyAlignment="1" applyProtection="1">
      <alignment horizontal="right" vertical="top" indent="1"/>
    </xf>
    <xf numFmtId="0" fontId="1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/>
    </xf>
    <xf numFmtId="4" fontId="8" fillId="0" borderId="0" xfId="0" applyNumberFormat="1" applyFont="1"/>
    <xf numFmtId="4" fontId="9" fillId="0" borderId="0" xfId="0" applyNumberFormat="1" applyFont="1" applyFill="1" applyBorder="1" applyAlignment="1" applyProtection="1">
      <alignment horizontal="right" vertical="top"/>
    </xf>
    <xf numFmtId="0" fontId="8" fillId="0" borderId="0" xfId="0" applyFont="1" applyAlignment="1">
      <alignment horizontal="justify"/>
    </xf>
    <xf numFmtId="38" fontId="7" fillId="0" borderId="0" xfId="0" applyNumberFormat="1" applyFont="1" applyFill="1" applyAlignment="1" applyProtection="1">
      <alignment horizontal="center" vertical="top"/>
    </xf>
    <xf numFmtId="38" fontId="7" fillId="0" borderId="0" xfId="0" applyNumberFormat="1" applyFont="1" applyFill="1" applyAlignment="1" applyProtection="1">
      <alignment horizontal="left" vertical="top" wrapText="1"/>
    </xf>
    <xf numFmtId="4" fontId="7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right" vertical="top"/>
    </xf>
    <xf numFmtId="49" fontId="9" fillId="0" borderId="0" xfId="0" applyNumberFormat="1" applyFont="1" applyAlignment="1">
      <alignment horizontal="center" vertical="top"/>
    </xf>
    <xf numFmtId="2" fontId="9" fillId="0" borderId="0" xfId="0" applyNumberFormat="1" applyFont="1" applyFill="1" applyBorder="1" applyAlignment="1" applyProtection="1">
      <alignment horizontal="right" vertical="top" indent="1"/>
    </xf>
    <xf numFmtId="0" fontId="7" fillId="0" borderId="11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top" wrapText="1" indent="1"/>
    </xf>
    <xf numFmtId="0" fontId="9" fillId="0" borderId="0" xfId="0" applyFont="1" applyAlignment="1">
      <alignment horizontal="left" vertical="top" wrapText="1" indent="1"/>
    </xf>
    <xf numFmtId="4" fontId="11" fillId="0" borderId="0" xfId="0" applyNumberFormat="1" applyFont="1" applyAlignment="1">
      <alignment horizontal="right" vertical="top" wrapText="1" indent="1"/>
    </xf>
    <xf numFmtId="4" fontId="7" fillId="0" borderId="0" xfId="0" applyNumberFormat="1" applyFont="1" applyAlignment="1">
      <alignment horizontal="right" vertical="top" wrapText="1" indent="1"/>
    </xf>
    <xf numFmtId="4" fontId="7" fillId="0" borderId="0" xfId="0" applyNumberFormat="1" applyFont="1" applyBorder="1" applyAlignment="1">
      <alignment horizontal="right" vertical="top" indent="1"/>
    </xf>
    <xf numFmtId="4" fontId="16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wrapText="1" indent="1"/>
    </xf>
    <xf numFmtId="0" fontId="9" fillId="0" borderId="3" xfId="0" applyFont="1" applyBorder="1" applyAlignment="1">
      <alignment horizontal="left" vertical="top" wrapText="1" indent="1"/>
    </xf>
    <xf numFmtId="38" fontId="7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Fill="1"/>
    <xf numFmtId="4" fontId="14" fillId="0" borderId="3" xfId="0" applyNumberFormat="1" applyFont="1" applyBorder="1" applyAlignment="1">
      <alignment horizontal="right" vertical="top" indent="1"/>
    </xf>
    <xf numFmtId="4" fontId="12" fillId="0" borderId="0" xfId="0" applyNumberFormat="1" applyFont="1" applyAlignment="1">
      <alignment horizontal="right" vertical="top" indent="1"/>
    </xf>
    <xf numFmtId="0" fontId="8" fillId="0" borderId="0" xfId="0" applyFont="1" applyAlignment="1">
      <alignment horizontal="center"/>
    </xf>
    <xf numFmtId="4" fontId="14" fillId="0" borderId="0" xfId="0" applyNumberFormat="1" applyFont="1" applyBorder="1" applyAlignment="1">
      <alignment horizontal="right" vertical="top" indent="1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116"/>
  <sheetViews>
    <sheetView tabSelected="1" zoomScale="99" zoomScaleNormal="99" workbookViewId="0">
      <selection activeCell="F3" sqref="F3:G3"/>
    </sheetView>
  </sheetViews>
  <sheetFormatPr defaultRowHeight="12" x14ac:dyDescent="0.2"/>
  <cols>
    <col min="1" max="1" width="29.25" style="29" customWidth="1"/>
    <col min="2" max="2" width="12.125" style="29" customWidth="1"/>
    <col min="3" max="3" width="10.5" style="29" customWidth="1"/>
    <col min="4" max="4" width="9" style="29" customWidth="1"/>
    <col min="5" max="5" width="8.75" style="29" customWidth="1"/>
    <col min="6" max="6" width="9.875" style="29" customWidth="1"/>
    <col min="7" max="7" width="10.25" style="29" customWidth="1"/>
    <col min="8" max="8" width="9" style="3"/>
    <col min="9" max="9" width="9.625" style="3" customWidth="1"/>
    <col min="10" max="16384" width="9" style="3"/>
  </cols>
  <sheetData>
    <row r="1" spans="1:8" x14ac:dyDescent="0.2">
      <c r="A1" s="2" t="s">
        <v>407</v>
      </c>
      <c r="B1" s="2"/>
      <c r="C1" s="2"/>
      <c r="D1" s="2"/>
      <c r="E1" s="2"/>
      <c r="F1" s="2"/>
      <c r="G1" s="2"/>
    </row>
    <row r="3" spans="1:8" ht="54" customHeight="1" x14ac:dyDescent="0.2">
      <c r="A3" s="4"/>
      <c r="B3" s="5" t="s">
        <v>364</v>
      </c>
      <c r="C3" s="6"/>
      <c r="D3" s="5" t="s">
        <v>103</v>
      </c>
      <c r="E3" s="6"/>
      <c r="F3" s="7" t="s">
        <v>1</v>
      </c>
      <c r="G3" s="8"/>
    </row>
    <row r="4" spans="1:8" ht="22.5" customHeight="1" x14ac:dyDescent="0.2">
      <c r="A4" s="9"/>
      <c r="B4" s="10" t="s">
        <v>95</v>
      </c>
      <c r="C4" s="11" t="s">
        <v>365</v>
      </c>
      <c r="D4" s="12" t="s">
        <v>366</v>
      </c>
      <c r="E4" s="12"/>
      <c r="F4" s="12" t="s">
        <v>408</v>
      </c>
      <c r="G4" s="5"/>
    </row>
    <row r="5" spans="1:8" ht="28.5" customHeight="1" x14ac:dyDescent="0.2">
      <c r="A5" s="13"/>
      <c r="B5" s="14"/>
      <c r="C5" s="15"/>
      <c r="D5" s="16" t="s">
        <v>297</v>
      </c>
      <c r="E5" s="16" t="s">
        <v>298</v>
      </c>
      <c r="F5" s="16" t="s">
        <v>297</v>
      </c>
      <c r="G5" s="17" t="s">
        <v>298</v>
      </c>
      <c r="H5" s="18"/>
    </row>
    <row r="6" spans="1:8" ht="15.75" customHeight="1" x14ac:dyDescent="0.2">
      <c r="A6" s="19" t="s">
        <v>96</v>
      </c>
      <c r="B6" s="20">
        <v>2959137.7240300002</v>
      </c>
      <c r="C6" s="21">
        <f>IF(1808523.91457="","-",2959137.72403/1808523.91457*100)</f>
        <v>163.62170829980835</v>
      </c>
      <c r="D6" s="21">
        <v>100</v>
      </c>
      <c r="E6" s="21">
        <v>100</v>
      </c>
      <c r="F6" s="21">
        <f>IF(1525216.45469="","-",(1808523.91457-1525216.45469)/1525216.45469*100)</f>
        <v>18.574901877621176</v>
      </c>
      <c r="G6" s="21">
        <f>IF(1808523.91457="","-",(2959137.72403-1808523.91457)/1808523.91457*100)</f>
        <v>63.621708299808319</v>
      </c>
    </row>
    <row r="7" spans="1:8" x14ac:dyDescent="0.2">
      <c r="A7" s="22" t="s">
        <v>119</v>
      </c>
      <c r="B7" s="23"/>
      <c r="C7" s="23"/>
      <c r="D7" s="23"/>
      <c r="E7" s="23"/>
      <c r="F7" s="23"/>
      <c r="G7" s="23"/>
    </row>
    <row r="8" spans="1:8" x14ac:dyDescent="0.2">
      <c r="A8" s="24" t="s">
        <v>128</v>
      </c>
      <c r="B8" s="20">
        <v>1759251.7765599999</v>
      </c>
      <c r="C8" s="20">
        <f>IF(1131961.86572="","-",1759251.77656/1131961.86572*100)</f>
        <v>155.41616991143104</v>
      </c>
      <c r="D8" s="20">
        <f>IF(1131961.86572="","-",1131961.86572/1808523.91457*100)</f>
        <v>62.590373099331586</v>
      </c>
      <c r="E8" s="20">
        <f>IF(1759251.77656="","-",1759251.77656/2959137.72403*100)</f>
        <v>59.451500424390666</v>
      </c>
      <c r="F8" s="20">
        <f>IF(1525216.45469="","-",(1131961.86572-991055.31629)/1525216.45469*100)</f>
        <v>9.2384624488357705</v>
      </c>
      <c r="G8" s="20">
        <f>IF(1808523.91457="","-",(1759251.77656-1131961.86572)/1808523.91457*100)</f>
        <v>34.685187504924222</v>
      </c>
    </row>
    <row r="9" spans="1:8" ht="15.75" customHeight="1" x14ac:dyDescent="0.2">
      <c r="A9" s="25" t="s">
        <v>2</v>
      </c>
      <c r="B9" s="26">
        <v>836576.05787999998</v>
      </c>
      <c r="C9" s="26" t="s">
        <v>99</v>
      </c>
      <c r="D9" s="26">
        <f>IF(495361.60105="","-",495361.60105/1808523.91457*100)</f>
        <v>27.390381573570654</v>
      </c>
      <c r="E9" s="26">
        <f>IF(836576.05788="","-",836576.05788/2959137.72403*100)</f>
        <v>28.270940250144257</v>
      </c>
      <c r="F9" s="26">
        <f>IF(OR(1525216.45469="",414068.16234="",495361.60105=""),"-",(495361.60105-414068.16234)/1525216.45469*100)</f>
        <v>5.3299607711433259</v>
      </c>
      <c r="G9" s="26">
        <f>IF(OR(1808523.91457="",836576.05788="",495361.60105=""),"-",(836576.05788-495361.60105)/1808523.91457*100)</f>
        <v>18.867013816133483</v>
      </c>
    </row>
    <row r="10" spans="1:8" ht="15.75" customHeight="1" x14ac:dyDescent="0.2">
      <c r="A10" s="25" t="s">
        <v>3</v>
      </c>
      <c r="B10" s="26">
        <v>242488.53422999999</v>
      </c>
      <c r="C10" s="26" t="s">
        <v>99</v>
      </c>
      <c r="D10" s="26">
        <f>IF(138686.14444="","-",138686.14444/1808523.91457*100)</f>
        <v>7.6684716924506038</v>
      </c>
      <c r="E10" s="26">
        <f>IF(242488.53423="","-",242488.53423/2959137.72403*100)</f>
        <v>8.1945673653796316</v>
      </c>
      <c r="F10" s="26">
        <f>IF(OR(1525216.45469="",138598.84888="",138686.14444=""),"-",(138686.14444-138598.84888)/1525216.45469*100)</f>
        <v>5.7234866389991486E-3</v>
      </c>
      <c r="G10" s="26">
        <f>IF(OR(1808523.91457="",242488.53423="",138686.14444=""),"-",(242488.53423-138686.14444)/1808523.91457*100)</f>
        <v>5.7396194185621452</v>
      </c>
    </row>
    <row r="11" spans="1:8" ht="13.5" customHeight="1" x14ac:dyDescent="0.2">
      <c r="A11" s="25" t="s">
        <v>4</v>
      </c>
      <c r="B11" s="26">
        <v>161391.7298</v>
      </c>
      <c r="C11" s="26">
        <f>IF(OR(168868.66032="",161391.7298=""),"-",161391.7298/168868.66032*100)</f>
        <v>95.572339766401015</v>
      </c>
      <c r="D11" s="26">
        <f>IF(168868.66032="","-",168868.66032/1808523.91457*100)</f>
        <v>9.3373750249883045</v>
      </c>
      <c r="E11" s="26">
        <f>IF(161391.7298="","-",161391.7298/2959137.72403*100)</f>
        <v>5.4540121093182279</v>
      </c>
      <c r="F11" s="26">
        <f>IF(OR(1525216.45469="",138067.93702="",168868.66032=""),"-",(168868.66032-138067.93702)/1525216.45469*100)</f>
        <v>2.0194329273912945</v>
      </c>
      <c r="G11" s="26">
        <f>IF(OR(1808523.91457="",161391.7298="",168868.66032=""),"-",(161391.7298-168868.66032)/1808523.91457*100)</f>
        <v>-0.41342724084341076</v>
      </c>
    </row>
    <row r="12" spans="1:8" ht="15.75" customHeight="1" x14ac:dyDescent="0.2">
      <c r="A12" s="25" t="s">
        <v>6</v>
      </c>
      <c r="B12" s="26">
        <v>124128.16710000001</v>
      </c>
      <c r="C12" s="26" t="s">
        <v>338</v>
      </c>
      <c r="D12" s="26">
        <f>IF(28158.42324="","-",28158.42324/1808523.91457*100)</f>
        <v>1.5569837375744644</v>
      </c>
      <c r="E12" s="26">
        <f>IF(124128.1671="","-",124128.1671/2959137.72403*100)</f>
        <v>4.1947411265114063</v>
      </c>
      <c r="F12" s="26">
        <f>IF(OR(1525216.45469="",23259.39528="",28158.42324=""),"-",(28158.42324-23259.39528)/1525216.45469*100)</f>
        <v>0.32120214445206247</v>
      </c>
      <c r="G12" s="26">
        <f>IF(OR(1808523.91457="",124128.1671="",28158.42324=""),"-",(124128.1671-28158.42324)/1808523.91457*100)</f>
        <v>5.3065233523781217</v>
      </c>
    </row>
    <row r="13" spans="1:8" s="27" customFormat="1" x14ac:dyDescent="0.2">
      <c r="A13" s="25" t="s">
        <v>5</v>
      </c>
      <c r="B13" s="26">
        <v>81807.102740000002</v>
      </c>
      <c r="C13" s="26">
        <f>IF(OR(66306.10299="",81807.10274=""),"-",81807.10274/66306.10299*100)</f>
        <v>123.37793815501085</v>
      </c>
      <c r="D13" s="26">
        <f>IF(66306.10299="","-",66306.10299/1808523.91457*100)</f>
        <v>3.666310545070405</v>
      </c>
      <c r="E13" s="26">
        <f>IF(81807.10274="","-",81807.10274/2959137.72403*100)</f>
        <v>2.7645588130514005</v>
      </c>
      <c r="F13" s="26">
        <f>IF(OR(1525216.45469="",63168.76583="",66306.10299=""),"-",(66306.10299-63168.76583)/1525216.45469*100)</f>
        <v>0.2056978306490711</v>
      </c>
      <c r="G13" s="26">
        <f>IF(OR(1808523.91457="",81807.10274="",66306.10299=""),"-",(81807.10274-66306.10299)/1808523.91457*100)</f>
        <v>0.85710781179720064</v>
      </c>
    </row>
    <row r="14" spans="1:8" s="27" customFormat="1" x14ac:dyDescent="0.2">
      <c r="A14" s="25" t="s">
        <v>299</v>
      </c>
      <c r="B14" s="26">
        <v>65766.646949999995</v>
      </c>
      <c r="C14" s="26">
        <f>IF(OR(54329.48313="",65766.64695=""),"-",65766.64695/54329.48313*100)</f>
        <v>121.05148652460591</v>
      </c>
      <c r="D14" s="26">
        <f>IF(54329.48313="","-",54329.48313/1808523.91457*100)</f>
        <v>3.0040787789592232</v>
      </c>
      <c r="E14" s="26">
        <f>IF(65766.64695="","-",65766.64695/2959137.72403*100)</f>
        <v>2.2224936141341032</v>
      </c>
      <c r="F14" s="26">
        <f>IF(OR(1525216.45469="",51162.64291="",54329.48313=""),"-",(54329.48313-51162.64291)/1525216.45469*100)</f>
        <v>0.20763218297717997</v>
      </c>
      <c r="G14" s="26">
        <f>IF(OR(1808523.91457="",65766.64695="",54329.48313=""),"-",(65766.64695-54329.48313)/1808523.91457*100)</f>
        <v>0.63240323934114673</v>
      </c>
    </row>
    <row r="15" spans="1:8" s="27" customFormat="1" x14ac:dyDescent="0.2">
      <c r="A15" s="25" t="s">
        <v>323</v>
      </c>
      <c r="B15" s="26">
        <v>50966.64602</v>
      </c>
      <c r="C15" s="26" t="s">
        <v>193</v>
      </c>
      <c r="D15" s="26">
        <f>IF(23263.64499="","-",23263.64499/1808523.91457*100)</f>
        <v>1.2863332800070399</v>
      </c>
      <c r="E15" s="26">
        <f>IF(50966.64602="","-",50966.64602/2959137.72403*100)</f>
        <v>1.7223478855384051</v>
      </c>
      <c r="F15" s="26">
        <f>IF(OR(1525216.45469="",22797.84012="",23263.64499=""),"-",(23263.64499-22797.84012)/1525216.45469*100)</f>
        <v>3.0540246833009332E-2</v>
      </c>
      <c r="G15" s="26">
        <f>IF(OR(1808523.91457="",50966.64602="",23263.64499=""),"-",(50966.64602-23263.64499)/1808523.91457*100)</f>
        <v>1.5318017531765262</v>
      </c>
    </row>
    <row r="16" spans="1:8" s="27" customFormat="1" x14ac:dyDescent="0.2">
      <c r="A16" s="25" t="s">
        <v>40</v>
      </c>
      <c r="B16" s="26">
        <v>36415.450270000001</v>
      </c>
      <c r="C16" s="26">
        <f>IF(OR(25329.29058="",36415.45027=""),"-",36415.45027/25329.29058*100)</f>
        <v>143.76814129470182</v>
      </c>
      <c r="D16" s="26">
        <f>IF(25329.29058="","-",25329.29058/1808523.91457*100)</f>
        <v>1.4005504918093585</v>
      </c>
      <c r="E16" s="26">
        <f>IF(36415.45027="","-",36415.45027/2959137.72403*100)</f>
        <v>1.2306101866866272</v>
      </c>
      <c r="F16" s="26">
        <f>IF(OR(1525216.45469="",12999.28927="",25329.29058=""),"-",(25329.29058-12999.28927)/1525216.45469*100)</f>
        <v>0.80840993237947145</v>
      </c>
      <c r="G16" s="26">
        <f>IF(OR(1808523.91457="",36415.45027="",25329.29058=""),"-",(36415.45027-25329.29058)/1808523.91457*100)</f>
        <v>0.6129949181587615</v>
      </c>
    </row>
    <row r="17" spans="1:7" s="27" customFormat="1" x14ac:dyDescent="0.2">
      <c r="A17" s="25" t="s">
        <v>289</v>
      </c>
      <c r="B17" s="26">
        <v>28108.797620000001</v>
      </c>
      <c r="C17" s="26">
        <f>IF(OR(21633.29758="",28108.79762=""),"-",28108.79762/21633.29758*100)</f>
        <v>129.9330234609568</v>
      </c>
      <c r="D17" s="26">
        <f>IF(21633.29758="","-",21633.29758/1808523.91457*100)</f>
        <v>1.1961853202888719</v>
      </c>
      <c r="E17" s="26">
        <f>IF(28108.79762="","-",28108.79762/2959137.72403*100)</f>
        <v>0.94989825555395579</v>
      </c>
      <c r="F17" s="26">
        <f>IF(OR(1525216.45469="",21506.17834="",21633.29758=""),"-",(21633.29758-21506.17834)/1525216.45469*100)</f>
        <v>8.3345048900509647E-3</v>
      </c>
      <c r="G17" s="26">
        <f>IF(OR(1808523.91457="",28108.79762="",21633.29758=""),"-",(28108.79762-21633.29758)/1808523.91457*100)</f>
        <v>0.35805443255858943</v>
      </c>
    </row>
    <row r="18" spans="1:7" s="27" customFormat="1" x14ac:dyDescent="0.2">
      <c r="A18" s="25" t="s">
        <v>38</v>
      </c>
      <c r="B18" s="26">
        <v>24722.084169999998</v>
      </c>
      <c r="C18" s="26">
        <f>IF(OR(20057.65553="",24722.08417=""),"-",24722.08417/20057.65553*100)</f>
        <v>123.25510393287725</v>
      </c>
      <c r="D18" s="26">
        <f>IF(20057.65553="","-",20057.65553/1808523.91457*100)</f>
        <v>1.1090622229769611</v>
      </c>
      <c r="E18" s="26">
        <f>IF(24722.08417="","-",24722.08417/2959137.72403*100)</f>
        <v>0.8354489204487382</v>
      </c>
      <c r="F18" s="26">
        <f>IF(OR(1525216.45469="",23082.78459="",20057.65553=""),"-",(20057.65553-23082.78459)/1525216.45469*100)</f>
        <v>-0.19834096666724305</v>
      </c>
      <c r="G18" s="26">
        <f>IF(OR(1808523.91457="",24722.08417="",20057.65553=""),"-",(24722.08417-20057.65553)/1808523.91457*100)</f>
        <v>0.25791357263357095</v>
      </c>
    </row>
    <row r="19" spans="1:7" s="28" customFormat="1" x14ac:dyDescent="0.2">
      <c r="A19" s="25" t="s">
        <v>8</v>
      </c>
      <c r="B19" s="26">
        <v>23150.791209999999</v>
      </c>
      <c r="C19" s="26">
        <f>IF(OR(18448.49642="",23150.79121=""),"-",23150.79121/18448.49642*100)</f>
        <v>125.48876983222463</v>
      </c>
      <c r="D19" s="26">
        <f>IF(18448.49642="","-",18448.49642/1808523.91457*100)</f>
        <v>1.0200858430111701</v>
      </c>
      <c r="E19" s="26">
        <f>IF(23150.79121="","-",23150.79121/2959137.72403*100)</f>
        <v>0.78234923038564497</v>
      </c>
      <c r="F19" s="26">
        <f>IF(OR(1525216.45469="",23080.49045="",18448.49642=""),"-",(18448.49642-23080.49045)/1525216.45469*100)</f>
        <v>-0.30369420784549911</v>
      </c>
      <c r="G19" s="26">
        <f>IF(OR(1808523.91457="",23150.79121="",18448.49642=""),"-",(23150.79121-18448.49642)/1808523.91457*100)</f>
        <v>0.26000733261622538</v>
      </c>
    </row>
    <row r="20" spans="1:7" s="27" customFormat="1" x14ac:dyDescent="0.2">
      <c r="A20" s="25" t="s">
        <v>49</v>
      </c>
      <c r="B20" s="26">
        <v>14852.1983</v>
      </c>
      <c r="C20" s="26">
        <f>IF(OR(16154.27511="",14852.1983=""),"-",14852.1983/16154.27511*100)</f>
        <v>91.939738545160878</v>
      </c>
      <c r="D20" s="26">
        <f>IF(16154.27511="","-",16154.27511/1808523.91457*100)</f>
        <v>0.89322983123730981</v>
      </c>
      <c r="E20" s="26">
        <f>IF(14852.1983="","-",14852.1983/2959137.72403*100)</f>
        <v>0.50190966710981733</v>
      </c>
      <c r="F20" s="26">
        <f>IF(OR(1525216.45469="",9049.47396="",16154.27511=""),"-",(16154.27511-9049.47396)/1525216.45469*100)</f>
        <v>0.46582248232065204</v>
      </c>
      <c r="G20" s="26">
        <f>IF(OR(1808523.91457="",14852.1983="",16154.27511=""),"-",(14852.1983-16154.27511)/1808523.91457*100)</f>
        <v>-7.1996659790345433E-2</v>
      </c>
    </row>
    <row r="21" spans="1:7" s="27" customFormat="1" x14ac:dyDescent="0.2">
      <c r="A21" s="25" t="s">
        <v>7</v>
      </c>
      <c r="B21" s="26">
        <v>14365.03148</v>
      </c>
      <c r="C21" s="26">
        <f>IF(OR(12721.41744="",14365.03148=""),"-",14365.03148/12721.41744*100)</f>
        <v>112.92005429231477</v>
      </c>
      <c r="D21" s="26">
        <f>IF(12721.41744="","-",12721.41744/1808523.91457*100)</f>
        <v>0.70341438880141549</v>
      </c>
      <c r="E21" s="26">
        <f>IF(14365.03148="","-",14365.03148/2959137.72403*100)</f>
        <v>0.4854465327296934</v>
      </c>
      <c r="F21" s="26">
        <f>IF(OR(1525216.45469="",11920.12224="",12721.41744=""),"-",(12721.41744-11920.12224)/1525216.45469*100)</f>
        <v>5.2536490642756783E-2</v>
      </c>
      <c r="G21" s="26">
        <f>IF(OR(1808523.91457="",14365.03148="",12721.41744=""),"-",(14365.03148-12721.41744)/1808523.91457*100)</f>
        <v>9.0881520933097024E-2</v>
      </c>
    </row>
    <row r="22" spans="1:7" s="27" customFormat="1" x14ac:dyDescent="0.2">
      <c r="A22" s="25" t="s">
        <v>39</v>
      </c>
      <c r="B22" s="26">
        <v>13209.960950000001</v>
      </c>
      <c r="C22" s="26">
        <f>IF(OR(15306.74461="",13209.96095=""),"-",13209.96095/15306.74461*100)</f>
        <v>86.301570233097408</v>
      </c>
      <c r="D22" s="26">
        <f>IF(15306.74461="","-",15306.74461/1808523.91457*100)</f>
        <v>0.84636672408279301</v>
      </c>
      <c r="E22" s="26">
        <f>IF(13209.96095="","-",13209.96095/2959137.72403*100)</f>
        <v>0.44641250870911053</v>
      </c>
      <c r="F22" s="26">
        <f>IF(OR(1525216.45469="",7146.59311="",15306.74461=""),"-",(15306.74461-7146.59311)/1525216.45469*100)</f>
        <v>0.53501596281024577</v>
      </c>
      <c r="G22" s="26">
        <f>IF(OR(1808523.91457="",13209.96095="",15306.74461=""),"-",(13209.96095-15306.74461)/1808523.91457*100)</f>
        <v>-0.11593895126891572</v>
      </c>
    </row>
    <row r="23" spans="1:7" s="27" customFormat="1" x14ac:dyDescent="0.2">
      <c r="A23" s="25" t="s">
        <v>45</v>
      </c>
      <c r="B23" s="26">
        <v>11962.073969999999</v>
      </c>
      <c r="C23" s="26" t="s">
        <v>295</v>
      </c>
      <c r="D23" s="26">
        <f>IF(4346.02082="","-",4346.02082/1808523.91457*100)</f>
        <v>0.24030762241998455</v>
      </c>
      <c r="E23" s="26">
        <f>IF(11962.07397="","-",11962.07397/2959137.72403*100)</f>
        <v>0.40424188008759021</v>
      </c>
      <c r="F23" s="26">
        <f>IF(OR(1525216.45469="",9994.89822="",4346.02082=""),"-",(4346.02082-9994.89822)/1525216.45469*100)</f>
        <v>-0.37036562139294077</v>
      </c>
      <c r="G23" s="26">
        <f>IF(OR(1808523.91457="",11962.07397="",4346.02082=""),"-",(11962.07397-4346.02082)/1808523.91457*100)</f>
        <v>0.42111984744259329</v>
      </c>
    </row>
    <row r="24" spans="1:7" s="27" customFormat="1" x14ac:dyDescent="0.2">
      <c r="A24" s="25" t="s">
        <v>41</v>
      </c>
      <c r="B24" s="26">
        <v>8967.2154100000007</v>
      </c>
      <c r="C24" s="26" t="s">
        <v>18</v>
      </c>
      <c r="D24" s="26">
        <f>IF(4438.57374="","-",4438.57374/1808523.91457*100)</f>
        <v>0.24542521689879496</v>
      </c>
      <c r="E24" s="26">
        <f>IF(8967.21541="","-",8967.21541/2959137.72403*100)</f>
        <v>0.30303474343829123</v>
      </c>
      <c r="F24" s="26">
        <f>IF(OR(1525216.45469="",4339.30666="",4438.57374=""),"-",(4438.57374-4339.30666)/1525216.45469*100)</f>
        <v>6.5083929362783873E-3</v>
      </c>
      <c r="G24" s="26">
        <f>IF(OR(1808523.91457="",8967.21541="",4438.57374=""),"-",(8967.21541-4438.57374)/1808523.91457*100)</f>
        <v>0.25040540705687842</v>
      </c>
    </row>
    <row r="25" spans="1:7" s="27" customFormat="1" x14ac:dyDescent="0.2">
      <c r="A25" s="25" t="s">
        <v>42</v>
      </c>
      <c r="B25" s="26">
        <v>8761.4061799999999</v>
      </c>
      <c r="C25" s="26">
        <f>IF(OR(8294.6137="",8761.40618=""),"-",8761.40618/8294.6137*100)</f>
        <v>105.62765786187245</v>
      </c>
      <c r="D25" s="26">
        <f>IF(8294.6137="","-",8294.6137/1808523.91457*100)</f>
        <v>0.458639978889754</v>
      </c>
      <c r="E25" s="26">
        <f>IF(8761.40618="","-",8761.40618/2959137.72403*100)</f>
        <v>0.29607970284221807</v>
      </c>
      <c r="F25" s="26">
        <f>IF(OR(1525216.45469="",5596.8271="",8294.6137=""),"-",(8294.6137-5596.8271)/1525216.45469*100)</f>
        <v>0.1768789335903358</v>
      </c>
      <c r="G25" s="26">
        <f>IF(OR(1808523.91457="",8761.40618="",8294.6137=""),"-",(8761.40618-8294.6137)/1808523.91457*100)</f>
        <v>2.5810688829679428E-2</v>
      </c>
    </row>
    <row r="26" spans="1:7" s="29" customFormat="1" x14ac:dyDescent="0.2">
      <c r="A26" s="25" t="s">
        <v>43</v>
      </c>
      <c r="B26" s="26">
        <v>3836.3213300000002</v>
      </c>
      <c r="C26" s="26">
        <f>IF(OR(3636.81626="",3836.32133=""),"-",3836.32133/3636.81626*100)</f>
        <v>105.48570661086958</v>
      </c>
      <c r="D26" s="26">
        <f>IF(3636.81626="","-",3636.81626/1808523.91457*100)</f>
        <v>0.20109306991744702</v>
      </c>
      <c r="E26" s="26">
        <f>IF(3836.32133="","-",3836.32133/2959137.72403*100)</f>
        <v>0.12964321663188352</v>
      </c>
      <c r="F26" s="26">
        <f>IF(OR(1525216.45469="",4715.46279="",3636.81626=""),"-",(3636.81626-4715.46279)/1525216.45469*100)</f>
        <v>-7.0720882054687392E-2</v>
      </c>
      <c r="G26" s="26">
        <f>IF(OR(1808523.91457="",3836.32133="",3636.81626=""),"-",(3836.32133-3636.81626)/1808523.91457*100)</f>
        <v>1.1031375830461997E-2</v>
      </c>
    </row>
    <row r="27" spans="1:7" s="29" customFormat="1" x14ac:dyDescent="0.2">
      <c r="A27" s="25" t="s">
        <v>290</v>
      </c>
      <c r="B27" s="26">
        <v>2379.9489699999999</v>
      </c>
      <c r="C27" s="26" t="s">
        <v>349</v>
      </c>
      <c r="D27" s="26">
        <f>IF(653.24416="","-",653.24416/1808523.91457*100)</f>
        <v>3.6120294276303068E-2</v>
      </c>
      <c r="E27" s="26">
        <f>IF(2379.94897="","-",2379.94897/2959137.72403*100)</f>
        <v>8.0427110596217447E-2</v>
      </c>
      <c r="F27" s="26">
        <f>IF(OR(1525216.45469="",806.90419="",653.24416=""),"-",(653.24416-806.90419)/1525216.45469*100)</f>
        <v>-1.0074637572096701E-2</v>
      </c>
      <c r="G27" s="26">
        <f>IF(OR(1808523.91457="",2379.94897="",653.24416=""),"-",(2379.94897-653.24416)/1808523.91457*100)</f>
        <v>9.5475918017404057E-2</v>
      </c>
    </row>
    <row r="28" spans="1:7" s="27" customFormat="1" x14ac:dyDescent="0.2">
      <c r="A28" s="25" t="s">
        <v>44</v>
      </c>
      <c r="B28" s="26">
        <v>2156.2863299999999</v>
      </c>
      <c r="C28" s="26">
        <f>IF(OR(2324.00745="",2156.28633=""),"-",2156.28633/2324.00745*100)</f>
        <v>92.783107472396438</v>
      </c>
      <c r="D28" s="26">
        <f>IF(2324.00745="","-",2324.00745/1808523.91457*100)</f>
        <v>0.12850299801275025</v>
      </c>
      <c r="E28" s="26">
        <f>IF(2156.28633="","-",2156.28633/2959137.72403*100)</f>
        <v>7.2868738500734248E-2</v>
      </c>
      <c r="F28" s="26">
        <f>IF(OR(1525216.45469="",3594.55751="",2324.00745=""),"-",(2324.00745-3594.55751)/1525216.45469*100)</f>
        <v>-8.330293422242413E-2</v>
      </c>
      <c r="G28" s="26">
        <f>IF(OR(1808523.91457="",2156.28633="",2324.00745=""),"-",(2156.28633-2324.00745)/1808523.91457*100)</f>
        <v>-9.2739232613287294E-3</v>
      </c>
    </row>
    <row r="29" spans="1:7" s="27" customFormat="1" x14ac:dyDescent="0.2">
      <c r="A29" s="25" t="s">
        <v>46</v>
      </c>
      <c r="B29" s="26">
        <v>1112.3716999999999</v>
      </c>
      <c r="C29" s="26">
        <f>IF(OR(974.53272="",1112.3717=""),"-",1112.3717/974.53272*100)</f>
        <v>114.14411000997482</v>
      </c>
      <c r="D29" s="26">
        <f>IF(974.53272="","-",974.53272/1808523.91457*100)</f>
        <v>5.3885531297036118E-2</v>
      </c>
      <c r="E29" s="26">
        <f>IF(1112.3717="","-",1112.3717/2959137.72403*100)</f>
        <v>3.7591075635542898E-2</v>
      </c>
      <c r="F29" s="26">
        <f>IF(OR(1525216.45469="",484.77653="",974.53272=""),"-",(974.53272-484.77653)/1525216.45469*100)</f>
        <v>3.2110602301333217E-2</v>
      </c>
      <c r="G29" s="26">
        <f>IF(OR(1808523.91457="",1112.3717="",974.53272=""),"-",(1112.3717-974.53272)/1808523.91457*100)</f>
        <v>7.6216288261121996E-3</v>
      </c>
    </row>
    <row r="30" spans="1:7" s="29" customFormat="1" x14ac:dyDescent="0.2">
      <c r="A30" s="25" t="s">
        <v>48</v>
      </c>
      <c r="B30" s="26">
        <v>1094.0558000000001</v>
      </c>
      <c r="C30" s="26" t="s">
        <v>99</v>
      </c>
      <c r="D30" s="26">
        <f>IF(631.5551="","-",631.5551/1808523.91457*100)</f>
        <v>3.4921025644837018E-2</v>
      </c>
      <c r="E30" s="26">
        <f>IF(1094.0558="","-",1094.0558/2959137.72403*100)</f>
        <v>3.6972114921032598E-2</v>
      </c>
      <c r="F30" s="26">
        <f>IF(OR(1525216.45469="",311.10724="",631.5551=""),"-",(631.5551-311.10724)/1525216.45469*100)</f>
        <v>2.1009992320410089E-2</v>
      </c>
      <c r="G30" s="26">
        <f>IF(OR(1808523.91457="",1094.0558="",631.5551=""),"-",(1094.0558-631.5551)/1808523.91457*100)</f>
        <v>2.5573380383524847E-2</v>
      </c>
    </row>
    <row r="31" spans="1:7" s="29" customFormat="1" x14ac:dyDescent="0.2">
      <c r="A31" s="25" t="s">
        <v>51</v>
      </c>
      <c r="B31" s="26">
        <v>661.12869000000001</v>
      </c>
      <c r="C31" s="26">
        <f>IF(OR(494.07829="",661.12869=""),"-",661.12869/494.07829*100)</f>
        <v>133.81051209515803</v>
      </c>
      <c r="D31" s="26">
        <f>IF(494.07829="","-",494.07829/1808523.91457*100)</f>
        <v>2.7319422542304257E-2</v>
      </c>
      <c r="E31" s="26">
        <f>IF(661.12869="","-",661.12869/2959137.72403*100)</f>
        <v>2.2341937133619448E-2</v>
      </c>
      <c r="F31" s="26">
        <f>IF(OR(1525216.45469="",211.70042="",494.07829=""),"-",(494.07829-211.70042)/1525216.45469*100)</f>
        <v>1.8513953814994294E-2</v>
      </c>
      <c r="G31" s="26">
        <f>IF(OR(1808523.91457="",661.12869="",494.07829=""),"-",(661.12869-494.07829)/1808523.91457*100)</f>
        <v>9.2368366629931135E-3</v>
      </c>
    </row>
    <row r="32" spans="1:7" s="29" customFormat="1" x14ac:dyDescent="0.2">
      <c r="A32" s="25" t="s">
        <v>47</v>
      </c>
      <c r="B32" s="26">
        <v>223.16570999999999</v>
      </c>
      <c r="C32" s="26">
        <f>IF(OR(1236.98094="",223.16571=""),"-",223.16571/1236.98094*100)</f>
        <v>18.041159955140458</v>
      </c>
      <c r="D32" s="26">
        <f>IF(1236.98094="","-",1236.98094/1808523.91457*100)</f>
        <v>6.8397267519357527E-2</v>
      </c>
      <c r="E32" s="26">
        <f>IF(223.16571="","-",223.16571/2959137.72403*100)</f>
        <v>7.5415790278282263E-3</v>
      </c>
      <c r="F32" s="26">
        <f>IF(OR(1525216.45469="",919.28934="",1236.98094=""),"-",(1236.98094-919.28934)/1525216.45469*100)</f>
        <v>2.0829279609665019E-2</v>
      </c>
      <c r="G32" s="26">
        <f>IF(OR(1808523.91457="",223.16571="",1236.98094=""),"-",(223.16571-1236.98094)/1808523.91457*100)</f>
        <v>-5.6057607081244902E-2</v>
      </c>
    </row>
    <row r="33" spans="1:7" s="29" customFormat="1" x14ac:dyDescent="0.2">
      <c r="A33" s="25" t="s">
        <v>52</v>
      </c>
      <c r="B33" s="26">
        <v>89.609800000000007</v>
      </c>
      <c r="C33" s="26" t="s">
        <v>377</v>
      </c>
      <c r="D33" s="26">
        <f>IF(9.4542="","-",9.4542/1808523.91457*100)</f>
        <v>5.2275780949503556E-4</v>
      </c>
      <c r="E33" s="26">
        <f>IF(89.6098="","-",89.6098/2959137.72403*100)</f>
        <v>3.028240263111577E-3</v>
      </c>
      <c r="F33" s="26">
        <f>IF(OR(1525216.45469="",28.70659="",9.4542=""),"-",(9.4542-28.70659)/1525216.45469*100)</f>
        <v>-1.2622726394538567E-3</v>
      </c>
      <c r="G33" s="26">
        <f>IF(OR(1808523.91457="",89.6098="",9.4542=""),"-",(89.6098-9.4542)/1808523.91457*100)</f>
        <v>4.4321006404307375E-3</v>
      </c>
    </row>
    <row r="34" spans="1:7" s="29" customFormat="1" x14ac:dyDescent="0.2">
      <c r="A34" s="25" t="s">
        <v>50</v>
      </c>
      <c r="B34" s="26">
        <v>49.144820000000003</v>
      </c>
      <c r="C34" s="26">
        <f>IF(OR(295.25684="",49.14482=""),"-",49.14482/295.25684*100)</f>
        <v>16.644769347257121</v>
      </c>
      <c r="D34" s="26">
        <f>IF(295.25684="","-",295.25684/1808523.91457*100)</f>
        <v>1.6325846599059272E-2</v>
      </c>
      <c r="E34" s="26">
        <f>IF(49.14482="","-",49.14482/2959137.72403*100)</f>
        <v>1.6607817743971207E-3</v>
      </c>
      <c r="F34" s="26">
        <f>IF(OR(1525216.45469="",140.88572="",295.25684=""),"-",(295.25684-140.88572)/1525216.45469*100)</f>
        <v>1.0121259807112159E-2</v>
      </c>
      <c r="G34" s="26">
        <f>IF(OR(1808523.91457="",49.14482="",295.25684=""),"-",(49.14482-295.25684)/1808523.91457*100)</f>
        <v>-1.3608447088658836E-2</v>
      </c>
    </row>
    <row r="35" spans="1:7" s="27" customFormat="1" ht="14.25" customHeight="1" x14ac:dyDescent="0.2">
      <c r="A35" s="25" t="s">
        <v>53</v>
      </c>
      <c r="B35" s="26">
        <v>9.8491300000000006</v>
      </c>
      <c r="C35" s="26" t="s">
        <v>360</v>
      </c>
      <c r="D35" s="26">
        <f>IF(1.49407="","-",1.49407/1808523.91457*100)</f>
        <v>8.261267589349154E-5</v>
      </c>
      <c r="E35" s="26">
        <f>IF(9.84913="","-",9.84913/2959137.72403*100)</f>
        <v>3.3283783718544315E-4</v>
      </c>
      <c r="F35" s="26">
        <f>IF(OR(1525216.45469="",2.36964="",1.49407=""),"-",(1.49407-2.36964)/1525216.45469*100)</f>
        <v>-5.7406278125812602E-5</v>
      </c>
      <c r="G35" s="26">
        <f>IF(OR(1808523.91457="",9.84913="",1.49407=""),"-",(9.84913-1.49407)/1808523.91457*100)</f>
        <v>4.6198227917746521E-4</v>
      </c>
    </row>
    <row r="36" spans="1:7" s="27" customFormat="1" ht="14.25" customHeight="1" x14ac:dyDescent="0.2">
      <c r="A36" s="24" t="s">
        <v>130</v>
      </c>
      <c r="B36" s="20">
        <v>622503.15211000002</v>
      </c>
      <c r="C36" s="20" t="s">
        <v>193</v>
      </c>
      <c r="D36" s="20">
        <f>IF(282408.59374="","-",282408.59374/1808523.91457*100)</f>
        <v>15.615419374044953</v>
      </c>
      <c r="E36" s="20">
        <f>IF(622503.15211="","-",622503.15211/2959137.72403*100)</f>
        <v>21.036640067641844</v>
      </c>
      <c r="F36" s="20">
        <f>IF(1525216.45469="","-",(282408.59374-247022.36364)/1525216.45469*100)</f>
        <v>2.3200792248987527</v>
      </c>
      <c r="G36" s="20">
        <f>IF(1808523.91457="","-",(622503.15211-282408.59374)/1808523.91457*100)</f>
        <v>18.805090473512589</v>
      </c>
    </row>
    <row r="37" spans="1:7" s="27" customFormat="1" ht="14.25" customHeight="1" x14ac:dyDescent="0.2">
      <c r="A37" s="25" t="s">
        <v>10</v>
      </c>
      <c r="B37" s="26">
        <v>410394.66613000003</v>
      </c>
      <c r="C37" s="26" t="s">
        <v>378</v>
      </c>
      <c r="D37" s="26">
        <f>IF(55957.02821="","-",55957.02821/1808523.91457*100)</f>
        <v>3.094071787450182</v>
      </c>
      <c r="E37" s="26">
        <f>IF(410394.66613="","-",410394.66613/2959137.72403*100)</f>
        <v>13.868724757125882</v>
      </c>
      <c r="F37" s="26">
        <f>IF(OR(1525216.45469="",38862.21319="",55957.02821=""),"-",(55957.02821-38862.21319)/1525216.45469*100)</f>
        <v>1.1208123914106678</v>
      </c>
      <c r="G37" s="26">
        <f>IF(OR(1808523.91457="",410394.66613="",55957.02821=""),"-",(410394.66613-55957.02821)/1808523.91457*100)</f>
        <v>19.59817257955763</v>
      </c>
    </row>
    <row r="38" spans="1:7" s="29" customFormat="1" ht="14.25" customHeight="1" x14ac:dyDescent="0.2">
      <c r="A38" s="25" t="s">
        <v>291</v>
      </c>
      <c r="B38" s="26">
        <v>146647.08606999999</v>
      </c>
      <c r="C38" s="26">
        <f>IF(OR(168922.78548="",146647.08607=""),"-",146647.08607/168922.78548*100)</f>
        <v>86.813087798248873</v>
      </c>
      <c r="D38" s="26">
        <f>IF(168922.78548="","-",168922.78548/1808523.91457*100)</f>
        <v>9.3403678059830124</v>
      </c>
      <c r="E38" s="26">
        <f>IF(146647.08607="","-",146647.08607/2959137.72403*100)</f>
        <v>4.9557371013568021</v>
      </c>
      <c r="F38" s="26">
        <f>IF(OR(1525216.45469="",150604.40687="",168922.78548=""),"-",(168922.78548-150604.40687)/1525216.45469*100)</f>
        <v>1.2010346828918255</v>
      </c>
      <c r="G38" s="26">
        <f>IF(OR(1808523.91457="",146647.08607="",168922.78548=""),"-",(146647.08607-168922.78548)/1808523.91457*100)</f>
        <v>-1.2317061018956079</v>
      </c>
    </row>
    <row r="39" spans="1:7" s="27" customFormat="1" ht="14.25" customHeight="1" x14ac:dyDescent="0.2">
      <c r="A39" s="25" t="s">
        <v>9</v>
      </c>
      <c r="B39" s="26">
        <v>44723.750910000002</v>
      </c>
      <c r="C39" s="26">
        <f>IF(OR(40820.77061="",44723.75091=""),"-",44723.75091/40820.77061*100)</f>
        <v>109.56126070546026</v>
      </c>
      <c r="D39" s="26">
        <f>IF(40820.77061="","-",40820.77061/1808523.91457*100)</f>
        <v>2.2571319229530715</v>
      </c>
      <c r="E39" s="26">
        <f>IF(44723.75091="","-",44723.75091/2959137.72403*100)</f>
        <v>1.5113778093806149</v>
      </c>
      <c r="F39" s="26">
        <f>IF(OR(1525216.45469="",42482.22502="",40820.77061=""),"-",(40820.77061-42482.22502)/1525216.45469*100)</f>
        <v>-0.10893236857569104</v>
      </c>
      <c r="G39" s="26">
        <f>IF(OR(1808523.91457="",44723.75091="",40820.77061=""),"-",(44723.75091-40820.77061)/1808523.91457*100)</f>
        <v>0.21581026761971167</v>
      </c>
    </row>
    <row r="40" spans="1:7" s="29" customFormat="1" ht="14.25" customHeight="1" x14ac:dyDescent="0.2">
      <c r="A40" s="25" t="s">
        <v>11</v>
      </c>
      <c r="B40" s="26">
        <v>9622.1203800000003</v>
      </c>
      <c r="C40" s="26">
        <f>IF(OR(7910.32739="",9622.12038=""),"-",9622.12038/7910.32739*100)</f>
        <v>121.63997652188199</v>
      </c>
      <c r="D40" s="26">
        <f>IF(7910.32739="","-",7910.32739/1808523.91457*100)</f>
        <v>0.4373913624405007</v>
      </c>
      <c r="E40" s="26">
        <f>IF(9622.12038="","-",9622.12038/2959137.72403*100)</f>
        <v>0.32516635849229064</v>
      </c>
      <c r="F40" s="26">
        <f>IF(OR(1525216.45469="",9763.12026="",7910.32739=""),"-",(7910.32739-9763.12026)/1525216.45469*100)</f>
        <v>-0.1214773722315092</v>
      </c>
      <c r="G40" s="26">
        <f>IF(OR(1808523.91457="",9622.12038="",7910.32739=""),"-",(9622.12038-7910.32739)/1808523.91457*100)</f>
        <v>9.4651388140864073E-2</v>
      </c>
    </row>
    <row r="41" spans="1:7" s="29" customFormat="1" ht="14.25" customHeight="1" x14ac:dyDescent="0.2">
      <c r="A41" s="25" t="s">
        <v>13</v>
      </c>
      <c r="B41" s="26">
        <v>5354.74622</v>
      </c>
      <c r="C41" s="26">
        <f>IF(OR(4453.13444="",5354.74622=""),"-",5354.74622/4453.13444*100)</f>
        <v>120.246677753569</v>
      </c>
      <c r="D41" s="26">
        <f>IF(4453.13444="","-",4453.13444/1808523.91457*100)</f>
        <v>0.24623033204727016</v>
      </c>
      <c r="E41" s="26">
        <f>IF(5354.74622="","-",5354.74622/2959137.72403*100)</f>
        <v>0.18095630279443231</v>
      </c>
      <c r="F41" s="26">
        <f>IF(OR(1525216.45469="",2161.97109="",4453.13444=""),"-",(4453.13444-2161.97109)/1525216.45469*100)</f>
        <v>0.15021889797705326</v>
      </c>
      <c r="G41" s="26">
        <f>IF(OR(1808523.91457="",5354.74622="",4453.13444=""),"-",(5354.74622-4453.13444)/1808523.91457*100)</f>
        <v>4.9853461861153768E-2</v>
      </c>
    </row>
    <row r="42" spans="1:7" s="29" customFormat="1" ht="14.25" customHeight="1" x14ac:dyDescent="0.2">
      <c r="A42" s="25" t="s">
        <v>12</v>
      </c>
      <c r="B42" s="26">
        <v>1895.8380199999999</v>
      </c>
      <c r="C42" s="26">
        <f>IF(OR(2144.6118="",1895.83802=""),"-",1895.83802/2144.6118*100)</f>
        <v>88.400055431943443</v>
      </c>
      <c r="D42" s="26">
        <f>IF(2144.6118="","-",2144.6118/1808523.91457*100)</f>
        <v>0.11858354665494758</v>
      </c>
      <c r="E42" s="26">
        <f>IF(1895.83802="","-",1895.83802/2959137.72403*100)</f>
        <v>6.4067245150661312E-2</v>
      </c>
      <c r="F42" s="26">
        <f>IF(OR(1525216.45469="",1473.12545="",2144.6118=""),"-",(2144.6118-1473.12545)/1525216.45469*100)</f>
        <v>4.4025642913515482E-2</v>
      </c>
      <c r="G42" s="26">
        <f>IF(OR(1808523.91457="",1895.83802="",2144.6118=""),"-",(1895.83802-2144.6118)/1808523.91457*100)</f>
        <v>-1.3755625678809417E-2</v>
      </c>
    </row>
    <row r="43" spans="1:7" s="29" customFormat="1" x14ac:dyDescent="0.2">
      <c r="A43" s="25" t="s">
        <v>15</v>
      </c>
      <c r="B43" s="26">
        <v>1716.36214</v>
      </c>
      <c r="C43" s="26" t="s">
        <v>339</v>
      </c>
      <c r="D43" s="26">
        <f>IF(647.32172="","-",647.32172/1808523.91457*100)</f>
        <v>3.5792820586168977E-2</v>
      </c>
      <c r="E43" s="26">
        <f>IF(1716.36214="","-",1716.36214/2959137.72403*100)</f>
        <v>5.8002103993406398E-2</v>
      </c>
      <c r="F43" s="26">
        <f>IF(OR(1525216.45469="",780.72652="",647.32172=""),"-",(647.32172-780.72652)/1525216.45469*100)</f>
        <v>-8.7466142651283236E-3</v>
      </c>
      <c r="G43" s="26">
        <f>IF(OR(1808523.91457="",1716.36214="",647.32172=""),"-",(1716.36214-647.32172)/1808523.91457*100)</f>
        <v>5.9111212817673904E-2</v>
      </c>
    </row>
    <row r="44" spans="1:7" s="29" customFormat="1" x14ac:dyDescent="0.2">
      <c r="A44" s="25" t="s">
        <v>14</v>
      </c>
      <c r="B44" s="26">
        <v>1095.00676</v>
      </c>
      <c r="C44" s="26" t="s">
        <v>278</v>
      </c>
      <c r="D44" s="26">
        <f>IF(448.37146="","-",448.37146/1808523.91457*100)</f>
        <v>2.4792122259915273E-2</v>
      </c>
      <c r="E44" s="26">
        <f>IF(1095.00676="","-",1095.00676/2959137.72403*100)</f>
        <v>3.7004251309693308E-2</v>
      </c>
      <c r="F44" s="26">
        <f>IF(OR(1525216.45469="",326.59073="",448.37146=""),"-",(448.37146-326.59073)/1525216.45469*100)</f>
        <v>7.9844883410172696E-3</v>
      </c>
      <c r="G44" s="26">
        <f>IF(OR(1808523.91457="",1095.00676="",448.37146=""),"-",(1095.00676-448.37146)/1808523.91457*100)</f>
        <v>3.5754865876559107E-2</v>
      </c>
    </row>
    <row r="45" spans="1:7" s="29" customFormat="1" x14ac:dyDescent="0.2">
      <c r="A45" s="25" t="s">
        <v>300</v>
      </c>
      <c r="B45" s="26">
        <v>992.61685</v>
      </c>
      <c r="C45" s="26">
        <f>IF(OR(893.49424="",992.61685=""),"-",992.61685/893.49424*100)</f>
        <v>111.09381634066271</v>
      </c>
      <c r="D45" s="26">
        <f>IF(893.49424="","-",893.49424/1808523.91457*100)</f>
        <v>4.9404612944387839E-2</v>
      </c>
      <c r="E45" s="26">
        <f>IF(992.61685="","-",992.61685/2959137.72403*100)</f>
        <v>3.354412476105275E-2</v>
      </c>
      <c r="F45" s="26">
        <f>IF(OR(1525216.45469="",386.90615="",893.49424=""),"-",(893.49424-386.90615)/1525216.45469*100)</f>
        <v>3.3214176810265526E-2</v>
      </c>
      <c r="G45" s="26">
        <f>IF(OR(1808523.91457="",992.61685="",893.49424=""),"-",(992.61685-893.49424)/1808523.91457*100)</f>
        <v>5.480857023865659E-3</v>
      </c>
    </row>
    <row r="46" spans="1:7" s="27" customFormat="1" x14ac:dyDescent="0.2">
      <c r="A46" s="25" t="s">
        <v>16</v>
      </c>
      <c r="B46" s="26">
        <v>60.958629999999999</v>
      </c>
      <c r="C46" s="26">
        <f>IF(OR(210.74839="",60.95863=""),"-",60.95863/210.74839*100)</f>
        <v>28.924837812521364</v>
      </c>
      <c r="D46" s="26">
        <f>IF(210.74839="","-",210.74839/1808523.91457*100)</f>
        <v>1.1653060725498239E-2</v>
      </c>
      <c r="E46" s="26">
        <f>IF(60.95863="","-",60.95863/2959137.72403*100)</f>
        <v>2.060013277009002E-3</v>
      </c>
      <c r="F46" s="26">
        <f>IF(OR(1525216.45469="",181.07836="",210.74839=""),"-",(210.74839-181.07836)/1525216.45469*100)</f>
        <v>1.9452996267359591E-3</v>
      </c>
      <c r="G46" s="26">
        <f>IF(OR(1808523.91457="",60.95863="",210.74839=""),"-",(60.95863-210.74839)/1808523.91457*100)</f>
        <v>-8.2824318104532477E-3</v>
      </c>
    </row>
    <row r="47" spans="1:7" s="29" customFormat="1" x14ac:dyDescent="0.2">
      <c r="A47" s="24" t="s">
        <v>131</v>
      </c>
      <c r="B47" s="20">
        <v>577382.79535999999</v>
      </c>
      <c r="C47" s="20">
        <f>IF(394153.45511="","-",577382.79536/394153.45511*100)</f>
        <v>146.48680301403536</v>
      </c>
      <c r="D47" s="20">
        <f>IF(394153.45511="","-",394153.45511/1808523.91457*100)</f>
        <v>21.794207526623449</v>
      </c>
      <c r="E47" s="20">
        <f>IF(577382.79536="","-",577382.79536/2959137.72403*100)</f>
        <v>19.511859507967479</v>
      </c>
      <c r="F47" s="20">
        <f>IF(1525216.45469="","-",(394153.45511-287138.77476)/1525216.45469*100)</f>
        <v>7.0163602038866468</v>
      </c>
      <c r="G47" s="20">
        <f>IF(1808523.91457="","-",(577382.79536-394153.45511)/1808523.91457*100)</f>
        <v>10.131430321371512</v>
      </c>
    </row>
    <row r="48" spans="1:7" s="28" customFormat="1" x14ac:dyDescent="0.2">
      <c r="A48" s="30" t="s">
        <v>54</v>
      </c>
      <c r="B48" s="26">
        <v>256256.69789000001</v>
      </c>
      <c r="C48" s="26">
        <f>IF(OR(162103.29763="",256256.69789=""),"-",256256.69789/162103.29763*100)</f>
        <v>158.08234726655883</v>
      </c>
      <c r="D48" s="26">
        <f>IF(162103.29763="","-",162103.29763/1808523.91457*100)</f>
        <v>8.9632930106175657</v>
      </c>
      <c r="E48" s="26">
        <f>IF(256256.69789="","-",256256.69789/2959137.72403*100)</f>
        <v>8.6598435689234599</v>
      </c>
      <c r="F48" s="26">
        <f>IF(OR(1525216.45469="",103062.19451="",162103.29763=""),"-",(162103.29763-103062.19451)/1525216.45469*100)</f>
        <v>3.8709983057454016</v>
      </c>
      <c r="G48" s="26">
        <f>IF(OR(1808523.91457="",256256.69789="",162103.29763=""),"-",(256256.69789-162103.29763)/1808523.91457*100)</f>
        <v>5.2060909729460896</v>
      </c>
    </row>
    <row r="49" spans="1:7" s="27" customFormat="1" x14ac:dyDescent="0.2">
      <c r="A49" s="25" t="s">
        <v>292</v>
      </c>
      <c r="B49" s="26">
        <v>57923.173649999997</v>
      </c>
      <c r="C49" s="26">
        <f>IF(OR(44195.36787="",57923.17365=""),"-",57923.17365/44195.36787*100)</f>
        <v>131.06163935636903</v>
      </c>
      <c r="D49" s="26">
        <f>IF(44195.36787="","-",44195.36787/1808523.91457*100)</f>
        <v>2.4437259310728008</v>
      </c>
      <c r="E49" s="26">
        <f>IF(57923.17365="","-",57923.17365/2959137.72403*100)</f>
        <v>1.9574341937392288</v>
      </c>
      <c r="F49" s="26">
        <f>IF(OR(1525216.45469="",42732.16752="",44195.36787=""),"-",(44195.36787-42732.16752)/1525216.45469*100)</f>
        <v>9.5933947309622639E-2</v>
      </c>
      <c r="G49" s="26">
        <f>IF(OR(1808523.91457="",57923.17365="",44195.36787=""),"-",(57923.17365-44195.36787)/1808523.91457*100)</f>
        <v>0.75906133556790478</v>
      </c>
    </row>
    <row r="50" spans="1:7" s="29" customFormat="1" x14ac:dyDescent="0.2">
      <c r="A50" s="25" t="s">
        <v>70</v>
      </c>
      <c r="B50" s="26">
        <v>51848.508889999997</v>
      </c>
      <c r="C50" s="26" t="s">
        <v>356</v>
      </c>
      <c r="D50" s="26">
        <f>IF(17.81651="","-",17.81651/1808523.91457*100)</f>
        <v>9.851409680825872E-4</v>
      </c>
      <c r="E50" s="26">
        <f>IF(51848.50889="","-",51848.50889/2959137.72403*100)</f>
        <v>1.7521492314791074</v>
      </c>
      <c r="F50" s="26">
        <f>IF(OR(1525216.45469="",70.05237="",17.81651=""),"-",(17.81651-70.05237)/1525216.45469*100)</f>
        <v>-3.4248161852290611E-3</v>
      </c>
      <c r="G50" s="26">
        <f>IF(OR(1808523.91457="",51848.50889="",17.81651=""),"-",(51848.50889-17.81651)/1808523.91457*100)</f>
        <v>2.865911363539996</v>
      </c>
    </row>
    <row r="51" spans="1:7" s="29" customFormat="1" ht="24" x14ac:dyDescent="0.2">
      <c r="A51" s="30" t="s">
        <v>293</v>
      </c>
      <c r="B51" s="26">
        <v>47566.642010000003</v>
      </c>
      <c r="C51" s="26">
        <f>IF(OR(39221.13315="",47566.64201=""),"-",47566.64201/39221.13315*100)</f>
        <v>121.2780921654733</v>
      </c>
      <c r="D51" s="26">
        <f>IF(39221.13315="","-",39221.13315/1808523.91457*100)</f>
        <v>2.168682030357632</v>
      </c>
      <c r="E51" s="26">
        <f>IF(47566.64201="","-",47566.64201/2959137.72403*100)</f>
        <v>1.607449414190151</v>
      </c>
      <c r="F51" s="26">
        <f>IF(OR(1525216.45469="",26275.86633="",39221.13315=""),"-",(39221.13315-26275.86633)/1525216.45469*100)</f>
        <v>0.84874948602827149</v>
      </c>
      <c r="G51" s="26">
        <f>IF(OR(1808523.91457="",47566.64201="",39221.13315=""),"-",(47566.64201-39221.13315)/1808523.91457*100)</f>
        <v>0.4614541611955546</v>
      </c>
    </row>
    <row r="52" spans="1:7" s="28" customFormat="1" x14ac:dyDescent="0.2">
      <c r="A52" s="30" t="s">
        <v>17</v>
      </c>
      <c r="B52" s="26">
        <v>25664.33844</v>
      </c>
      <c r="C52" s="31">
        <f>IF(OR(15805.10137="",25664.33844=""),"-",25664.33844/15805.10137*100)</f>
        <v>162.38009386459254</v>
      </c>
      <c r="D52" s="26">
        <f>IF(15805.10137="","-",15805.10137/1808523.91457*100)</f>
        <v>0.87392271911194874</v>
      </c>
      <c r="E52" s="26">
        <f>IF(25664.33844="","-",25664.33844/2959137.72403*100)</f>
        <v>0.86729111090673283</v>
      </c>
      <c r="F52" s="26">
        <f>IF(OR(1525216.45469="",16849.31254="",15805.10137=""),"-",(15805.10137-16849.31254)/1525216.45469*100)</f>
        <v>-6.8463146118642834E-2</v>
      </c>
      <c r="G52" s="26">
        <f>IF(OR(1808523.91457="",25664.33844="",15805.10137=""),"-",(25664.33844-15805.10137)/1808523.91457*100)</f>
        <v>0.54515381248603278</v>
      </c>
    </row>
    <row r="53" spans="1:7" s="29" customFormat="1" x14ac:dyDescent="0.2">
      <c r="A53" s="25" t="s">
        <v>58</v>
      </c>
      <c r="B53" s="26">
        <v>15671.90769</v>
      </c>
      <c r="C53" s="26">
        <f>IF(OR(14629.00065="",15671.90769=""),"-",15671.90769/14629.00065*100)</f>
        <v>107.12903816844113</v>
      </c>
      <c r="D53" s="26">
        <f>IF(14629.00065="","-",14629.00065/1808523.91457*100)</f>
        <v>0.808891744927699</v>
      </c>
      <c r="E53" s="26">
        <f>IF(15671.90769="","-",15671.90769/2959137.72403*100)</f>
        <v>0.52961062145687132</v>
      </c>
      <c r="F53" s="26">
        <f>IF(OR(1525216.45469="",9515.48221="",14629.00065=""),"-",(14629.00065-9515.48221)/1525216.45469*100)</f>
        <v>0.33526509789978115</v>
      </c>
      <c r="G53" s="26">
        <f>IF(OR(1808523.91457="",15671.90769="",14629.00065=""),"-",(15671.90769-14629.00065)/1808523.91457*100)</f>
        <v>5.7666201237265069E-2</v>
      </c>
    </row>
    <row r="54" spans="1:7" s="27" customFormat="1" x14ac:dyDescent="0.2">
      <c r="A54" s="30" t="s">
        <v>64</v>
      </c>
      <c r="B54" s="26">
        <v>11083.748809999999</v>
      </c>
      <c r="C54" s="26" t="s">
        <v>99</v>
      </c>
      <c r="D54" s="26">
        <f>IF(6485.69607="","-",6485.69607/1808523.91457*100)</f>
        <v>0.35861820890226148</v>
      </c>
      <c r="E54" s="26">
        <f>IF(11083.74881="","-",11083.74881/2959137.72403*100)</f>
        <v>0.37456008620326148</v>
      </c>
      <c r="F54" s="26">
        <f>IF(OR(1525216.45469="",5652.59781="",6485.69607=""),"-",(6485.69607-5652.59781)/1525216.45469*100)</f>
        <v>5.4621641239067723E-2</v>
      </c>
      <c r="G54" s="26">
        <f>IF(OR(1808523.91457="",11083.74881="",6485.69607=""),"-",(11083.74881-6485.69607)/1808523.91457*100)</f>
        <v>0.25424340275274965</v>
      </c>
    </row>
    <row r="55" spans="1:7" s="29" customFormat="1" x14ac:dyDescent="0.2">
      <c r="A55" s="25" t="s">
        <v>56</v>
      </c>
      <c r="B55" s="26">
        <v>10971.181860000001</v>
      </c>
      <c r="C55" s="26">
        <f>IF(OR(13409.68715="",10971.18186=""),"-",10971.18186/13409.68715*100)</f>
        <v>81.815345408710755</v>
      </c>
      <c r="D55" s="26">
        <f>IF(13409.68715="","-",13409.68715/1808523.91457*100)</f>
        <v>0.74147137574281552</v>
      </c>
      <c r="E55" s="26">
        <f>IF(10971.18186="","-",10971.18186/2959137.72403*100)</f>
        <v>0.37075604054881678</v>
      </c>
      <c r="F55" s="26">
        <f>IF(OR(1525216.45469="",13394.27644="",13409.68715=""),"-",(13409.68715-13394.27644)/1525216.45469*100)</f>
        <v>1.0103949477211962E-3</v>
      </c>
      <c r="G55" s="26">
        <f>IF(OR(1808523.91457="",10971.18186="",13409.68715=""),"-",(10971.18186-13409.68715)/1808523.91457*100)</f>
        <v>-0.13483400857211145</v>
      </c>
    </row>
    <row r="56" spans="1:7" s="27" customFormat="1" x14ac:dyDescent="0.2">
      <c r="A56" s="25" t="s">
        <v>66</v>
      </c>
      <c r="B56" s="26">
        <v>9281.19182</v>
      </c>
      <c r="C56" s="26" t="s">
        <v>100</v>
      </c>
      <c r="D56" s="26">
        <f>IF(4901.5061="","-",4901.5061/1808523.91457*100)</f>
        <v>0.27102246536592778</v>
      </c>
      <c r="E56" s="26">
        <f>IF(9281.19182="","-",9281.19182/2959137.72403*100)</f>
        <v>0.31364514549732075</v>
      </c>
      <c r="F56" s="26">
        <f>IF(OR(1525216.45469="",3295.46615="",4901.5061=""),"-",(4901.5061-3295.46615)/1525216.45469*100)</f>
        <v>0.10529914918380727</v>
      </c>
      <c r="G56" s="26">
        <f>IF(OR(1808523.91457="",9281.19182="",4901.5061=""),"-",(9281.19182-4901.5061)/1808523.91457*100)</f>
        <v>0.24216907969620782</v>
      </c>
    </row>
    <row r="57" spans="1:7" s="29" customFormat="1" x14ac:dyDescent="0.2">
      <c r="A57" s="25" t="s">
        <v>61</v>
      </c>
      <c r="B57" s="26">
        <v>7637.65625</v>
      </c>
      <c r="C57" s="26" t="s">
        <v>193</v>
      </c>
      <c r="D57" s="26">
        <f>IF(3511.32166="","-",3511.32166/1808523.91457*100)</f>
        <v>0.19415400768061516</v>
      </c>
      <c r="E57" s="26">
        <f>IF(7637.65625="","-",7637.65625/2959137.72403*100)</f>
        <v>0.25810411553262902</v>
      </c>
      <c r="F57" s="26">
        <f>IF(OR(1525216.45469="",193.44042="",3511.32166=""),"-",(3511.32166-193.44042)/1525216.45469*100)</f>
        <v>0.2175351065612755</v>
      </c>
      <c r="G57" s="26">
        <f>IF(OR(1808523.91457="",7637.65625="",3511.32166=""),"-",(7637.65625-3511.32166)/1808523.91457*100)</f>
        <v>0.22816035534598336</v>
      </c>
    </row>
    <row r="58" spans="1:7" s="27" customFormat="1" x14ac:dyDescent="0.2">
      <c r="A58" s="25" t="s">
        <v>55</v>
      </c>
      <c r="B58" s="26">
        <v>6066.3257999999996</v>
      </c>
      <c r="C58" s="26">
        <f>IF(OR(3801.46819="",6066.3258=""),"-",6066.3258/3801.46819*100)</f>
        <v>159.57849695961809</v>
      </c>
      <c r="D58" s="26">
        <f>IF(3801.46819="","-",3801.46819/1808523.91457*100)</f>
        <v>0.21019728627165254</v>
      </c>
      <c r="E58" s="26">
        <f>IF(6066.3258="","-",6066.3258/2959137.72403*100)</f>
        <v>0.20500315854641507</v>
      </c>
      <c r="F58" s="26">
        <f>IF(OR(1525216.45469="",4928.3009="",3801.46819=""),"-",(3801.46819-4928.3009)/1525216.45469*100)</f>
        <v>-7.3880183139581238E-2</v>
      </c>
      <c r="G58" s="26">
        <f>IF(OR(1808523.91457="",6066.3258="",3801.46819=""),"-",(6066.3258-3801.46819)/1808523.91457*100)</f>
        <v>0.12523238381055629</v>
      </c>
    </row>
    <row r="59" spans="1:7" s="29" customFormat="1" x14ac:dyDescent="0.2">
      <c r="A59" s="25" t="s">
        <v>35</v>
      </c>
      <c r="B59" s="26">
        <v>5988.7218000000003</v>
      </c>
      <c r="C59" s="26" t="s">
        <v>193</v>
      </c>
      <c r="D59" s="26">
        <f>IF(2718.20147="","-",2718.20147/1808523.91457*100)</f>
        <v>0.15029944852270796</v>
      </c>
      <c r="E59" s="26">
        <f>IF(5988.7218="","-",5988.7218/2959137.72403*100)</f>
        <v>0.20238063782459104</v>
      </c>
      <c r="F59" s="26">
        <f>IF(OR(1525216.45469="",2973.80438="",2718.20147=""),"-",(2718.20147-2973.80438)/1525216.45469*100)</f>
        <v>-1.6758467902311697E-2</v>
      </c>
      <c r="G59" s="26">
        <f>IF(OR(1808523.91457="",5988.7218="",2718.20147=""),"-",(5988.7218-2718.20147)/1808523.91457*100)</f>
        <v>0.18083920835393591</v>
      </c>
    </row>
    <row r="60" spans="1:7" s="29" customFormat="1" x14ac:dyDescent="0.2">
      <c r="A60" s="25" t="s">
        <v>60</v>
      </c>
      <c r="B60" s="26">
        <v>5395.8531599999997</v>
      </c>
      <c r="C60" s="26">
        <f>IF(OR(8199.12149="",5395.85316=""),"-",5395.85316/8199.12149*100)</f>
        <v>65.810137910275074</v>
      </c>
      <c r="D60" s="26">
        <f>IF(8199.12149="","-",8199.12149/1808523.91457*100)</f>
        <v>0.45335986015697488</v>
      </c>
      <c r="E60" s="26">
        <f>IF(5395.85316="","-",5395.85316/2959137.72403*100)</f>
        <v>0.18234545544069769</v>
      </c>
      <c r="F60" s="26">
        <f>IF(OR(1525216.45469="",3039.27115="",8199.12149=""),"-",(8199.12149-3039.27115)/1525216.45469*100)</f>
        <v>0.33830282410956142</v>
      </c>
      <c r="G60" s="26">
        <f>IF(OR(1808523.91457="",5395.85316="",8199.12149=""),"-",(5395.85316-8199.12149)/1808523.91457*100)</f>
        <v>-0.1550031109578395</v>
      </c>
    </row>
    <row r="61" spans="1:7" s="27" customFormat="1" x14ac:dyDescent="0.2">
      <c r="A61" s="25" t="s">
        <v>57</v>
      </c>
      <c r="B61" s="26">
        <v>5240.0495499999997</v>
      </c>
      <c r="C61" s="26">
        <f>IF(OR(7907.28422="",5240.04955=""),"-",5240.04955/7907.28422*100)</f>
        <v>66.268637931924502</v>
      </c>
      <c r="D61" s="26">
        <f>IF(7907.28422="","-",7907.28422/1808523.91457*100)</f>
        <v>0.43722309427575684</v>
      </c>
      <c r="E61" s="26">
        <f>IF(5240.04955="","-",5240.04955/2959137.72403*100)</f>
        <v>0.17708028617416507</v>
      </c>
      <c r="F61" s="26">
        <f>IF(OR(1525216.45469="",6452.81694="",7907.28422=""),"-",(7907.28422-6452.81694)/1525216.45469*100)</f>
        <v>9.5361368252194739E-2</v>
      </c>
      <c r="G61" s="26">
        <f>IF(OR(1808523.91457="",5240.04955="",7907.28422=""),"-",(5240.04955-7907.28422)/1808523.91457*100)</f>
        <v>-0.14748130497539866</v>
      </c>
    </row>
    <row r="62" spans="1:7" s="28" customFormat="1" x14ac:dyDescent="0.2">
      <c r="A62" s="30" t="s">
        <v>115</v>
      </c>
      <c r="B62" s="26">
        <v>4083.0096600000002</v>
      </c>
      <c r="C62" s="26" t="s">
        <v>193</v>
      </c>
      <c r="D62" s="26">
        <f>IF(1866.45314="","-",1866.45314/1808523.91457*100)</f>
        <v>0.10320312189201952</v>
      </c>
      <c r="E62" s="26">
        <f>IF(4083.00966="","-",4083.00966/2959137.72403*100)</f>
        <v>0.13797971033397585</v>
      </c>
      <c r="F62" s="26">
        <f>IF(OR(1525216.45469="",3314.59665="",1866.45314=""),"-",(1866.45314-3314.59665)/1525216.45469*100)</f>
        <v>-9.4946753658931293E-2</v>
      </c>
      <c r="G62" s="26">
        <f>IF(OR(1808523.91457="",4083.00966="",1866.45314=""),"-",(4083.00966-1866.45314)/1808523.91457*100)</f>
        <v>0.12256163726355894</v>
      </c>
    </row>
    <row r="63" spans="1:7" s="29" customFormat="1" x14ac:dyDescent="0.2">
      <c r="A63" s="25" t="s">
        <v>65</v>
      </c>
      <c r="B63" s="26">
        <v>3665.7453</v>
      </c>
      <c r="C63" s="26" t="s">
        <v>348</v>
      </c>
      <c r="D63" s="26">
        <f>IF(789.41019="","-",789.41019/1808523.91457*100)</f>
        <v>4.3649419487366441E-2</v>
      </c>
      <c r="E63" s="26">
        <f>IF(3665.7453="","-",3665.7453/2959137.72403*100)</f>
        <v>0.12387883369644867</v>
      </c>
      <c r="F63" s="26">
        <f>IF(OR(1525216.45469="",3143.24012="",789.41019=""),"-",(789.41019-3143.24012)/1525216.45469*100)</f>
        <v>-0.15432759873275922</v>
      </c>
      <c r="G63" s="26">
        <f>IF(OR(1808523.91457="",3665.7453="",789.41019=""),"-",(3665.7453-789.41019)/1808523.91457*100)</f>
        <v>0.15904324442864146</v>
      </c>
    </row>
    <row r="64" spans="1:7" s="29" customFormat="1" x14ac:dyDescent="0.2">
      <c r="A64" s="25" t="s">
        <v>73</v>
      </c>
      <c r="B64" s="26">
        <v>2485.6736000000001</v>
      </c>
      <c r="C64" s="26">
        <f>IF(OR(2043.19366="",2485.6736=""),"-",2485.6736/2043.19366*100)</f>
        <v>121.65628979095405</v>
      </c>
      <c r="D64" s="26">
        <f>IF(2043.19366="","-",2043.19366/1808523.91457*100)</f>
        <v>0.11297576125698042</v>
      </c>
      <c r="E64" s="26">
        <f>IF(2485.6736="","-",2485.6736/2959137.72403*100)</f>
        <v>8.3999929432645767E-2</v>
      </c>
      <c r="F64" s="26">
        <f>IF(OR(1525216.45469="",1355.98493="",2043.19366=""),"-",(2043.19366-1355.98493)/1525216.45469*100)</f>
        <v>4.5056472337867276E-2</v>
      </c>
      <c r="G64" s="26">
        <f>IF(OR(1808523.91457="",2485.6736="",2043.19366=""),"-",(2485.6736-2043.19366)/1808523.91457*100)</f>
        <v>2.4466358251348061E-2</v>
      </c>
    </row>
    <row r="65" spans="1:7" s="29" customFormat="1" x14ac:dyDescent="0.2">
      <c r="A65" s="25" t="s">
        <v>72</v>
      </c>
      <c r="B65" s="26">
        <v>2366.3478799999998</v>
      </c>
      <c r="C65" s="26">
        <f>IF(OR(12442.78957="",2366.34788=""),"-",2366.34788/12442.78957*100)</f>
        <v>19.017824473262387</v>
      </c>
      <c r="D65" s="26">
        <f>IF(12442.78957="","-",12442.78957/1808523.91457*100)</f>
        <v>0.68800801967600378</v>
      </c>
      <c r="E65" s="26">
        <f>IF(2366.34788="","-",2366.34788/2959137.72403*100)</f>
        <v>7.9967480417819495E-2</v>
      </c>
      <c r="F65" s="26">
        <f>IF(OR(1525216.45469="",476.1796="",12442.78957=""),"-",(12442.78957-476.1796)/1525216.45469*100)</f>
        <v>0.78458437379186374</v>
      </c>
      <c r="G65" s="26">
        <f>IF(OR(1808523.91457="",2366.34788="",12442.78957=""),"-",(2366.34788-12442.78957)/1808523.91457*100)</f>
        <v>-0.55716386213205293</v>
      </c>
    </row>
    <row r="66" spans="1:7" s="29" customFormat="1" x14ac:dyDescent="0.2">
      <c r="A66" s="25" t="s">
        <v>34</v>
      </c>
      <c r="B66" s="26">
        <v>2015.76884</v>
      </c>
      <c r="C66" s="26" t="s">
        <v>322</v>
      </c>
      <c r="D66" s="26">
        <f>IF(645.06518="","-",645.06518/1808523.91457*100)</f>
        <v>3.5668048113888094E-2</v>
      </c>
      <c r="E66" s="26">
        <f>IF(2015.76884="","-",2015.76884/2959137.72403*100)</f>
        <v>6.8120142689903532E-2</v>
      </c>
      <c r="F66" s="26">
        <f>IF(OR(1525216.45469="",437.58829="",645.06518=""),"-",(645.06518-437.58829)/1525216.45469*100)</f>
        <v>1.3603111175598332E-2</v>
      </c>
      <c r="G66" s="26">
        <f>IF(OR(1808523.91457="",2015.76884="",645.06518=""),"-",(2015.76884-645.06518)/1808523.91457*100)</f>
        <v>7.5791293051599068E-2</v>
      </c>
    </row>
    <row r="67" spans="1:7" s="29" customFormat="1" x14ac:dyDescent="0.2">
      <c r="A67" s="25" t="s">
        <v>121</v>
      </c>
      <c r="B67" s="26">
        <v>1942.23948</v>
      </c>
      <c r="C67" s="26">
        <f>IF(OR(1786.13013="",1942.23948=""),"-",1942.23948/1786.13013*100)</f>
        <v>108.74008827117206</v>
      </c>
      <c r="D67" s="26">
        <f>IF(1786.13013="","-",1786.13013/1808523.91457*100)</f>
        <v>9.8761764531307042E-2</v>
      </c>
      <c r="E67" s="26">
        <f>IF(1942.23948="","-",1942.23948/2959137.72403*100)</f>
        <v>6.5635318837235349E-2</v>
      </c>
      <c r="F67" s="26">
        <f>IF(OR(1525216.45469="",1027.38013="",1786.13013=""),"-",(1786.13013-1027.38013)/1525216.45469*100)</f>
        <v>4.9747037390454572E-2</v>
      </c>
      <c r="G67" s="26">
        <f>IF(OR(1808523.91457="",1942.23948="",1786.13013=""),"-",(1942.23948-1786.13013)/1808523.91457*100)</f>
        <v>8.6318653982033165E-3</v>
      </c>
    </row>
    <row r="68" spans="1:7" s="29" customFormat="1" x14ac:dyDescent="0.2">
      <c r="A68" s="25" t="s">
        <v>81</v>
      </c>
      <c r="B68" s="26">
        <v>1764.66139</v>
      </c>
      <c r="C68" s="26" t="s">
        <v>344</v>
      </c>
      <c r="D68" s="26">
        <f>IF(440.26803="","-",440.26803/1808523.91457*100)</f>
        <v>2.4344053537421952E-2</v>
      </c>
      <c r="E68" s="26">
        <f>IF(1764.66139="","-",1764.66139/2959137.72403*100)</f>
        <v>5.9634310889617438E-2</v>
      </c>
      <c r="F68" s="26">
        <f>IF(OR(1525216.45469="",19.65641="",440.26803=""),"-",(440.26803-19.65641)/1525216.45469*100)</f>
        <v>2.7577175600658546E-2</v>
      </c>
      <c r="G68" s="26">
        <f>IF(OR(1808523.91457="",1764.66139="",440.26803=""),"-",(1764.66139-440.26803)/1808523.91457*100)</f>
        <v>7.3230624672988728E-2</v>
      </c>
    </row>
    <row r="69" spans="1:7" s="29" customFormat="1" x14ac:dyDescent="0.2">
      <c r="A69" s="30" t="s">
        <v>87</v>
      </c>
      <c r="B69" s="26">
        <v>1595.22198</v>
      </c>
      <c r="C69" s="26">
        <f>IF(OR(2003.12972="",1595.22198=""),"-",1595.22198/2003.12972*100)</f>
        <v>79.636479059379155</v>
      </c>
      <c r="D69" s="26">
        <f>IF(2003.12972="","-",2003.12972/1808523.91457*100)</f>
        <v>0.11076047730760971</v>
      </c>
      <c r="E69" s="26">
        <f>IF(1595.22198="","-",1595.22198/2959137.72403*100)</f>
        <v>5.3908338467852514E-2</v>
      </c>
      <c r="F69" s="26">
        <f>IF(OR(1525216.45469="",278.65409="",2003.12972=""),"-",(2003.12972-278.65409)/1525216.45469*100)</f>
        <v>0.11306432111306453</v>
      </c>
      <c r="G69" s="26">
        <f>IF(OR(1808523.91457="",1595.22198="",2003.12972=""),"-",(1595.22198-2003.12972)/1808523.91457*100)</f>
        <v>-2.2554732990466717E-2</v>
      </c>
    </row>
    <row r="70" spans="1:7" s="29" customFormat="1" x14ac:dyDescent="0.2">
      <c r="A70" s="25" t="s">
        <v>98</v>
      </c>
      <c r="B70" s="26">
        <v>1540.3656699999999</v>
      </c>
      <c r="C70" s="26" t="s">
        <v>338</v>
      </c>
      <c r="D70" s="26">
        <f>IF(349.62882="","-",349.62882/1808523.91457*100)</f>
        <v>1.9332275187697964E-2</v>
      </c>
      <c r="E70" s="26">
        <f>IF(1540.36567="","-",1540.36567/2959137.72403*100)</f>
        <v>5.2054544724001617E-2</v>
      </c>
      <c r="F70" s="26">
        <f>IF(OR(1525216.45469="",395.39674="",349.62882=""),"-",(349.62882-395.39674)/1525216.45469*100)</f>
        <v>-3.0007491631279526E-3</v>
      </c>
      <c r="G70" s="26">
        <f>IF(OR(1808523.91457="",1540.36567="",349.62882=""),"-",(1540.36567-349.62882)/1808523.91457*100)</f>
        <v>6.5840260137401227E-2</v>
      </c>
    </row>
    <row r="71" spans="1:7" s="29" customFormat="1" x14ac:dyDescent="0.2">
      <c r="A71" s="25" t="s">
        <v>74</v>
      </c>
      <c r="B71" s="26">
        <v>1448.58176</v>
      </c>
      <c r="C71" s="26">
        <f>IF(OR(1858.62346="",1448.58176=""),"-",1448.58176/1858.62346*100)</f>
        <v>77.938420082139714</v>
      </c>
      <c r="D71" s="26">
        <f>IF(1858.62346="","-",1858.62346/1808523.91457*100)</f>
        <v>0.10277018982311395</v>
      </c>
      <c r="E71" s="26">
        <f>IF(1448.58176="","-",1448.58176/2959137.72403*100)</f>
        <v>4.8952833395912394E-2</v>
      </c>
      <c r="F71" s="26">
        <f>IF(OR(1525216.45469="",794.8234="",1858.62346=""),"-",(1858.62346-794.8234)/1525216.45469*100)</f>
        <v>6.9747481200379338E-2</v>
      </c>
      <c r="G71" s="26">
        <f>IF(OR(1808523.91457="",1448.58176="",1858.62346=""),"-",(1448.58176-1858.62346)/1808523.91457*100)</f>
        <v>-2.2672727559563E-2</v>
      </c>
    </row>
    <row r="72" spans="1:7" x14ac:dyDescent="0.2">
      <c r="A72" s="25" t="s">
        <v>75</v>
      </c>
      <c r="B72" s="26">
        <v>1301.6515899999999</v>
      </c>
      <c r="C72" s="26" t="s">
        <v>379</v>
      </c>
      <c r="D72" s="26">
        <f>IF(231.99417="","-",231.99417/1808523.91457*100)</f>
        <v>1.2827818760425937E-2</v>
      </c>
      <c r="E72" s="26">
        <f>IF(1301.65159="","-",1301.65159/2959137.72403*100)</f>
        <v>4.3987529861479455E-2</v>
      </c>
      <c r="F72" s="26">
        <f>IF(OR(1525216.45469="",168.65712="",231.99417=""),"-",(231.99417-168.65712)/1525216.45469*100)</f>
        <v>4.1526597621760674E-3</v>
      </c>
      <c r="G72" s="26">
        <f>IF(OR(1808523.91457="",1301.65159="",231.99417=""),"-",(1301.65159-231.99417)/1808523.91457*100)</f>
        <v>5.9145329037815067E-2</v>
      </c>
    </row>
    <row r="73" spans="1:7" x14ac:dyDescent="0.2">
      <c r="A73" s="30" t="s">
        <v>69</v>
      </c>
      <c r="B73" s="32">
        <v>1106.60771</v>
      </c>
      <c r="C73" s="26" t="s">
        <v>193</v>
      </c>
      <c r="D73" s="26">
        <f>IF(493.86589="","-",493.86589/1808523.91457*100)</f>
        <v>2.7307678157931517E-2</v>
      </c>
      <c r="E73" s="26">
        <f>IF(1106.60771="","-",1106.60771/2959137.72403*100)</f>
        <v>3.7396289500609303E-2</v>
      </c>
      <c r="F73" s="26">
        <f>IF(OR(1525216.45469="",612.17921="",493.86589=""),"-",(493.86589-612.17921)/1525216.45469*100)</f>
        <v>-7.7571494613888877E-3</v>
      </c>
      <c r="G73" s="26">
        <f>IF(OR(1808523.91457="",1106.60771="",493.86589=""),"-",(1106.60771-493.86589)/1808523.91457*100)</f>
        <v>3.388076956370728E-2</v>
      </c>
    </row>
    <row r="74" spans="1:7" x14ac:dyDescent="0.2">
      <c r="A74" s="25" t="s">
        <v>78</v>
      </c>
      <c r="B74" s="26">
        <v>1089.7972600000001</v>
      </c>
      <c r="C74" s="26" t="s">
        <v>380</v>
      </c>
      <c r="D74" s="26">
        <f>IF(9.75744="","-",9.75744/1808523.91457*100)</f>
        <v>5.3952507464187765E-4</v>
      </c>
      <c r="E74" s="26">
        <f>IF(1089.79726="","-",1089.79726/2959137.72403*100)</f>
        <v>3.6828203403653122E-2</v>
      </c>
      <c r="F74" s="26">
        <f>IF(OR(1525216.45469="",4.91="",9.75744=""),"-",(9.75744-4.91)/1525216.45469*100)</f>
        <v>3.1781980748334121E-4</v>
      </c>
      <c r="G74" s="26">
        <f>IF(OR(1808523.91457="",1089.79726="",9.75744=""),"-",(1089.79726-9.75744)/1808523.91457*100)</f>
        <v>5.9719410470543507E-2</v>
      </c>
    </row>
    <row r="75" spans="1:7" x14ac:dyDescent="0.2">
      <c r="A75" s="25" t="s">
        <v>37</v>
      </c>
      <c r="B75" s="26">
        <v>1029.4991500000001</v>
      </c>
      <c r="C75" s="31">
        <f>IF(OR(638.13319="",1029.49915=""),"-",1029.49915/638.13319*100)</f>
        <v>161.32982363760144</v>
      </c>
      <c r="D75" s="26">
        <f>IF(638.13319="","-",638.13319/1808523.91457*100)</f>
        <v>3.5284752657070859E-2</v>
      </c>
      <c r="E75" s="26">
        <f>IF(1029.49915="","-",1029.49915/2959137.72403*100)</f>
        <v>3.4790511493934195E-2</v>
      </c>
      <c r="F75" s="26">
        <f>IF(OR(1525216.45469="",1369.77172="",638.13319=""),"-",(638.13319-1369.77172)/1525216.45469*100)</f>
        <v>-4.7969488379844771E-2</v>
      </c>
      <c r="G75" s="26">
        <f>IF(OR(1808523.91457="",1029.49915="",638.13319=""),"-",(1029.49915-638.13319)/1808523.91457*100)</f>
        <v>2.1640076575545442E-2</v>
      </c>
    </row>
    <row r="76" spans="1:7" x14ac:dyDescent="0.2">
      <c r="A76" s="25" t="s">
        <v>294</v>
      </c>
      <c r="B76" s="26">
        <v>981.30877999999996</v>
      </c>
      <c r="C76" s="26">
        <f>IF(OR(871.14716="",981.30878=""),"-",981.30878/871.14716*100)</f>
        <v>112.64558102904221</v>
      </c>
      <c r="D76" s="26">
        <f>IF(871.14716="","-",871.14716/1808523.91457*100)</f>
        <v>4.8168959944725226E-2</v>
      </c>
      <c r="E76" s="26">
        <f>IF(981.30878="","-",981.30878/2959137.72403*100)</f>
        <v>3.3161984047960155E-2</v>
      </c>
      <c r="F76" s="26">
        <f>IF(OR(1525216.45469="",886.41168="",871.14716=""),"-",(871.14716-886.41168)/1525216.45469*100)</f>
        <v>-1.0008100786653637E-3</v>
      </c>
      <c r="G76" s="26">
        <f>IF(OR(1808523.91457="",981.30878="",871.14716=""),"-",(981.30878-871.14716)/1808523.91457*100)</f>
        <v>6.0912448606571133E-3</v>
      </c>
    </row>
    <row r="77" spans="1:7" x14ac:dyDescent="0.2">
      <c r="A77" s="25" t="s">
        <v>92</v>
      </c>
      <c r="B77" s="26">
        <v>815.89751000000001</v>
      </c>
      <c r="C77" s="26" t="s">
        <v>322</v>
      </c>
      <c r="D77" s="26">
        <f>IF(266.47488="","-",266.47488/1808523.91457*100)</f>
        <v>1.4734385199620533E-2</v>
      </c>
      <c r="E77" s="26">
        <f>IF(815.89751="","-",815.89751/2959137.72403*100)</f>
        <v>2.7572137091640428E-2</v>
      </c>
      <c r="F77" s="26">
        <f>IF(OR(1525216.45469="",208.29895="",266.47488=""),"-",(266.47488-208.29895)/1525216.45469*100)</f>
        <v>3.8142736934885899E-3</v>
      </c>
      <c r="G77" s="26">
        <f>IF(OR(1808523.91457="",815.89751="",266.47488=""),"-",(815.89751-266.47488)/1808523.91457*100)</f>
        <v>3.0379616524486619E-2</v>
      </c>
    </row>
    <row r="78" spans="1:7" x14ac:dyDescent="0.2">
      <c r="A78" s="25" t="s">
        <v>134</v>
      </c>
      <c r="B78" s="26">
        <v>634.79235000000006</v>
      </c>
      <c r="C78" s="26">
        <f>IF(OR(621.31435="",634.79235=""),"-",634.79235/621.31435*100)</f>
        <v>102.16927228543813</v>
      </c>
      <c r="D78" s="26">
        <f>IF(621.31435="","-",621.31435/1808523.91457*100)</f>
        <v>3.4354776566375984E-2</v>
      </c>
      <c r="E78" s="26">
        <f>IF(634.79235="","-",634.79235/2959137.72403*100)</f>
        <v>2.1451936651852993E-2</v>
      </c>
      <c r="F78" s="26">
        <f>IF(OR(1525216.45469="",203.31265="",621.31435=""),"-",(621.31435-203.31265)/1525216.45469*100)</f>
        <v>2.7406057593638986E-2</v>
      </c>
      <c r="G78" s="26">
        <f>IF(OR(1808523.91457="",634.79235="",621.31435=""),"-",(634.79235-621.31435)/1808523.91457*100)</f>
        <v>7.4524864677858772E-4</v>
      </c>
    </row>
    <row r="79" spans="1:7" x14ac:dyDescent="0.2">
      <c r="A79" s="25" t="s">
        <v>84</v>
      </c>
      <c r="B79" s="26">
        <v>601.52963999999997</v>
      </c>
      <c r="C79" s="26" t="s">
        <v>18</v>
      </c>
      <c r="D79" s="26">
        <f>IF(305.1496="","-",305.1496/1808523.91457*100)</f>
        <v>1.6872854018773274E-2</v>
      </c>
      <c r="E79" s="26">
        <f>IF(601.52964="","-",601.52964/2959137.72403*100)</f>
        <v>2.0327868997620929E-2</v>
      </c>
      <c r="F79" s="26">
        <f>IF(OR(1525216.45469="",1122.53902="",305.1496=""),"-",(305.1496-1122.53902)/1525216.45469*100)</f>
        <v>-5.3591699557564383E-2</v>
      </c>
      <c r="G79" s="26">
        <f>IF(OR(1808523.91457="",601.52964="",305.1496=""),"-",(601.52964-305.1496)/1808523.91457*100)</f>
        <v>1.6387952496081212E-2</v>
      </c>
    </row>
    <row r="80" spans="1:7" x14ac:dyDescent="0.2">
      <c r="A80" s="25" t="s">
        <v>89</v>
      </c>
      <c r="B80" s="26">
        <v>461.95161000000002</v>
      </c>
      <c r="C80" s="26">
        <f>IF(OR(529.15237="",461.95161=""),"-",461.95161/529.15237*100)</f>
        <v>87.300300667650802</v>
      </c>
      <c r="D80" s="26">
        <f>IF(529.15237="","-",529.15237/1808523.91457*100)</f>
        <v>2.9258798611231682E-2</v>
      </c>
      <c r="E80" s="26">
        <f>IF(461.95161="","-",461.95161/2959137.72403*100)</f>
        <v>1.5611020948726776E-2</v>
      </c>
      <c r="F80" s="26">
        <f>IF(OR(1525216.45469="",622.79315="",529.15237=""),"-",(529.15237-622.79315)/1525216.45469*100)</f>
        <v>-6.1395075900248152E-3</v>
      </c>
      <c r="G80" s="26">
        <f>IF(OR(1808523.91457="",461.95161="",529.15237=""),"-",(461.95161-529.15237)/1808523.91457*100)</f>
        <v>-3.7157794518839892E-3</v>
      </c>
    </row>
    <row r="81" spans="1:7" x14ac:dyDescent="0.2">
      <c r="A81" s="25" t="s">
        <v>36</v>
      </c>
      <c r="B81" s="26">
        <v>445.35629999999998</v>
      </c>
      <c r="C81" s="26">
        <f>IF(OR(564.6465="",445.3563=""),"-",445.3563/564.6465*100)</f>
        <v>78.873472163557196</v>
      </c>
      <c r="D81" s="26">
        <f>IF(564.6465="","-",564.6465/1808523.91457*100)</f>
        <v>3.1221400803773836E-2</v>
      </c>
      <c r="E81" s="26">
        <f>IF(445.3563="","-",445.3563/2959137.72403*100)</f>
        <v>1.5050205212938742E-2</v>
      </c>
      <c r="F81" s="26">
        <f>IF(OR(1525216.45469="",569.64945="",564.6465=""),"-",(564.6465-569.64945)/1525216.45469*100)</f>
        <v>-3.2801573734771329E-4</v>
      </c>
      <c r="G81" s="26">
        <f>IF(OR(1808523.91457="",445.3563="",564.6465=""),"-",(445.3563-564.6465)/1808523.91457*100)</f>
        <v>-6.5959979317366533E-3</v>
      </c>
    </row>
    <row r="82" spans="1:7" x14ac:dyDescent="0.2">
      <c r="A82" s="25" t="s">
        <v>200</v>
      </c>
      <c r="B82" s="26">
        <v>442.82384999999999</v>
      </c>
      <c r="C82" s="26">
        <f>IF(OR(527.05521="",442.82385=""),"-",442.82385/527.05521*100)</f>
        <v>84.018494001795375</v>
      </c>
      <c r="D82" s="26">
        <f>IF(527.05521="","-",527.05521/1808523.91457*100)</f>
        <v>2.9142838850727288E-2</v>
      </c>
      <c r="E82" s="26">
        <f>IF(442.82385="","-",442.82385/2959137.72403*100)</f>
        <v>1.4964624539236571E-2</v>
      </c>
      <c r="F82" s="26">
        <f>IF(OR(1525216.45469="",84.02928="",527.05521=""),"-",(527.05521-84.02928)/1525216.45469*100)</f>
        <v>2.9046757831500378E-2</v>
      </c>
      <c r="G82" s="26">
        <f>IF(OR(1808523.91457="",442.82385="",527.05521=""),"-",(442.82385-527.05521)/1808523.91457*100)</f>
        <v>-4.6574645389760904E-3</v>
      </c>
    </row>
    <row r="83" spans="1:7" x14ac:dyDescent="0.2">
      <c r="A83" s="25" t="s">
        <v>132</v>
      </c>
      <c r="B83" s="26">
        <v>421.62594999999999</v>
      </c>
      <c r="C83" s="26">
        <f>IF(OR(299.4="",421.62595=""),"-",421.62595/299.4*100)</f>
        <v>140.8236305945224</v>
      </c>
      <c r="D83" s="26">
        <f>IF(299.4="","-",299.4/1808523.91457*100)</f>
        <v>1.6554937293775638E-2</v>
      </c>
      <c r="E83" s="26">
        <f>IF(421.62595="","-",421.62595/2959137.72403*100)</f>
        <v>1.4248270588291329E-2</v>
      </c>
      <c r="F83" s="26">
        <f>IF(OR(1525216.45469="",179.7168="",299.4=""),"-",(299.4-179.7168)/1525216.45469*100)</f>
        <v>7.8469649099298204E-3</v>
      </c>
      <c r="G83" s="26">
        <f>IF(OR(1808523.91457="",421.62595="",299.4=""),"-",(421.62595-299.4)/1808523.91457*100)</f>
        <v>6.7583264459657871E-3</v>
      </c>
    </row>
    <row r="84" spans="1:7" x14ac:dyDescent="0.2">
      <c r="A84" s="30" t="s">
        <v>102</v>
      </c>
      <c r="B84" s="26">
        <v>389.98955999999998</v>
      </c>
      <c r="C84" s="26" t="s">
        <v>381</v>
      </c>
      <c r="D84" s="26">
        <f>IF(100.60856="","-",100.60856/1808523.91457*100)</f>
        <v>5.5630207148198527E-3</v>
      </c>
      <c r="E84" s="26">
        <f>IF(389.98956="","-",389.98956/2959137.72403*100)</f>
        <v>1.3179162187452355E-2</v>
      </c>
      <c r="F84" s="26">
        <f>IF(OR(1525216.45469="",109.99736="",100.60856=""),"-",(100.60856-109.99736)/1525216.45469*100)</f>
        <v>-6.1557164369225714E-4</v>
      </c>
      <c r="G84" s="26">
        <f>IF(OR(1808523.91457="",389.98956="",100.60856=""),"-",(389.98956-100.60856)/1808523.91457*100)</f>
        <v>1.6000949595892076E-2</v>
      </c>
    </row>
    <row r="85" spans="1:7" x14ac:dyDescent="0.2">
      <c r="A85" s="25" t="s">
        <v>309</v>
      </c>
      <c r="B85" s="26">
        <v>389.40949000000001</v>
      </c>
      <c r="C85" s="26">
        <f>IF(OR(467.23276="",389.40949=""),"-",389.40949/467.23276*100)</f>
        <v>83.343789934592778</v>
      </c>
      <c r="D85" s="26">
        <f>IF(467.23276="","-",467.23276/1808523.91457*100)</f>
        <v>2.5835033545082573E-2</v>
      </c>
      <c r="E85" s="26">
        <f>IF(389.40949="","-",389.40949/2959137.72403*100)</f>
        <v>1.3159559517549923E-2</v>
      </c>
      <c r="F85" s="26">
        <f>IF(OR(1525216.45469="",342.10061="",467.23276=""),"-",(467.23276-342.10061)/1525216.45469*100)</f>
        <v>8.2042223984157749E-3</v>
      </c>
      <c r="G85" s="26">
        <f>IF(OR(1808523.91457="",389.40949="",467.23276=""),"-",(389.40949-467.23276)/1808523.91457*100)</f>
        <v>-4.3031374577373769E-3</v>
      </c>
    </row>
    <row r="86" spans="1:7" x14ac:dyDescent="0.2">
      <c r="A86" s="25" t="s">
        <v>127</v>
      </c>
      <c r="B86" s="26">
        <v>324.29225000000002</v>
      </c>
      <c r="C86" s="26">
        <f>IF(OR(344.19813="",324.29225=""),"-",324.29225/344.19813*100)</f>
        <v>94.216737900348278</v>
      </c>
      <c r="D86" s="26">
        <f>IF(344.19813="","-",344.19813/1808523.91457*100)</f>
        <v>1.9031992180310073E-2</v>
      </c>
      <c r="E86" s="26">
        <f>IF(324.29225="","-",324.29225/2959137.72403*100)</f>
        <v>1.0959011720426173E-2</v>
      </c>
      <c r="F86" s="26">
        <f>IF(OR(1525216.45469="",258.97064="",344.19813=""),"-",(344.19813-258.97064)/1525216.45469*100)</f>
        <v>5.58789473703406E-3</v>
      </c>
      <c r="G86" s="26">
        <f>IF(OR(1808523.91457="",324.29225="",344.19813=""),"-",(324.29225-344.19813)/1808523.91457*100)</f>
        <v>-1.100669990572552E-3</v>
      </c>
    </row>
    <row r="87" spans="1:7" x14ac:dyDescent="0.2">
      <c r="A87" s="25" t="s">
        <v>82</v>
      </c>
      <c r="B87" s="26">
        <v>310.14785000000001</v>
      </c>
      <c r="C87" s="26" t="s">
        <v>343</v>
      </c>
      <c r="D87" s="26">
        <f>IF(102.18825="","-",102.18825/1808523.91457*100)</f>
        <v>5.6503676383121851E-3</v>
      </c>
      <c r="E87" s="26">
        <f>IF(310.14785="","-",310.14785/2959137.72403*100)</f>
        <v>1.0481021125897947E-2</v>
      </c>
      <c r="F87" s="26">
        <f>IF(OR(1525216.45469="",927.16426="",102.18825=""),"-",(102.18825-927.16426)/1525216.45469*100)</f>
        <v>-5.4089110267806294E-2</v>
      </c>
      <c r="G87" s="26">
        <f>IF(OR(1808523.91457="",310.14785="",102.18825=""),"-",(310.14785-102.18825)/1808523.91457*100)</f>
        <v>1.1498858175145839E-2</v>
      </c>
    </row>
    <row r="88" spans="1:7" x14ac:dyDescent="0.2">
      <c r="A88" s="25" t="s">
        <v>80</v>
      </c>
      <c r="B88" s="26">
        <v>306.35467999999997</v>
      </c>
      <c r="C88" s="26">
        <f>IF(OR(378.75375="",306.35468=""),"-",306.35468/378.75375*100)</f>
        <v>80.884923251584951</v>
      </c>
      <c r="D88" s="26">
        <f>IF(378.75375="","-",378.75375/1808523.91457*100)</f>
        <v>2.094270067145082E-2</v>
      </c>
      <c r="E88" s="26">
        <f>IF(306.35468="","-",306.35468/2959137.72403*100)</f>
        <v>1.0352836149267857E-2</v>
      </c>
      <c r="F88" s="26">
        <f>IF(OR(1525216.45469="",146.38074="",378.75375=""),"-",(378.75375-146.38074)/1525216.45469*100)</f>
        <v>1.5235411949920893E-2</v>
      </c>
      <c r="G88" s="26">
        <f>IF(OR(1808523.91457="",306.35468="",378.75375=""),"-",(306.35468-378.75375)/1808523.91457*100)</f>
        <v>-4.0032133065386567E-3</v>
      </c>
    </row>
    <row r="89" spans="1:7" x14ac:dyDescent="0.2">
      <c r="A89" s="25" t="s">
        <v>63</v>
      </c>
      <c r="B89" s="26">
        <v>304.21280000000002</v>
      </c>
      <c r="C89" s="26">
        <f>IF(OR(3318.15316="",304.2128=""),"-",304.2128/3318.15316*100)</f>
        <v>9.1681361688560514</v>
      </c>
      <c r="D89" s="26">
        <f>IF(3318.15316="","-",3318.15316/1808523.91457*100)</f>
        <v>0.18347300432512853</v>
      </c>
      <c r="E89" s="26">
        <f>IF(304.2128="","-",304.2128/2959137.72403*100)</f>
        <v>1.0280454252926683E-2</v>
      </c>
      <c r="F89" s="26">
        <f>IF(OR(1525216.45469="",4635.8806="",3318.15316=""),"-",(3318.15316-4635.8806)/1525216.45469*100)</f>
        <v>-8.6396093875595409E-2</v>
      </c>
      <c r="G89" s="26">
        <f>IF(OR(1808523.91457="",304.2128="",3318.15316=""),"-",(304.2128-3318.15316)/1808523.91457*100)</f>
        <v>-0.16665194945550957</v>
      </c>
    </row>
    <row r="90" spans="1:7" x14ac:dyDescent="0.2">
      <c r="A90" s="30" t="s">
        <v>83</v>
      </c>
      <c r="B90" s="26">
        <v>302.87106</v>
      </c>
      <c r="C90" s="26">
        <f>IF(OR(208.76717="",302.87106=""),"-",302.87106/208.76717*100)</f>
        <v>145.07600021593433</v>
      </c>
      <c r="D90" s="26">
        <f>IF(208.76717="","-",208.76717/1808523.91457*100)</f>
        <v>1.1543511717932527E-2</v>
      </c>
      <c r="E90" s="26">
        <f>IF(302.87106="","-",302.87106/2959137.72403*100)</f>
        <v>1.0235111990243056E-2</v>
      </c>
      <c r="F90" s="26">
        <f>IF(OR(1525216.45469="",290.07564="",208.76717=""),"-",(208.76717-290.07564)/1525216.45469*100)</f>
        <v>-5.330946289621951E-3</v>
      </c>
      <c r="G90" s="26">
        <f>IF(OR(1808523.91457="",302.87106="",208.76717=""),"-",(302.87106-208.76717)/1808523.91457*100)</f>
        <v>5.2033533669016713E-3</v>
      </c>
    </row>
    <row r="91" spans="1:7" x14ac:dyDescent="0.2">
      <c r="A91" s="25" t="s">
        <v>122</v>
      </c>
      <c r="B91" s="26">
        <v>295.30430999999999</v>
      </c>
      <c r="C91" s="26">
        <f>IF(OR(336.93794="",295.30431=""),"-",295.30431/336.93794*100)</f>
        <v>87.643531624844613</v>
      </c>
      <c r="D91" s="26">
        <f>IF(336.93794="","-",336.93794/1808523.91457*100)</f>
        <v>1.8630549327301064E-2</v>
      </c>
      <c r="E91" s="26">
        <f>IF(295.30431="","-",295.30431/2959137.72403*100)</f>
        <v>9.9794040541590599E-3</v>
      </c>
      <c r="F91" s="26">
        <f>IF(OR(1525216.45469="",63.79511="",336.93794=""),"-",(336.93794-63.79511)/1525216.45469*100)</f>
        <v>1.7908463363353645E-2</v>
      </c>
      <c r="G91" s="26">
        <f>IF(OR(1808523.91457="",295.30431="",336.93794=""),"-",(295.30431-336.93794)/1808523.91457*100)</f>
        <v>-2.3020779357456811E-3</v>
      </c>
    </row>
    <row r="92" spans="1:7" x14ac:dyDescent="0.2">
      <c r="A92" s="25" t="s">
        <v>118</v>
      </c>
      <c r="B92" s="26">
        <v>278.60007000000002</v>
      </c>
      <c r="C92" s="26">
        <f>IF(OR(368.992="",278.60007=""),"-",278.60007/368.992*100)</f>
        <v>75.50301090538548</v>
      </c>
      <c r="D92" s="26">
        <f>IF(368.992="","-",368.992/1808523.91457*100)</f>
        <v>2.0402937280911356E-2</v>
      </c>
      <c r="E92" s="26">
        <f>IF(278.60007="","-",278.60007/2959137.72403*100)</f>
        <v>9.4149071784526226E-3</v>
      </c>
      <c r="F92" s="26">
        <f>IF(OR(1525216.45469="",820.30683="",368.992=""),"-",(368.992-820.30683)/1525216.45469*100)</f>
        <v>-2.9590215120759999E-2</v>
      </c>
      <c r="G92" s="26">
        <f>IF(OR(1808523.91457="",278.60007="",368.992=""),"-",(278.60007-368.992)/1808523.91457*100)</f>
        <v>-4.9981053206858955E-3</v>
      </c>
    </row>
    <row r="93" spans="1:7" x14ac:dyDescent="0.2">
      <c r="A93" s="25" t="s">
        <v>85</v>
      </c>
      <c r="B93" s="26">
        <v>248.39429999999999</v>
      </c>
      <c r="C93" s="26">
        <f>IF(OR(910.87987="",248.3943=""),"-",248.3943/910.87987*100)</f>
        <v>27.269710110071919</v>
      </c>
      <c r="D93" s="26">
        <f>IF(910.87987="","-",910.87987/1808523.91457*100)</f>
        <v>5.0365928957957599E-2</v>
      </c>
      <c r="E93" s="26">
        <f>IF(248.3943="","-",248.3943/2959137.72403*100)</f>
        <v>8.3941446179705333E-3</v>
      </c>
      <c r="F93" s="26">
        <f>IF(OR(1525216.45469="",40.1874="",910.87987=""),"-",(910.87987-40.1874)/1525216.45469*100)</f>
        <v>5.7086485483594393E-2</v>
      </c>
      <c r="G93" s="26">
        <f>IF(OR(1808523.91457="",248.3943="",910.87987=""),"-",(248.3943-910.87987)/1808523.91457*100)</f>
        <v>-3.6631286136877793E-2</v>
      </c>
    </row>
    <row r="94" spans="1:7" x14ac:dyDescent="0.2">
      <c r="A94" s="30" t="s">
        <v>302</v>
      </c>
      <c r="B94" s="26">
        <v>235.27328</v>
      </c>
      <c r="C94" s="26">
        <f>IF(OR(754.08253="",235.27328=""),"-",235.27328/754.08253*100)</f>
        <v>31.199937757475958</v>
      </c>
      <c r="D94" s="26">
        <f>IF(754.08253="","-",754.08253/1808523.91457*100)</f>
        <v>4.169602203901699E-2</v>
      </c>
      <c r="E94" s="26">
        <f>IF(235.27328="","-",235.27328/2959137.72403*100)</f>
        <v>7.950737746656323E-3</v>
      </c>
      <c r="F94" s="26">
        <f>IF(OR(1525216.45469="",835.37138="",754.08253=""),"-",(754.08253-835.37138)/1525216.45469*100)</f>
        <v>-5.3296599148297263E-3</v>
      </c>
      <c r="G94" s="26">
        <f>IF(OR(1808523.91457="",235.27328="",754.08253=""),"-",(235.27328-754.08253)/1808523.91457*100)</f>
        <v>-2.8686889115500231E-2</v>
      </c>
    </row>
    <row r="95" spans="1:7" x14ac:dyDescent="0.2">
      <c r="A95" s="30" t="s">
        <v>79</v>
      </c>
      <c r="B95" s="26">
        <v>216.89426</v>
      </c>
      <c r="C95" s="26" t="s">
        <v>382</v>
      </c>
      <c r="D95" s="26">
        <f>IF(14.46909="","-",14.46909/1808523.91457*100)</f>
        <v>8.0004969154307318E-4</v>
      </c>
      <c r="E95" s="26">
        <f>IF(216.89426="","-",216.89426/2959137.72403*100)</f>
        <v>7.3296439783348561E-3</v>
      </c>
      <c r="F95" s="26">
        <f>IF(OR(1525216.45469="",380.55509="",14.46909=""),"-",(14.46909-380.55509)/1525216.45469*100)</f>
        <v>-2.4002232527343598E-2</v>
      </c>
      <c r="G95" s="26">
        <f>IF(OR(1808523.91457="",216.89426="",14.46909=""),"-",(216.89426-14.46909)/1808523.91457*100)</f>
        <v>1.119283899810245E-2</v>
      </c>
    </row>
    <row r="96" spans="1:7" x14ac:dyDescent="0.2">
      <c r="A96" s="30" t="s">
        <v>308</v>
      </c>
      <c r="B96" s="26">
        <v>178.69909000000001</v>
      </c>
      <c r="C96" s="26" t="s">
        <v>337</v>
      </c>
      <c r="D96" s="26">
        <f>IF(9.98064="","-",9.98064/1808523.91457*100)</f>
        <v>5.5186663110136564E-4</v>
      </c>
      <c r="E96" s="26">
        <f>IF(178.69909="","-",178.69909/2959137.72403*100)</f>
        <v>6.0388906048155378E-3</v>
      </c>
      <c r="F96" s="26">
        <f>IF(OR(1525216.45469="",7.78215="",9.98064=""),"-",(9.98064-7.78215)/1525216.45469*100)</f>
        <v>1.4414281941685727E-4</v>
      </c>
      <c r="G96" s="26">
        <f>IF(OR(1808523.91457="",178.69909="",9.98064=""),"-",(178.69909-9.98064)/1808523.91457*100)</f>
        <v>9.3290693388544434E-3</v>
      </c>
    </row>
    <row r="97" spans="1:7" x14ac:dyDescent="0.2">
      <c r="A97" s="30" t="s">
        <v>288</v>
      </c>
      <c r="B97" s="26">
        <v>176.90536</v>
      </c>
      <c r="C97" s="26">
        <f>IF(OR(211.45377="",176.90536=""),"-",176.90536/211.45377*100)</f>
        <v>83.661483075000277</v>
      </c>
      <c r="D97" s="26">
        <f>IF(211.45377="","-",211.45377/1808523.91457*100)</f>
        <v>1.1692063803882619E-2</v>
      </c>
      <c r="E97" s="26">
        <f>IF(176.90536="","-",176.90536/2959137.72403*100)</f>
        <v>5.9782739601276667E-3</v>
      </c>
      <c r="F97" s="26">
        <f>IF(OR(1525216.45469="",50.18097="",211.45377=""),"-",(211.45377-50.18097)/1525216.45469*100)</f>
        <v>1.0573764760017531E-2</v>
      </c>
      <c r="G97" s="26">
        <f>IF(OR(1808523.91457="",176.90536="",211.45377=""),"-",(176.90536-211.45377)/1808523.91457*100)</f>
        <v>-1.9103098234791284E-3</v>
      </c>
    </row>
    <row r="98" spans="1:7" x14ac:dyDescent="0.2">
      <c r="A98" s="25" t="s">
        <v>125</v>
      </c>
      <c r="B98" s="26">
        <v>162.65752000000001</v>
      </c>
      <c r="C98" s="26">
        <f>IF(OR(338.71301="",162.65752=""),"-",162.65752/338.71301*100)</f>
        <v>48.022223888004781</v>
      </c>
      <c r="D98" s="26">
        <f>IF(338.71301="","-",338.71301/1808523.91457*100)</f>
        <v>1.8728699536192387E-2</v>
      </c>
      <c r="E98" s="26">
        <f>IF(162.65752="","-",162.65752/2959137.72403*100)</f>
        <v>5.4967877526997779E-3</v>
      </c>
      <c r="F98" s="26">
        <f>IF(OR(1525216.45469="",1.07711="",338.71301=""),"-",(338.71301-1.07711)/1525216.45469*100)</f>
        <v>2.2136916957706466E-2</v>
      </c>
      <c r="G98" s="26">
        <f>IF(OR(1808523.91457="",162.65752="",338.71301=""),"-",(162.65752-338.71301)/1808523.91457*100)</f>
        <v>-9.7347615136103658E-3</v>
      </c>
    </row>
    <row r="99" spans="1:7" x14ac:dyDescent="0.2">
      <c r="A99" s="25" t="s">
        <v>59</v>
      </c>
      <c r="B99" s="26">
        <v>146.55697000000001</v>
      </c>
      <c r="C99" s="26">
        <f>IF(OR(2749.44746="",146.55697=""),"-",146.55697/2749.44746*100)</f>
        <v>5.3304153700758485</v>
      </c>
      <c r="D99" s="26">
        <f>IF(2749.44746="","-",2749.44746/1808523.91457*100)</f>
        <v>0.15202715528667568</v>
      </c>
      <c r="E99" s="26">
        <f>IF(146.55697="","-",146.55697/2959137.72403*100)</f>
        <v>4.9526917523935489E-3</v>
      </c>
      <c r="F99" s="26">
        <f>IF(OR(1525216.45469="",2418.09408="",2749.44746=""),"-",(2749.44746-2418.09408)/1525216.45469*100)</f>
        <v>2.1725006898600994E-2</v>
      </c>
      <c r="G99" s="26">
        <f>IF(OR(1808523.91457="",146.55697="",2749.44746=""),"-",(146.55697-2749.44746)/1808523.91457*100)</f>
        <v>-0.14392347643458564</v>
      </c>
    </row>
    <row r="100" spans="1:7" x14ac:dyDescent="0.2">
      <c r="A100" s="25" t="s">
        <v>307</v>
      </c>
      <c r="B100" s="26">
        <v>117.96092</v>
      </c>
      <c r="C100" s="26" t="s">
        <v>383</v>
      </c>
      <c r="D100" s="26">
        <f>IF(4.10857="","-",4.10857/1808523.91457*100)</f>
        <v>2.271780852274141E-4</v>
      </c>
      <c r="E100" s="26">
        <f>IF(117.96092="","-",117.96092/2959137.72403*100)</f>
        <v>3.9863274710766417E-3</v>
      </c>
      <c r="F100" s="26">
        <f>IF(OR(1525216.45469="",44.72959="",4.10857=""),"-",(4.10857-44.72959)/1525216.45469*100)</f>
        <v>-2.6632954211247488E-3</v>
      </c>
      <c r="G100" s="26">
        <f>IF(OR(1808523.91457="",117.96092="",4.10857=""),"-",(117.96092-4.10857)/1808523.91457*100)</f>
        <v>6.2953190213727341E-3</v>
      </c>
    </row>
    <row r="101" spans="1:7" x14ac:dyDescent="0.2">
      <c r="A101" s="25" t="s">
        <v>94</v>
      </c>
      <c r="B101" s="26">
        <v>117.22409</v>
      </c>
      <c r="C101" s="26">
        <f>IF(OR(102.5224="",117.22409=""),"-",117.22409/102.5224*100)</f>
        <v>114.33997838521141</v>
      </c>
      <c r="D101" s="26">
        <f>IF(102.5224="","-",102.5224/1808523.91457*100)</f>
        <v>5.6688440320887892E-3</v>
      </c>
      <c r="E101" s="26">
        <f>IF(117.22409="","-",117.22409/2959137.72403*100)</f>
        <v>3.9614273120196133E-3</v>
      </c>
      <c r="F101" s="26">
        <f>IF(OR(1525216.45469="",106.01381="",102.5224=""),"-",(102.5224-106.01381)/1525216.45469*100)</f>
        <v>-2.2891242677483637E-4</v>
      </c>
      <c r="G101" s="26">
        <f>IF(OR(1808523.91457="",117.22409="",102.5224=""),"-",(117.22409-102.5224)/1808523.91457*100)</f>
        <v>8.1291100889288018E-4</v>
      </c>
    </row>
    <row r="102" spans="1:7" x14ac:dyDescent="0.2">
      <c r="A102" s="30" t="s">
        <v>301</v>
      </c>
      <c r="B102" s="26">
        <v>105.38431</v>
      </c>
      <c r="C102" s="26" t="s">
        <v>310</v>
      </c>
      <c r="D102" s="26">
        <f>IF(24.63456="","-",24.63456/1808523.91457*100)</f>
        <v>1.3621362593846146E-3</v>
      </c>
      <c r="E102" s="26">
        <f>IF(105.38431="","-",105.38431/2959137.72403*100)</f>
        <v>3.5613181888837155E-3</v>
      </c>
      <c r="F102" s="26" t="str">
        <f>IF(OR(1525216.45469="",""="",24.63456=""),"-",(24.63456-"")/1525216.45469*100)</f>
        <v>-</v>
      </c>
      <c r="G102" s="26">
        <f>IF(OR(1808523.91457="",105.38431="",24.63456=""),"-",(105.38431-24.63456)/1808523.91457*100)</f>
        <v>4.4649533992587153E-3</v>
      </c>
    </row>
    <row r="103" spans="1:7" x14ac:dyDescent="0.2">
      <c r="A103" s="25" t="s">
        <v>370</v>
      </c>
      <c r="B103" s="26">
        <v>103.23663000000001</v>
      </c>
      <c r="C103" s="26">
        <f>IF(OR(97.30713="",103.23663=""),"-",103.23663/97.30713*100)</f>
        <v>106.09359252502874</v>
      </c>
      <c r="D103" s="26">
        <f>IF(97.30713="","-",97.30713/1808523.91457*100)</f>
        <v>5.3804723960830803E-3</v>
      </c>
      <c r="E103" s="26">
        <f>IF(103.23663="","-",103.23663/2959137.72403*100)</f>
        <v>3.4887402894990564E-3</v>
      </c>
      <c r="F103" s="26">
        <f>IF(OR(1525216.45469="",298.98316="",97.30713=""),"-",(97.30713-298.98316)/1525216.45469*100)</f>
        <v>-1.3222780896432869E-2</v>
      </c>
      <c r="G103" s="26">
        <f>IF(OR(1808523.91457="",103.23663="",97.30713=""),"-",(103.23663-97.30713)/1808523.91457*100)</f>
        <v>3.2786406373895365E-4</v>
      </c>
    </row>
    <row r="104" spans="1:7" x14ac:dyDescent="0.2">
      <c r="A104" s="30" t="s">
        <v>324</v>
      </c>
      <c r="B104" s="26">
        <v>99.273039999999995</v>
      </c>
      <c r="C104" s="26">
        <f>IF(OR(204.20872="",99.27304=""),"-",99.27304/204.20872*100)</f>
        <v>48.613516602033449</v>
      </c>
      <c r="D104" s="26">
        <f>IF(204.20872="","-",204.20872/1808523.91457*100)</f>
        <v>1.1291458097669295E-2</v>
      </c>
      <c r="E104" s="26">
        <f>IF(99.27304="","-",99.27304/2959137.72403*100)</f>
        <v>3.3547962027533382E-3</v>
      </c>
      <c r="F104" s="26">
        <f>IF(OR(1525216.45469="",232.91559="",204.20872=""),"-",(204.20872-232.91559)/1525216.45469*100)</f>
        <v>-1.8821505571702394E-3</v>
      </c>
      <c r="G104" s="26">
        <f>IF(OR(1808523.91457="",99.27304="",204.20872=""),"-",(99.27304-204.20872)/1808523.91457*100)</f>
        <v>-5.8022832407471827E-3</v>
      </c>
    </row>
    <row r="105" spans="1:7" x14ac:dyDescent="0.2">
      <c r="A105" s="30" t="s">
        <v>97</v>
      </c>
      <c r="B105" s="26">
        <v>97.943200000000004</v>
      </c>
      <c r="C105" s="26">
        <f>IF(OR(336.88869="",97.9432=""),"-",97.9432/336.88869*100)</f>
        <v>29.072866767952348</v>
      </c>
      <c r="D105" s="26">
        <f>IF(336.88869="","-",336.88869/1808523.91457*100)</f>
        <v>1.8627826111998064E-2</v>
      </c>
      <c r="E105" s="26">
        <f>IF(97.9432="","-",97.9432/2959137.72403*100)</f>
        <v>3.309856084245136E-3</v>
      </c>
      <c r="F105" s="26">
        <f>IF(OR(1525216.45469="",154.33353="",336.88869=""),"-",(336.88869-154.33353)/1525216.45469*100)</f>
        <v>1.1969131295341572E-2</v>
      </c>
      <c r="G105" s="26">
        <f>IF(OR(1808523.91457="",97.9432="",336.88869=""),"-",(97.9432-336.88869)/1808523.91457*100)</f>
        <v>-1.3212183044691029E-2</v>
      </c>
    </row>
    <row r="106" spans="1:7" x14ac:dyDescent="0.2">
      <c r="A106" s="25" t="s">
        <v>330</v>
      </c>
      <c r="B106" s="26">
        <v>84.910650000000004</v>
      </c>
      <c r="C106" s="26" t="s">
        <v>351</v>
      </c>
      <c r="D106" s="26">
        <f>IF(25.64="","-",25.64/1808523.91457*100)</f>
        <v>1.4177307689125164E-3</v>
      </c>
      <c r="E106" s="26">
        <f>IF(84.91065="","-",84.91065/2959137.72403*100)</f>
        <v>2.8694389352166283E-3</v>
      </c>
      <c r="F106" s="26" t="str">
        <f>IF(OR(1525216.45469="",""="",25.64=""),"-",(25.64-"")/1525216.45469*100)</f>
        <v>-</v>
      </c>
      <c r="G106" s="26">
        <f>IF(OR(1808523.91457="",84.91065="",25.64=""),"-",(84.91065-25.64)/1808523.91457*100)</f>
        <v>3.277294235508761E-3</v>
      </c>
    </row>
    <row r="107" spans="1:7" x14ac:dyDescent="0.2">
      <c r="A107" s="25" t="s">
        <v>371</v>
      </c>
      <c r="B107" s="26">
        <v>77.709419999999994</v>
      </c>
      <c r="C107" s="26" t="s">
        <v>99</v>
      </c>
      <c r="D107" s="26">
        <f>IF(45.51214="","-",45.51214/1808523.91457*100)</f>
        <v>2.5165351496510956E-3</v>
      </c>
      <c r="E107" s="26">
        <f>IF(77.70942="","-",77.70942/2959137.72403*100)</f>
        <v>2.6260832461075466E-3</v>
      </c>
      <c r="F107" s="26">
        <f>IF(OR(1525216.45469="",72.2805="",45.51214=""),"-",(45.51214-72.2805)/1525216.45469*100)</f>
        <v>-1.7550531872173294E-3</v>
      </c>
      <c r="G107" s="26">
        <f>IF(OR(1808523.91457="",77.70942="",45.51214=""),"-",(77.70942-45.51214)/1808523.91457*100)</f>
        <v>1.7803071190051313E-3</v>
      </c>
    </row>
    <row r="108" spans="1:7" x14ac:dyDescent="0.2">
      <c r="A108" s="30" t="s">
        <v>93</v>
      </c>
      <c r="B108" s="26">
        <v>74.709789999999998</v>
      </c>
      <c r="C108" s="26" t="s">
        <v>336</v>
      </c>
      <c r="D108" s="26">
        <f>IF(28.60973="","-",28.60973/1808523.91457*100)</f>
        <v>1.5819381634664383E-3</v>
      </c>
      <c r="E108" s="26">
        <f>IF(74.70979="","-",74.70979/2959137.72403*100)</f>
        <v>2.5247148651889708E-3</v>
      </c>
      <c r="F108" s="26" t="str">
        <f>IF(OR(1525216.45469="",""="",28.60973=""),"-",(28.60973-"")/1525216.45469*100)</f>
        <v>-</v>
      </c>
      <c r="G108" s="26">
        <f>IF(OR(1808523.91457="",74.70979="",28.60973=""),"-",(74.70979-28.60973)/1808523.91457*100)</f>
        <v>2.5490434286549583E-3</v>
      </c>
    </row>
    <row r="109" spans="1:7" x14ac:dyDescent="0.2">
      <c r="A109" s="25" t="s">
        <v>316</v>
      </c>
      <c r="B109" s="26">
        <v>72.69</v>
      </c>
      <c r="C109" s="26" t="s">
        <v>194</v>
      </c>
      <c r="D109" s="26">
        <f>IF(39.46925="","-",39.46925/1808523.91457*100)</f>
        <v>2.1824013319383904E-3</v>
      </c>
      <c r="E109" s="26">
        <f>IF(72.69="","-",72.69/2959137.72403*100)</f>
        <v>2.4564588329131468E-3</v>
      </c>
      <c r="F109" s="26" t="str">
        <f>IF(OR(1525216.45469="",""="",39.46925=""),"-",(39.46925-"")/1525216.45469*100)</f>
        <v>-</v>
      </c>
      <c r="G109" s="26">
        <f>IF(OR(1808523.91457="",72.69="",39.46925=""),"-",(72.69-39.46925)/1808523.91457*100)</f>
        <v>1.8368985741556345E-3</v>
      </c>
    </row>
    <row r="110" spans="1:7" x14ac:dyDescent="0.2">
      <c r="A110" s="30" t="s">
        <v>372</v>
      </c>
      <c r="B110" s="26">
        <v>61.025559999999999</v>
      </c>
      <c r="C110" s="26">
        <f>IF(OR(103.75509="",61.02556=""),"-",61.02556/103.75509*100)</f>
        <v>58.816931294647809</v>
      </c>
      <c r="D110" s="26">
        <f>IF(103.75509="","-",103.75509/1808523.91457*100)</f>
        <v>5.73700403760871E-3</v>
      </c>
      <c r="E110" s="26">
        <f>IF(61.02556="","-",61.02556/2959137.72403*100)</f>
        <v>2.0622750845435576E-3</v>
      </c>
      <c r="F110" s="26" t="str">
        <f>IF(OR(1525216.45469="",""="",103.75509=""),"-",(103.75509-"")/1525216.45469*100)</f>
        <v>-</v>
      </c>
      <c r="G110" s="26">
        <f>IF(OR(1808523.91457="",61.02556="",103.75509=""),"-",(61.02556-103.75509)/1808523.91457*100)</f>
        <v>-2.362674314437224E-3</v>
      </c>
    </row>
    <row r="111" spans="1:7" x14ac:dyDescent="0.2">
      <c r="A111" s="25" t="s">
        <v>68</v>
      </c>
      <c r="B111" s="26">
        <v>59.841560000000001</v>
      </c>
      <c r="C111" s="26">
        <f>IF(OR(1667.77169="",59.84156=""),"-",59.84156/1667.77169*100)</f>
        <v>3.58811462976686</v>
      </c>
      <c r="D111" s="26">
        <f>IF(1667.77169="","-",1667.77169/1808523.91457*100)</f>
        <v>9.2217287068417572E-2</v>
      </c>
      <c r="E111" s="26">
        <f>IF(59.84156="","-",59.84156/2959137.72403*100)</f>
        <v>2.0222634287701481E-3</v>
      </c>
      <c r="F111" s="26">
        <f>IF(OR(1525216.45469="",312.37617="",1667.77169=""),"-",(1667.77169-312.37617)/1525216.45469*100)</f>
        <v>8.8865781367109889E-2</v>
      </c>
      <c r="G111" s="26">
        <f>IF(OR(1808523.91457="",59.84156="",1667.77169=""),"-",(59.84156-1667.77169)/1808523.91457*100)</f>
        <v>-8.8908425099941582E-2</v>
      </c>
    </row>
    <row r="112" spans="1:7" x14ac:dyDescent="0.2">
      <c r="A112" s="33" t="s">
        <v>67</v>
      </c>
      <c r="B112" s="34">
        <v>57.319670000000002</v>
      </c>
      <c r="C112" s="34">
        <f>IF(OR(190.19476="",57.31967=""),"-",57.31967/190.19476*100)</f>
        <v>30.137354993376263</v>
      </c>
      <c r="D112" s="34">
        <f>IF(190.19476="","-",190.19476/1808523.91457*100)</f>
        <v>1.0516574233148654E-2</v>
      </c>
      <c r="E112" s="34">
        <f>IF(57.31967="","-",57.31967/2959137.72403*100)</f>
        <v>1.9370396157816305E-3</v>
      </c>
      <c r="F112" s="34">
        <f>IF(OR(1525216.45469="",20.45424="",190.19476=""),"-",(190.19476-20.45424)/1525216.45469*100)</f>
        <v>1.1128946286807516E-2</v>
      </c>
      <c r="G112" s="34">
        <f>IF(OR(1808523.91457="",57.31967="",190.19476=""),"-",(57.31967-190.19476)/1808523.91457*100)</f>
        <v>-7.3471569233627071E-3</v>
      </c>
    </row>
    <row r="113" spans="1:7" x14ac:dyDescent="0.2">
      <c r="A113" s="35" t="s">
        <v>71</v>
      </c>
      <c r="B113" s="34">
        <v>55.929729999999999</v>
      </c>
      <c r="C113" s="34">
        <f>IF(OR(114.57319="",55.92973=""),"-",55.92973/114.57319*100)</f>
        <v>48.815722072502304</v>
      </c>
      <c r="D113" s="34">
        <f>IF(114.57319="","-",114.57319/1808523.91457*100)</f>
        <v>6.3351769405405539E-3</v>
      </c>
      <c r="E113" s="34">
        <f>IF(55.92973="","-",55.92973/2959137.72403*100)</f>
        <v>1.8900685002193895E-3</v>
      </c>
      <c r="F113" s="34">
        <f>IF(OR(1525216.45469="",215.83129="",114.57319=""),"-",(114.57319-215.83129)/1525216.45469*100)</f>
        <v>-6.6389330962588313E-3</v>
      </c>
      <c r="G113" s="34">
        <f>IF(OR(1808523.91457="",55.92973="",114.57319=""),"-",(55.92973-114.57319)/1808523.91457*100)</f>
        <v>-3.2426145724450232E-3</v>
      </c>
    </row>
    <row r="114" spans="1:7" x14ac:dyDescent="0.2">
      <c r="A114" s="36" t="s">
        <v>406</v>
      </c>
      <c r="B114" s="37">
        <v>48.742350000000002</v>
      </c>
      <c r="C114" s="37">
        <f>IF(OR(2085.50385="",48.74235=""),"-",48.74235/2085.50385*100)</f>
        <v>2.3371977951515173</v>
      </c>
      <c r="D114" s="37">
        <f>IF(2085.50385="","-",2085.50385/1808523.91457*100)</f>
        <v>0.11531524870633826</v>
      </c>
      <c r="E114" s="37">
        <f>IF(48.74235="","-",48.74235/2959137.72403*100)</f>
        <v>1.6471808528606979E-3</v>
      </c>
      <c r="F114" s="37">
        <f>IF(OR(1525216.45469="",15.83932="",2085.50385=""),"-",(2085.50385-15.83932)/1525216.45469*100)</f>
        <v>0.13569644647065252</v>
      </c>
      <c r="G114" s="37">
        <f>IF(OR(1808523.91457="",48.74235="",2085.50385=""),"-",(48.74235-2085.50385)/1808523.91457*100)</f>
        <v>-0.11262010325610024</v>
      </c>
    </row>
    <row r="115" spans="1:7" x14ac:dyDescent="0.2">
      <c r="A115" s="38" t="s">
        <v>277</v>
      </c>
      <c r="B115" s="39"/>
      <c r="C115" s="39"/>
      <c r="D115" s="39"/>
      <c r="E115" s="39"/>
    </row>
    <row r="116" spans="1:7" ht="13.5" x14ac:dyDescent="0.2">
      <c r="A116" s="40" t="s">
        <v>409</v>
      </c>
      <c r="B116" s="40"/>
      <c r="C116" s="40"/>
      <c r="D116" s="40"/>
      <c r="E116" s="40"/>
    </row>
  </sheetData>
  <mergeCells count="10">
    <mergeCell ref="A116:E116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24"/>
  <sheetViews>
    <sheetView zoomScaleNormal="100" workbookViewId="0">
      <selection sqref="A1:XFD1048576"/>
    </sheetView>
  </sheetViews>
  <sheetFormatPr defaultRowHeight="12" x14ac:dyDescent="0.2"/>
  <cols>
    <col min="1" max="1" width="30.5" style="3" customWidth="1"/>
    <col min="2" max="2" width="11.75" style="3" customWidth="1"/>
    <col min="3" max="3" width="10.25" style="3" customWidth="1"/>
    <col min="4" max="5" width="8.875" style="3" customWidth="1"/>
    <col min="6" max="6" width="9.625" style="3" customWidth="1"/>
    <col min="7" max="7" width="10.125" style="3" customWidth="1"/>
    <col min="8" max="16384" width="9" style="3"/>
  </cols>
  <sheetData>
    <row r="1" spans="1:7" x14ac:dyDescent="0.2">
      <c r="A1" s="41" t="s">
        <v>417</v>
      </c>
      <c r="B1" s="41"/>
      <c r="C1" s="41"/>
      <c r="D1" s="41"/>
      <c r="E1" s="41"/>
      <c r="F1" s="41"/>
      <c r="G1" s="41"/>
    </row>
    <row r="2" spans="1:7" x14ac:dyDescent="0.2">
      <c r="A2" s="102"/>
    </row>
    <row r="3" spans="1:7" ht="55.5" customHeight="1" x14ac:dyDescent="0.2">
      <c r="A3" s="4"/>
      <c r="B3" s="5" t="s">
        <v>364</v>
      </c>
      <c r="C3" s="6"/>
      <c r="D3" s="5" t="s">
        <v>103</v>
      </c>
      <c r="E3" s="6"/>
      <c r="F3" s="7" t="s">
        <v>113</v>
      </c>
      <c r="G3" s="8"/>
    </row>
    <row r="4" spans="1:7" ht="21" customHeight="1" x14ac:dyDescent="0.2">
      <c r="A4" s="9"/>
      <c r="B4" s="10" t="s">
        <v>95</v>
      </c>
      <c r="C4" s="11" t="s">
        <v>365</v>
      </c>
      <c r="D4" s="12" t="s">
        <v>366</v>
      </c>
      <c r="E4" s="12"/>
      <c r="F4" s="12" t="s">
        <v>418</v>
      </c>
      <c r="G4" s="5"/>
    </row>
    <row r="5" spans="1:7" ht="30" customHeight="1" x14ac:dyDescent="0.2">
      <c r="A5" s="13"/>
      <c r="B5" s="14"/>
      <c r="C5" s="15"/>
      <c r="D5" s="16" t="s">
        <v>297</v>
      </c>
      <c r="E5" s="16" t="s">
        <v>298</v>
      </c>
      <c r="F5" s="16" t="s">
        <v>297</v>
      </c>
      <c r="G5" s="17" t="s">
        <v>298</v>
      </c>
    </row>
    <row r="6" spans="1:7" x14ac:dyDescent="0.2">
      <c r="A6" s="19" t="s">
        <v>116</v>
      </c>
      <c r="B6" s="21">
        <v>5891753.1111099999</v>
      </c>
      <c r="C6" s="21">
        <f>IF(4403044.02622="","-",5891753.11111/4403044.02622*100)</f>
        <v>133.81090618274038</v>
      </c>
      <c r="D6" s="21">
        <v>100</v>
      </c>
      <c r="E6" s="21">
        <v>100</v>
      </c>
      <c r="F6" s="21">
        <f>IF(3323881.41153="","-",(4403044.02622-3323881.41153)/3323881.41153*100)</f>
        <v>32.466940936778364</v>
      </c>
      <c r="G6" s="21">
        <f>IF(4403044.02622="","-",(5891753.11111-4403044.02622)/4403044.02622*100)</f>
        <v>33.810906182740389</v>
      </c>
    </row>
    <row r="7" spans="1:7" x14ac:dyDescent="0.2">
      <c r="A7" s="91" t="s">
        <v>119</v>
      </c>
      <c r="B7" s="23"/>
      <c r="C7" s="23"/>
      <c r="D7" s="23"/>
      <c r="E7" s="23"/>
      <c r="F7" s="23"/>
      <c r="G7" s="23"/>
    </row>
    <row r="8" spans="1:7" ht="16.5" customHeight="1" x14ac:dyDescent="0.2">
      <c r="A8" s="24" t="s">
        <v>128</v>
      </c>
      <c r="B8" s="20">
        <v>2717661.6409399998</v>
      </c>
      <c r="C8" s="20">
        <f>IF(2049664.86405="","-",2717661.64094/2049664.86405*100)</f>
        <v>132.59053656069818</v>
      </c>
      <c r="D8" s="20">
        <f>IF(2049664.86405="","-",2049664.86405/4403044.02622*100)</f>
        <v>46.551087198862987</v>
      </c>
      <c r="E8" s="20">
        <f>IF(2717661.64094="","-",2717661.64094/5891753.11111*100)</f>
        <v>46.126536358343692</v>
      </c>
      <c r="F8" s="20">
        <f>IF(3323881.41153="","-",(2049664.86405-1521247.03911)/3323881.41153*100)</f>
        <v>15.89761364851962</v>
      </c>
      <c r="G8" s="20">
        <f>IF(4403044.02622="","-",(2717661.64094-2049664.86405)/4403044.02622*100)</f>
        <v>15.17124909294793</v>
      </c>
    </row>
    <row r="9" spans="1:7" x14ac:dyDescent="0.2">
      <c r="A9" s="25" t="s">
        <v>2</v>
      </c>
      <c r="B9" s="26">
        <v>989155.46950000001</v>
      </c>
      <c r="C9" s="26" t="s">
        <v>194</v>
      </c>
      <c r="D9" s="26">
        <f>IF(544332.01446="","-",544332.01446/4403044.02622*100)</f>
        <v>12.362629381367038</v>
      </c>
      <c r="E9" s="26">
        <f>IF(989155.4695="","-",989155.4695/5891753.11111*100)</f>
        <v>16.78881397176611</v>
      </c>
      <c r="F9" s="26">
        <f>IF(OR(3323881.41153="",398994.1376="",544332.01446=""),"-",(544332.01446-398994.1376)/3323881.41153*100)</f>
        <v>4.3725349633668236</v>
      </c>
      <c r="G9" s="26">
        <f>IF(OR(4403044.02622="",989155.4695="",544332.01446=""),"-",(989155.4695-544332.01446)/4403044.02622*100)</f>
        <v>10.102634731587719</v>
      </c>
    </row>
    <row r="10" spans="1:7" s="29" customFormat="1" x14ac:dyDescent="0.2">
      <c r="A10" s="25" t="s">
        <v>4</v>
      </c>
      <c r="B10" s="32">
        <v>384615.48550000001</v>
      </c>
      <c r="C10" s="26">
        <f>IF(OR(355771.82286="",384615.4855=""),"-",384615.4855/355771.82286*100)</f>
        <v>108.10734880804496</v>
      </c>
      <c r="D10" s="26">
        <f>IF(355771.82286="","-",355771.82286/4403044.02622*100)</f>
        <v>8.0801332155978685</v>
      </c>
      <c r="E10" s="26">
        <f>IF(384615.4855="","-",384615.4855/5891753.11111*100)</f>
        <v>6.5280312709426971</v>
      </c>
      <c r="F10" s="26">
        <f>IF(OR(3323881.41153="",272604.66646="",355771.82286=""),"-",(355771.82286-272604.66646)/3323881.41153*100)</f>
        <v>2.5021096153282363</v>
      </c>
      <c r="G10" s="26">
        <f>IF(OR(4403044.02622="",384615.4855="",355771.82286=""),"-",(384615.4855-355771.82286)/4403044.02622*100)</f>
        <v>0.65508458394321778</v>
      </c>
    </row>
    <row r="11" spans="1:7" s="29" customFormat="1" x14ac:dyDescent="0.2">
      <c r="A11" s="25" t="s">
        <v>3</v>
      </c>
      <c r="B11" s="26">
        <v>298256.84921000001</v>
      </c>
      <c r="C11" s="26">
        <f>IF(OR(292260.33146="",298256.84921=""),"-",298256.84921/292260.33146*100)</f>
        <v>102.05177271922061</v>
      </c>
      <c r="D11" s="26">
        <f>IF(292260.33146="","-",292260.33146/4403044.02622*100)</f>
        <v>6.6376881475542406</v>
      </c>
      <c r="E11" s="26">
        <f>IF(298256.84921="","-",298256.84921/5891753.11111*100)</f>
        <v>5.0622767720456761</v>
      </c>
      <c r="F11" s="26">
        <f>IF(OR(3323881.41153="",218617.79529="",292260.33146=""),"-",(292260.33146-218617.79529)/3323881.41153*100)</f>
        <v>2.2155584707248011</v>
      </c>
      <c r="G11" s="26">
        <f>IF(OR(4403044.02622="",298256.84921="",292260.33146=""),"-",(298256.84921-292260.33146)/4403044.02622*100)</f>
        <v>0.13619027459845753</v>
      </c>
    </row>
    <row r="12" spans="1:7" s="29" customFormat="1" x14ac:dyDescent="0.2">
      <c r="A12" s="25" t="s">
        <v>5</v>
      </c>
      <c r="B12" s="26">
        <v>196539.97975</v>
      </c>
      <c r="C12" s="26">
        <f>IF(OR(167539.52733="",196539.97975=""),"-",196539.97975/167539.52733*100)</f>
        <v>117.30961814335208</v>
      </c>
      <c r="D12" s="26">
        <f>IF(167539.52733="","-",167539.52733/4403044.02622*100)</f>
        <v>3.8050840812017088</v>
      </c>
      <c r="E12" s="26">
        <f>IF(196539.97975="","-",196539.97975/5891753.11111*100)</f>
        <v>3.3358488728827962</v>
      </c>
      <c r="F12" s="26">
        <f>IF(OR(3323881.41153="",130628.52805="",167539.52733=""),"-",(167539.52733-130628.52805)/3323881.41153*100)</f>
        <v>1.1104788261085912</v>
      </c>
      <c r="G12" s="26">
        <f>IF(OR(4403044.02622="",196539.97975="",167539.52733=""),"-",(196539.97975-167539.52733)/4403044.02622*100)</f>
        <v>0.65864552448949243</v>
      </c>
    </row>
    <row r="13" spans="1:7" s="29" customFormat="1" x14ac:dyDescent="0.2">
      <c r="A13" s="25" t="s">
        <v>289</v>
      </c>
      <c r="B13" s="26">
        <v>128137.82071</v>
      </c>
      <c r="C13" s="26">
        <f>IF(OR(113524.32474="",128137.82071=""),"-",128137.82071/113524.32474*100)</f>
        <v>112.87256806280827</v>
      </c>
      <c r="D13" s="26">
        <f>IF(113524.32474="","-",113524.32474/4403044.02622*100)</f>
        <v>2.5783145492973931</v>
      </c>
      <c r="E13" s="26">
        <f>IF(128137.82071="","-",128137.82071/5891753.11111*100)</f>
        <v>2.1748674510541224</v>
      </c>
      <c r="F13" s="26">
        <f>IF(OR(3323881.41153="",81508.33627="",113524.32474=""),"-",(113524.32474-81508.33627)/3323881.41153*100)</f>
        <v>0.9632109123671434</v>
      </c>
      <c r="G13" s="26">
        <f>IF(OR(4403044.02622="",128137.82071="",113524.32474=""),"-",(128137.82071-113524.32474)/4403044.02622*100)</f>
        <v>0.33189529523159561</v>
      </c>
    </row>
    <row r="14" spans="1:7" s="29" customFormat="1" x14ac:dyDescent="0.2">
      <c r="A14" s="30" t="s">
        <v>40</v>
      </c>
      <c r="B14" s="32">
        <v>119948.74982</v>
      </c>
      <c r="C14" s="26">
        <f>IF(OR(81644.59755="",119948.74982=""),"-",119948.74982/81644.59755*100)</f>
        <v>146.91572182291929</v>
      </c>
      <c r="D14" s="26">
        <f>IF(81644.59755="","-",81644.59755/4403044.02622*100)</f>
        <v>1.8542762021866868</v>
      </c>
      <c r="E14" s="26">
        <f>IF(119948.74982="","-",119948.74982/5891753.11111*100)</f>
        <v>2.0358753593020427</v>
      </c>
      <c r="F14" s="26">
        <f>IF(OR(3323881.41153="",65122.46504="",81644.59755=""),"-",(81644.59755-65122.46504)/3323881.41153*100)</f>
        <v>0.49707346515695267</v>
      </c>
      <c r="G14" s="26">
        <f>IF(OR(4403044.02622="",119948.74982="",81644.59755=""),"-",(119948.74982-81644.59755)/4403044.02622*100)</f>
        <v>0.86994706484649853</v>
      </c>
    </row>
    <row r="15" spans="1:7" s="29" customFormat="1" x14ac:dyDescent="0.2">
      <c r="A15" s="25" t="s">
        <v>299</v>
      </c>
      <c r="B15" s="26">
        <v>87843.874030000006</v>
      </c>
      <c r="C15" s="26">
        <f>IF(OR(75089.26197="",87843.87403=""),"-",87843.87403/75089.26197*100)</f>
        <v>116.98593344158287</v>
      </c>
      <c r="D15" s="26">
        <f>IF(75089.26197="","-",75089.26197/4403044.02622*100)</f>
        <v>1.7053943027334186</v>
      </c>
      <c r="E15" s="26">
        <f>IF(87843.87403="","-",87843.87403/5891753.11111*100)</f>
        <v>1.4909632561546748</v>
      </c>
      <c r="F15" s="26">
        <f>IF(OR(3323881.41153="",53790.02557="",75089.26197=""),"-",(75089.26197-53790.02557)/3323881.41153*100)</f>
        <v>0.64079411275373555</v>
      </c>
      <c r="G15" s="26">
        <f>IF(OR(4403044.02622="",87843.87403="",75089.26197=""),"-",(87843.87403-75089.26197)/4403044.02622*100)</f>
        <v>0.28967714117884474</v>
      </c>
    </row>
    <row r="16" spans="1:7" s="29" customFormat="1" x14ac:dyDescent="0.2">
      <c r="A16" s="25" t="s">
        <v>6</v>
      </c>
      <c r="B16" s="26">
        <v>87001.750599999999</v>
      </c>
      <c r="C16" s="26">
        <f>IF(OR(57903.20066="",87001.7506=""),"-",87001.7506/57903.20066*100)</f>
        <v>150.25378495199752</v>
      </c>
      <c r="D16" s="26">
        <f>IF(57903.20066="","-",57903.20066/4403044.02622*100)</f>
        <v>1.3150720346012466</v>
      </c>
      <c r="E16" s="26">
        <f>IF(87001.7506="","-",87001.7506/5891753.11111*100)</f>
        <v>1.476669998882709</v>
      </c>
      <c r="F16" s="26">
        <f>IF(OR(3323881.41153="",38440.29875="",57903.20066=""),"-",(57903.20066-38440.29875)/3323881.41153*100)</f>
        <v>0.58554742183299269</v>
      </c>
      <c r="G16" s="26">
        <f>IF(OR(4403044.02622="",87001.7506="",57903.20066=""),"-",(87001.7506-57903.20066)/4403044.02622*100)</f>
        <v>0.66087347223236859</v>
      </c>
    </row>
    <row r="17" spans="1:7" s="29" customFormat="1" x14ac:dyDescent="0.2">
      <c r="A17" s="25" t="s">
        <v>38</v>
      </c>
      <c r="B17" s="32">
        <v>71131.547030000002</v>
      </c>
      <c r="C17" s="26">
        <f>IF(OR(61524.51072="",71131.54703=""),"-",71131.54703/61524.51072*100)</f>
        <v>115.61497393083211</v>
      </c>
      <c r="D17" s="26">
        <f>IF(61524.51072="","-",61524.51072/4403044.02622*100)</f>
        <v>1.397317636472025</v>
      </c>
      <c r="E17" s="26">
        <f>IF(71131.54703="","-",71131.54703/5891753.11111*100)</f>
        <v>1.2073069880655418</v>
      </c>
      <c r="F17" s="26">
        <f>IF(OR(3323881.41153="",49722.56415="",61524.51072=""),"-",(61524.51072-49722.56415)/3323881.41153*100)</f>
        <v>0.35506521168477856</v>
      </c>
      <c r="G17" s="26">
        <f>IF(OR(4403044.02622="",71131.54703="",61524.51072=""),"-",(71131.54703-61524.51072)/4403044.02622*100)</f>
        <v>0.21819078466602601</v>
      </c>
    </row>
    <row r="18" spans="1:7" s="29" customFormat="1" x14ac:dyDescent="0.2">
      <c r="A18" s="25" t="s">
        <v>323</v>
      </c>
      <c r="B18" s="26">
        <v>59060.156790000001</v>
      </c>
      <c r="C18" s="26">
        <f>IF(OR(47838.96305="",59060.15679=""),"-",59060.15679/47838.96305*100)</f>
        <v>123.4561809549925</v>
      </c>
      <c r="D18" s="26">
        <f>IF(47838.96305="","-",47838.96305/4403044.02622*100)</f>
        <v>1.0864974950311728</v>
      </c>
      <c r="E18" s="26">
        <f>IF(59060.15679="","-",59060.15679/5891753.11111*100)</f>
        <v>1.002420768083969</v>
      </c>
      <c r="F18" s="26">
        <f>IF(OR(3323881.41153="",34980.40445="",47838.96305=""),"-",(47838.96305-34980.40445)/3323881.41153*100)</f>
        <v>0.38685371130858526</v>
      </c>
      <c r="G18" s="26">
        <f>IF(OR(4403044.02622="",59060.15679="",47838.96305=""),"-",(59060.15679-47838.96305)/4403044.02622*100)</f>
        <v>0.25485081850597263</v>
      </c>
    </row>
    <row r="19" spans="1:7" s="29" customFormat="1" x14ac:dyDescent="0.2">
      <c r="A19" s="25" t="s">
        <v>7</v>
      </c>
      <c r="B19" s="32">
        <v>54988.057240000002</v>
      </c>
      <c r="C19" s="26">
        <f>IF(OR(66750.45725="",54988.05724=""),"-",54988.05724/66750.45725*100)</f>
        <v>82.378547661559281</v>
      </c>
      <c r="D19" s="26">
        <f>IF(66750.45725="","-",66750.45725/4403044.02622*100)</f>
        <v>1.5160070363253912</v>
      </c>
      <c r="E19" s="26">
        <f>IF(54988.05724="","-",54988.05724/5891753.11111*100)</f>
        <v>0.93330552389083909</v>
      </c>
      <c r="F19" s="26">
        <f>IF(OR(3323881.41153="",36650.62012="",66750.45725=""),"-",(66750.45725-36650.62012)/3323881.41153*100)</f>
        <v>0.90556290683502139</v>
      </c>
      <c r="G19" s="26">
        <f>IF(OR(4403044.02622="",54988.05724="",66750.45725=""),"-",(54988.05724-66750.45725)/4403044.02622*100)</f>
        <v>-0.26714245735348663</v>
      </c>
    </row>
    <row r="20" spans="1:7" s="29" customFormat="1" ht="15.75" customHeight="1" x14ac:dyDescent="0.2">
      <c r="A20" s="25" t="s">
        <v>8</v>
      </c>
      <c r="B20" s="32">
        <v>44242.317940000001</v>
      </c>
      <c r="C20" s="26" t="s">
        <v>193</v>
      </c>
      <c r="D20" s="26">
        <f>IF(20145.56268="","-",20145.56268/4403044.02622*100)</f>
        <v>0.45753716201867967</v>
      </c>
      <c r="E20" s="26">
        <f>IF(44242.31794="","-",44242.31794/5891753.11111*100)</f>
        <v>0.75091941406324136</v>
      </c>
      <c r="F20" s="26">
        <f>IF(OR(3323881.41153="",16066.68539="",20145.56268=""),"-",(20145.56268-16066.68539)/3323881.41153*100)</f>
        <v>0.12271428444622125</v>
      </c>
      <c r="G20" s="26">
        <f>IF(OR(4403044.02622="",44242.31794="",20145.56268=""),"-",(44242.31794-20145.56268)/4403044.02622*100)</f>
        <v>0.54727491064146794</v>
      </c>
    </row>
    <row r="21" spans="1:7" s="29" customFormat="1" x14ac:dyDescent="0.2">
      <c r="A21" s="25" t="s">
        <v>39</v>
      </c>
      <c r="B21" s="26">
        <v>34720.713300000003</v>
      </c>
      <c r="C21" s="26">
        <f>IF(OR(30625.32153="",34720.7133=""),"-",34720.7133/30625.32153*100)</f>
        <v>113.37256742264152</v>
      </c>
      <c r="D21" s="26">
        <f>IF(30625.32153="","-",30625.32153/4403044.02622*100)</f>
        <v>0.69554883729590467</v>
      </c>
      <c r="E21" s="26">
        <f>IF(34720.7133="","-",34720.7133/5891753.11111*100)</f>
        <v>0.58931039107065808</v>
      </c>
      <c r="F21" s="26">
        <f>IF(OR(3323881.41153="",24710.70743="",30625.32153=""),"-",(30625.32153-24710.70743)/3323881.41153*100)</f>
        <v>0.17794299397936325</v>
      </c>
      <c r="G21" s="26">
        <f>IF(OR(4403044.02622="",34720.7133="",30625.32153=""),"-",(34720.7133-30625.32153)/4403044.02622*100)</f>
        <v>9.301273722479407E-2</v>
      </c>
    </row>
    <row r="22" spans="1:7" s="29" customFormat="1" x14ac:dyDescent="0.2">
      <c r="A22" s="25" t="s">
        <v>42</v>
      </c>
      <c r="B22" s="26">
        <v>34494.290289999997</v>
      </c>
      <c r="C22" s="26">
        <f>IF(OR(25562.75143="",34494.29029=""),"-",34494.29029/25562.75143*100)</f>
        <v>134.93966165754011</v>
      </c>
      <c r="D22" s="26">
        <f>IF(25562.75143="","-",25562.75143/4403044.02622*100)</f>
        <v>0.58056997108760555</v>
      </c>
      <c r="E22" s="26">
        <f>IF(34494.29029="","-",34494.29029/5891753.11111*100)</f>
        <v>0.58546734120536337</v>
      </c>
      <c r="F22" s="26">
        <f>IF(OR(3323881.41153="",17780.48799="",25562.75143=""),"-",(25562.75143-17780.48799)/3323881.41153*100)</f>
        <v>0.23413180184481316</v>
      </c>
      <c r="G22" s="26">
        <f>IF(OR(4403044.02622="",34494.29029="",25562.75143=""),"-",(34494.29029-25562.75143)/4403044.02622*100)</f>
        <v>0.20284918358328785</v>
      </c>
    </row>
    <row r="23" spans="1:7" s="29" customFormat="1" x14ac:dyDescent="0.2">
      <c r="A23" s="25" t="s">
        <v>48</v>
      </c>
      <c r="B23" s="26">
        <v>21924.791389999999</v>
      </c>
      <c r="C23" s="26">
        <f>IF(OR(17457.51699="",21924.79139=""),"-",21924.79139/17457.51699*100)</f>
        <v>125.58940313538827</v>
      </c>
      <c r="D23" s="26">
        <f>IF(17457.51699="","-",17457.51699/4403044.02622*100)</f>
        <v>0.39648745018312304</v>
      </c>
      <c r="E23" s="26">
        <f>IF(21924.79139="","-",21924.79139/5891753.11111*100)</f>
        <v>0.37212678427846396</v>
      </c>
      <c r="F23" s="26">
        <f>IF(OR(3323881.41153="",13068.45892="",17457.51699=""),"-",(17457.51699-13068.45892)/3323881.41153*100)</f>
        <v>0.13204616911948416</v>
      </c>
      <c r="G23" s="26">
        <f>IF(OR(4403044.02622="",21924.79139="",17457.51699=""),"-",(21924.79139-17457.51699)/4403044.02622*100)</f>
        <v>0.10145877200858106</v>
      </c>
    </row>
    <row r="24" spans="1:7" s="29" customFormat="1" x14ac:dyDescent="0.2">
      <c r="A24" s="25" t="s">
        <v>50</v>
      </c>
      <c r="B24" s="26">
        <v>18842.665499999999</v>
      </c>
      <c r="C24" s="26">
        <f>IF(OR(19205.95133="",18842.6655=""),"-",18842.6655/19205.95133*100)</f>
        <v>98.10847260956794</v>
      </c>
      <c r="D24" s="26">
        <f>IF(19205.95133="","-",19205.95133/4403044.02622*100)</f>
        <v>0.43619712216432793</v>
      </c>
      <c r="E24" s="26">
        <f>IF(18842.6655="","-",18842.6655/5891753.11111*100)</f>
        <v>0.3198142411036986</v>
      </c>
      <c r="F24" s="26">
        <f>IF(OR(3323881.41153="",14710.52083="",19205.95133=""),"-",(19205.95133-14710.52083)/3323881.41153*100)</f>
        <v>0.13524641656606906</v>
      </c>
      <c r="G24" s="26">
        <f>IF(OR(4403044.02622="",18842.6655="",19205.95133=""),"-",(18842.6655-19205.95133)/4403044.02622*100)</f>
        <v>-8.2507880420146611E-3</v>
      </c>
    </row>
    <row r="25" spans="1:7" s="29" customFormat="1" x14ac:dyDescent="0.2">
      <c r="A25" s="25" t="s">
        <v>49</v>
      </c>
      <c r="B25" s="26">
        <v>18475.35282</v>
      </c>
      <c r="C25" s="26">
        <f>IF(OR(17751.41327="",18475.35282=""),"-",18475.35282/17751.41327*100)</f>
        <v>104.07820796569173</v>
      </c>
      <c r="D25" s="26">
        <f>IF(17751.41327="","-",17751.41327/4403044.02622*100)</f>
        <v>0.40316229327462649</v>
      </c>
      <c r="E25" s="26">
        <f>IF(18475.35282="","-",18475.35282/5891753.11111*100)</f>
        <v>0.31357988821970956</v>
      </c>
      <c r="F25" s="26">
        <f>IF(OR(3323881.41153="",11143.44216="",17751.41327=""),"-",(17751.41327-11143.44216)/3323881.41153*100)</f>
        <v>0.1988028540091121</v>
      </c>
      <c r="G25" s="26">
        <f>IF(OR(4403044.02622="",18475.35282="",17751.41327=""),"-",(18475.35282-17751.41327)/4403044.02622*100)</f>
        <v>1.6441796758991281E-2</v>
      </c>
    </row>
    <row r="26" spans="1:7" s="29" customFormat="1" x14ac:dyDescent="0.2">
      <c r="A26" s="25" t="s">
        <v>47</v>
      </c>
      <c r="B26" s="26">
        <v>13756.826499999999</v>
      </c>
      <c r="C26" s="26">
        <f>IF(OR(9476.4613="",13756.8265=""),"-",13756.8265/9476.4613*100)</f>
        <v>145.16839212966551</v>
      </c>
      <c r="D26" s="26">
        <f>IF(9476.4613="","-",9476.4613/4403044.02622*100)</f>
        <v>0.21522522244992207</v>
      </c>
      <c r="E26" s="26">
        <f>IF(13756.8265="","-",13756.8265/5891753.11111*100)</f>
        <v>0.23349292206523276</v>
      </c>
      <c r="F26" s="26">
        <f>IF(OR(3323881.41153="",7098.15604="",9476.4613=""),"-",(9476.4613-7098.15604)/3323881.41153*100)</f>
        <v>7.155204911192227E-2</v>
      </c>
      <c r="G26" s="26">
        <f>IF(OR(4403044.02622="",13756.8265="",9476.4613=""),"-",(13756.8265-9476.4613)/4403044.02622*100)</f>
        <v>9.7213772438125692E-2</v>
      </c>
    </row>
    <row r="27" spans="1:7" s="29" customFormat="1" x14ac:dyDescent="0.2">
      <c r="A27" s="25" t="s">
        <v>46</v>
      </c>
      <c r="B27" s="26">
        <v>13157.18262</v>
      </c>
      <c r="C27" s="26">
        <f>IF(OR(10500.49494="",13157.18262=""),"-",13157.18262/10500.49494*100)</f>
        <v>125.3005948308185</v>
      </c>
      <c r="D27" s="26">
        <f>IF(10500.49494="","-",10500.49494/4403044.02622*100)</f>
        <v>0.2384826242360934</v>
      </c>
      <c r="E27" s="26">
        <f>IF(13157.18262="","-",13157.18262/5891753.11111*100)</f>
        <v>0.22331524033465822</v>
      </c>
      <c r="F27" s="26">
        <f>IF(OR(3323881.41153="",8043.61574="",10500.49494=""),"-",(10500.49494-8043.61574)/3323881.41153*100)</f>
        <v>7.3915970391647809E-2</v>
      </c>
      <c r="G27" s="26">
        <f>IF(OR(4403044.02622="",13157.18262="",10500.49494=""),"-",(13157.18262-10500.49494)/4403044.02622*100)</f>
        <v>6.0337522499877366E-2</v>
      </c>
    </row>
    <row r="28" spans="1:7" s="29" customFormat="1" x14ac:dyDescent="0.2">
      <c r="A28" s="25" t="s">
        <v>41</v>
      </c>
      <c r="B28" s="26">
        <v>11374.730600000001</v>
      </c>
      <c r="C28" s="26">
        <f>IF(OR(8404.73568="",11374.7306=""),"-",11374.7306/8404.73568*100)</f>
        <v>135.33716029960863</v>
      </c>
      <c r="D28" s="26">
        <f>IF(8404.73568="","-",8404.73568/4403044.02622*100)</f>
        <v>0.19088466138312588</v>
      </c>
      <c r="E28" s="26">
        <f>IF(11374.7306="","-",11374.7306/5891753.11111*100)</f>
        <v>0.19306190170377005</v>
      </c>
      <c r="F28" s="26">
        <f>IF(OR(3323881.41153="",9226.37545="",8404.73568=""),"-",(8404.73568-9226.37545)/3323881.41153*100)</f>
        <v>-2.4719286528991857E-2</v>
      </c>
      <c r="G28" s="26">
        <f>IF(OR(4403044.02622="",11374.7306="",8404.73568=""),"-",(11374.7306-8404.73568)/4403044.02622*100)</f>
        <v>6.7453218780320318E-2</v>
      </c>
    </row>
    <row r="29" spans="1:7" s="29" customFormat="1" x14ac:dyDescent="0.2">
      <c r="A29" s="25" t="s">
        <v>43</v>
      </c>
      <c r="B29" s="26">
        <v>11117.95067</v>
      </c>
      <c r="C29" s="26">
        <f>IF(OR(9701.93227="",11117.95067=""),"-",11117.95067/9701.93227*100)</f>
        <v>114.59522042200364</v>
      </c>
      <c r="D29" s="26">
        <f>IF(9701.93227="","-",9701.93227/4403044.02622*100)</f>
        <v>0.22034601998583872</v>
      </c>
      <c r="E29" s="26">
        <f>IF(11117.95067="","-",11117.95067/5891753.11111*100)</f>
        <v>0.18870360757369534</v>
      </c>
      <c r="F29" s="26">
        <f>IF(OR(3323881.41153="",6725.75419="",9701.93227=""),"-",(9701.93227-6725.75419)/3323881.41153*100)</f>
        <v>8.9539237762097212E-2</v>
      </c>
      <c r="G29" s="26">
        <f>IF(OR(4403044.02622="",11117.95067="",9701.93227=""),"-",(11117.95067-9701.93227)/4403044.02622*100)</f>
        <v>3.2159987308045347E-2</v>
      </c>
    </row>
    <row r="30" spans="1:7" s="29" customFormat="1" x14ac:dyDescent="0.2">
      <c r="A30" s="25" t="s">
        <v>290</v>
      </c>
      <c r="B30" s="26">
        <v>6781.2997400000004</v>
      </c>
      <c r="C30" s="26">
        <f>IF(OR(5406.03059="",6781.29974=""),"-",6781.29974/5406.03059*100)</f>
        <v>125.43953695977883</v>
      </c>
      <c r="D30" s="26">
        <f>IF(5406.03059="","-",5406.03059/4403044.02622*100)</f>
        <v>0.12277938984500822</v>
      </c>
      <c r="E30" s="26">
        <f>IF(6781.29974="","-",6781.29974/5891753.11111*100)</f>
        <v>0.11509816538667574</v>
      </c>
      <c r="F30" s="26">
        <f>IF(OR(3323881.41153="",3641.32779="",5406.03059=""),"-",(5406.03059-3641.32779)/3323881.41153*100)</f>
        <v>5.3091629378789973E-2</v>
      </c>
      <c r="G30" s="26">
        <f>IF(OR(4403044.02622="",6781.29974="",5406.03059=""),"-",(6781.29974-5406.03059)/4403044.02622*100)</f>
        <v>3.1234508258611814E-2</v>
      </c>
    </row>
    <row r="31" spans="1:7" s="29" customFormat="1" x14ac:dyDescent="0.2">
      <c r="A31" s="25" t="s">
        <v>51</v>
      </c>
      <c r="B31" s="26">
        <v>5865.5163300000004</v>
      </c>
      <c r="C31" s="26">
        <f>IF(OR(4700.38374="",5865.51633=""),"-",5865.51633/4700.38374*100)</f>
        <v>124.78803124274276</v>
      </c>
      <c r="D31" s="26">
        <f>IF(4700.38374="","-",4700.38374/4403044.02622*100)</f>
        <v>0.10675304884551121</v>
      </c>
      <c r="E31" s="26">
        <f>IF(5865.51633="","-",5865.51633/5891753.11111*100)</f>
        <v>9.9554686345214888E-2</v>
      </c>
      <c r="F31" s="26">
        <f>IF(OR(3323881.41153="",4442.90173="",4700.38374=""),"-",(4700.38374-4442.90173)/3323881.41153*100)</f>
        <v>7.7464258835119003E-3</v>
      </c>
      <c r="G31" s="26">
        <f>IF(OR(4403044.02622="",5865.51633="",4700.38374=""),"-",(5865.51633-4700.38374)/4403044.02622*100)</f>
        <v>2.6461979100405746E-2</v>
      </c>
    </row>
    <row r="32" spans="1:7" s="29" customFormat="1" x14ac:dyDescent="0.2">
      <c r="A32" s="25" t="s">
        <v>44</v>
      </c>
      <c r="B32" s="26">
        <v>3660.2872600000001</v>
      </c>
      <c r="C32" s="26">
        <f>IF(OR(3943.65531="",3660.28726=""),"-",3660.28726/3943.65531*100)</f>
        <v>92.814583737035576</v>
      </c>
      <c r="D32" s="26">
        <f>IF(3943.65531="","-",3943.65531/4403044.02622*100)</f>
        <v>8.956656546052337E-2</v>
      </c>
      <c r="E32" s="26">
        <f>IF(3660.28726="","-",3660.28726/5891753.11111*100)</f>
        <v>6.2125604908628056E-2</v>
      </c>
      <c r="F32" s="26">
        <f>IF(OR(3323881.41153="",2316.97388="",3943.65531=""),"-",(3943.65531-2316.97388)/3323881.41153*100)</f>
        <v>4.8939213786548127E-2</v>
      </c>
      <c r="G32" s="26">
        <f>IF(OR(4403044.02622="",3660.28726="",3943.65531=""),"-",(3660.28726-3943.65531)/4403044.02622*100)</f>
        <v>-6.4357305607791208E-3</v>
      </c>
    </row>
    <row r="33" spans="1:7" s="29" customFormat="1" x14ac:dyDescent="0.2">
      <c r="A33" s="25" t="s">
        <v>52</v>
      </c>
      <c r="B33" s="26">
        <v>1915.0673200000001</v>
      </c>
      <c r="C33" s="26">
        <f>IF(OR(1708.03303="",1915.06732=""),"-",1915.06732/1708.03303*100)</f>
        <v>112.12121114543083</v>
      </c>
      <c r="D33" s="26">
        <f>IF(1708.03303="","-",1708.03303/4403044.02622*100)</f>
        <v>3.8792095192069685E-2</v>
      </c>
      <c r="E33" s="26">
        <f>IF(1915.06732="","-",1915.06732/5891753.11111*100)</f>
        <v>3.2504201786540975E-2</v>
      </c>
      <c r="F33" s="26">
        <f>IF(OR(3323881.41153="",726.70551="",1708.03303=""),"-",(1708.03303-726.70551)/3323881.41153*100)</f>
        <v>2.9523541862713141E-2</v>
      </c>
      <c r="G33" s="26">
        <f>IF(OR(4403044.02622="",1915.06732="",1708.03303=""),"-",(1915.06732-1708.03303)/4403044.02622*100)</f>
        <v>4.7020717659672908E-3</v>
      </c>
    </row>
    <row r="34" spans="1:7" s="29" customFormat="1" x14ac:dyDescent="0.2">
      <c r="A34" s="25" t="s">
        <v>45</v>
      </c>
      <c r="B34" s="26">
        <v>486.62146000000001</v>
      </c>
      <c r="C34" s="26">
        <f>IF(OR(782.52849="",486.62146=""),"-",486.62146/782.52849*100)</f>
        <v>62.185781887634526</v>
      </c>
      <c r="D34" s="26">
        <f>IF(782.52849="","-",782.52849/4403044.02622*100)</f>
        <v>1.7772443003977827E-2</v>
      </c>
      <c r="E34" s="26">
        <f>IF(486.62146="","-",486.62146/5891753.11111*100)</f>
        <v>8.2593661143469232E-3</v>
      </c>
      <c r="F34" s="26">
        <f>IF(OR(3323881.41153="",376.34907="",782.52849=""),"-",(782.52849-376.34907)/3323881.41153*100)</f>
        <v>1.2220033440153136E-2</v>
      </c>
      <c r="G34" s="26">
        <f>IF(OR(4403044.02622="",486.62146="",782.52849=""),"-",(486.62146-782.52849)/4403044.02622*100)</f>
        <v>-6.7205103614200127E-3</v>
      </c>
    </row>
    <row r="35" spans="1:7" s="29" customFormat="1" ht="24" x14ac:dyDescent="0.2">
      <c r="A35" s="25" t="s">
        <v>317</v>
      </c>
      <c r="B35" s="26">
        <v>124.45140000000001</v>
      </c>
      <c r="C35" s="26" t="s">
        <v>357</v>
      </c>
      <c r="D35" s="26">
        <f>IF(42.84089="","-",42.84089/4403044.02622*100)</f>
        <v>9.7298345746451177E-4</v>
      </c>
      <c r="E35" s="26">
        <f>IF(124.4514="","-",124.4514/5891753.11111*100)</f>
        <v>2.1122982863169145E-3</v>
      </c>
      <c r="F35" s="26" t="str">
        <f>IF(OR(3323881.41153="",""="",42.84089=""),"-",(42.84089-"")/3323881.41153*100)</f>
        <v>-</v>
      </c>
      <c r="G35" s="26">
        <f>IF(OR(4403044.02622="",124.4514="",42.84089=""),"-",(124.4514-42.84089)/4403044.02622*100)</f>
        <v>1.8535020207386473E-3</v>
      </c>
    </row>
    <row r="36" spans="1:7" s="29" customFormat="1" x14ac:dyDescent="0.2">
      <c r="A36" s="25" t="s">
        <v>53</v>
      </c>
      <c r="B36" s="26">
        <v>41.835619999999999</v>
      </c>
      <c r="C36" s="26">
        <f>IF(OR(70.23853="",41.83562=""),"-",41.83562/70.23853*100)</f>
        <v>59.562208947140547</v>
      </c>
      <c r="D36" s="26">
        <f>IF(70.23853="","-",70.23853/4403044.02622*100)</f>
        <v>1.5952266109930215E-3</v>
      </c>
      <c r="E36" s="26">
        <f>IF(41.83562="","-",41.83562/5891753.11111*100)</f>
        <v>7.1007082630653907E-4</v>
      </c>
      <c r="F36" s="26">
        <f>IF(OR(3323881.41153="",108.73524="",70.23853=""),"-",(70.23853-108.73524)/3323881.41153*100)</f>
        <v>-1.1581854234167688E-3</v>
      </c>
      <c r="G36" s="26">
        <f>IF(OR(4403044.02622="",41.83562="",70.23853=""),"-",(41.83562-70.23853)/4403044.02622*100)</f>
        <v>-6.4507440377296909E-4</v>
      </c>
    </row>
    <row r="37" spans="1:7" s="29" customFormat="1" x14ac:dyDescent="0.2">
      <c r="A37" s="24" t="s">
        <v>195</v>
      </c>
      <c r="B37" s="20">
        <v>1494256.7149100001</v>
      </c>
      <c r="C37" s="20">
        <f>IF(1051158.94039="","-",1494256.71491/1051158.94039*100)</f>
        <v>142.15326127137374</v>
      </c>
      <c r="D37" s="20">
        <f>IF(1051158.94039="","-",1051158.94039/4403044.02622*100)</f>
        <v>23.873459682219362</v>
      </c>
      <c r="E37" s="20">
        <f>IF(1494256.71491="","-",1494256.71491/5891753.11111*100)</f>
        <v>25.361835208136952</v>
      </c>
      <c r="F37" s="20">
        <f>IF(3323881.41153="","-",(1051158.94039-843045.62724)/3323881.41153*100)</f>
        <v>6.261153374127276</v>
      </c>
      <c r="G37" s="20">
        <f>IF(4403044.02622="","-",(1494256.71491-1051158.94039)/4403044.02622*100)</f>
        <v>10.063441834361994</v>
      </c>
    </row>
    <row r="38" spans="1:7" s="29" customFormat="1" x14ac:dyDescent="0.2">
      <c r="A38" s="25" t="s">
        <v>291</v>
      </c>
      <c r="B38" s="26">
        <v>799925.00691999996</v>
      </c>
      <c r="C38" s="26">
        <f>IF(OR(536128.98944="",799925.00692=""),"-",799925.00692/536128.98944*100)</f>
        <v>149.20383390488573</v>
      </c>
      <c r="D38" s="26">
        <f>IF(536128.98944="","-",536128.98944/4403044.02622*100)</f>
        <v>12.176325883806006</v>
      </c>
      <c r="E38" s="26">
        <f>IF(799925.00692="","-",799925.00692/5891753.11111*100)</f>
        <v>13.577028633660703</v>
      </c>
      <c r="F38" s="26">
        <f>IF(OR(3323881.41153="",382578.49863="",536128.98944=""),"-",(536128.98944-382578.49863)/3323881.41153*100)</f>
        <v>4.6196139933680715</v>
      </c>
      <c r="G38" s="26">
        <f>IF(OR(4403044.02622="",799925.00692="",536128.98944=""),"-",(799925.00692-536128.98944)/4403044.02622*100)</f>
        <v>5.9912191635855159</v>
      </c>
    </row>
    <row r="39" spans="1:7" s="29" customFormat="1" x14ac:dyDescent="0.2">
      <c r="A39" s="25" t="s">
        <v>10</v>
      </c>
      <c r="B39" s="26">
        <v>573092.08059999999</v>
      </c>
      <c r="C39" s="26">
        <f>IF(OR(407680.05537="",573092.0806=""),"-",573092.0806/407680.05537*100)</f>
        <v>140.57398026986536</v>
      </c>
      <c r="D39" s="26">
        <f>IF(407680.05537="","-",407680.05537/4403044.02622*100)</f>
        <v>9.2590501694345324</v>
      </c>
      <c r="E39" s="26">
        <f>IF(573092.0806="","-",573092.0806/5891753.11111*100)</f>
        <v>9.7270213091469824</v>
      </c>
      <c r="F39" s="26">
        <f>IF(OR(3323881.41153="",326894.28344="",407680.05537=""),"-",(407680.05537-326894.28344)/3323881.41153*100)</f>
        <v>2.4304649272313803</v>
      </c>
      <c r="G39" s="26">
        <f>IF(OR(4403044.02622="",573092.0806="",407680.05537=""),"-",(573092.0806-407680.05537)/4403044.02622*100)</f>
        <v>3.756765188923302</v>
      </c>
    </row>
    <row r="40" spans="1:7" s="29" customFormat="1" x14ac:dyDescent="0.2">
      <c r="A40" s="25" t="s">
        <v>9</v>
      </c>
      <c r="B40" s="26">
        <v>69662.860790000006</v>
      </c>
      <c r="C40" s="26">
        <f>IF(OR(82325.87557="",69662.86079=""),"-",69662.86079/82325.87557*100)</f>
        <v>84.618426840498159</v>
      </c>
      <c r="D40" s="26">
        <f>IF(82325.87557="","-",82325.87557/4403044.02622*100)</f>
        <v>1.8697490890336728</v>
      </c>
      <c r="E40" s="26">
        <f>IF(69662.86079="","-",69662.86079/5891753.11111*100)</f>
        <v>1.1823791573791116</v>
      </c>
      <c r="F40" s="26">
        <f>IF(OR(3323881.41153="",68407.43788="",82325.87557=""),"-",(82325.87557-68407.43788)/3323881.41153*100)</f>
        <v>0.41874050144265751</v>
      </c>
      <c r="G40" s="26">
        <f>IF(OR(4403044.02622="",69662.86079="",82325.87557=""),"-",(69662.86079-82325.87557)/4403044.02622*100)</f>
        <v>-0.28759682402883346</v>
      </c>
    </row>
    <row r="41" spans="1:7" s="29" customFormat="1" x14ac:dyDescent="0.2">
      <c r="A41" s="25" t="s">
        <v>11</v>
      </c>
      <c r="B41" s="26">
        <v>13602.962240000001</v>
      </c>
      <c r="C41" s="26">
        <f>IF(OR(9508.50499="",13602.96224=""),"-",13602.96224/9508.50499*100)</f>
        <v>143.06099911927376</v>
      </c>
      <c r="D41" s="26">
        <f>IF(9508.50499="","-",9508.50499/4403044.02622*100)</f>
        <v>0.21595298464828255</v>
      </c>
      <c r="E41" s="26">
        <f>IF(13602.96224="","-",13602.96224/5891753.11111*100)</f>
        <v>0.2308814029282571</v>
      </c>
      <c r="F41" s="26">
        <f>IF(OR(3323881.41153="",54808.67086="",9508.50499=""),"-",(9508.50499-54808.67086)/3323881.41153*100)</f>
        <v>-1.3628694968737798</v>
      </c>
      <c r="G41" s="26">
        <f>IF(OR(4403044.02622="",13602.96224="",9508.50499=""),"-",(13602.96224-9508.50499)/4403044.02622*100)</f>
        <v>9.2991512817442348E-2</v>
      </c>
    </row>
    <row r="42" spans="1:7" s="29" customFormat="1" x14ac:dyDescent="0.2">
      <c r="A42" s="25" t="s">
        <v>14</v>
      </c>
      <c r="B42" s="26">
        <v>12809.3639</v>
      </c>
      <c r="C42" s="26" t="s">
        <v>18</v>
      </c>
      <c r="D42" s="26">
        <f>IF(6283.05521="","-",6283.05521/4403044.02622*100)</f>
        <v>0.14269798740563544</v>
      </c>
      <c r="E42" s="26">
        <f>IF(12809.3639="","-",12809.3639/5891753.11111*100)</f>
        <v>0.2174117560331161</v>
      </c>
      <c r="F42" s="26">
        <f>IF(OR(3323881.41153="",1416.62823="",6283.05521=""),"-",(6283.05521-1416.62823)/3323881.41153*100)</f>
        <v>0.14640796037786313</v>
      </c>
      <c r="G42" s="26">
        <f>IF(OR(4403044.02622="",12809.3639="",6283.05521=""),"-",(12809.3639-6283.05521)/4403044.02622*100)</f>
        <v>0.14822265349008595</v>
      </c>
    </row>
    <row r="43" spans="1:7" s="29" customFormat="1" x14ac:dyDescent="0.2">
      <c r="A43" s="25" t="s">
        <v>13</v>
      </c>
      <c r="B43" s="26">
        <v>11104.23263</v>
      </c>
      <c r="C43" s="26">
        <f>IF(OR(7352.38437="",11104.23263=""),"-",11104.23263/7352.38437*100)</f>
        <v>151.02900054176575</v>
      </c>
      <c r="D43" s="26">
        <f>IF(7352.38437="","-",7352.38437/4403044.02622*100)</f>
        <v>0.1669841211265834</v>
      </c>
      <c r="E43" s="26">
        <f>IF(11104.23263="","-",11104.23263/5891753.11111*100)</f>
        <v>0.18847077297011813</v>
      </c>
      <c r="F43" s="26">
        <f>IF(OR(3323881.41153="",4238.12187="",7352.38437=""),"-",(7352.38437-4238.12187)/3323881.41153*100)</f>
        <v>9.3693550233083928E-2</v>
      </c>
      <c r="G43" s="26">
        <f>IF(OR(4403044.02622="",11104.23263="",7352.38437=""),"-",(11104.23263-7352.38437)/4403044.02622*100)</f>
        <v>8.521032807434703E-2</v>
      </c>
    </row>
    <row r="44" spans="1:7" s="29" customFormat="1" x14ac:dyDescent="0.2">
      <c r="A44" s="25" t="s">
        <v>12</v>
      </c>
      <c r="B44" s="26">
        <v>9410.0260099999996</v>
      </c>
      <c r="C44" s="26" t="s">
        <v>359</v>
      </c>
      <c r="D44" s="26">
        <f>IF(1044.99536="","-",1044.99536/4403044.02622*100)</f>
        <v>2.3733475154395067E-2</v>
      </c>
      <c r="E44" s="26">
        <f>IF(9410.02601="","-",9410.02601/5891753.11111*100)</f>
        <v>0.15971521264622646</v>
      </c>
      <c r="F44" s="26">
        <f>IF(OR(3323881.41153="",4066.02536="",1044.99536=""),"-",(1044.99536-4066.02536)/3323881.41153*100)</f>
        <v>-9.0888621643375786E-2</v>
      </c>
      <c r="G44" s="26">
        <f>IF(OR(4403044.02622="",9410.02601="",1044.99536=""),"-",(9410.02601-1044.99536)/4403044.02622*100)</f>
        <v>0.18998289819921135</v>
      </c>
    </row>
    <row r="45" spans="1:7" s="29" customFormat="1" x14ac:dyDescent="0.2">
      <c r="A45" s="25" t="s">
        <v>300</v>
      </c>
      <c r="B45" s="26">
        <v>3036.9526500000002</v>
      </c>
      <c r="C45" s="26" t="s">
        <v>384</v>
      </c>
      <c r="D45" s="26">
        <f>IF(345.8323="","-",345.8323/4403044.02622*100)</f>
        <v>7.8543911425954082E-3</v>
      </c>
      <c r="E45" s="26">
        <f>IF(3036.95265="","-",3036.95265/5891753.11111*100)</f>
        <v>5.1545823335218503E-2</v>
      </c>
      <c r="F45" s="26">
        <f>IF(OR(3323881.41153="",75.56604="",345.8323=""),"-",(345.8323-75.56604)/3323881.41153*100)</f>
        <v>8.131043997613472E-3</v>
      </c>
      <c r="G45" s="26">
        <f>IF(OR(4403044.02622="",3036.95265="",345.8323=""),"-",(3036.95265-345.8323)/4403044.02622*100)</f>
        <v>6.1119542161614915E-2</v>
      </c>
    </row>
    <row r="46" spans="1:7" s="29" customFormat="1" x14ac:dyDescent="0.2">
      <c r="A46" s="25" t="s">
        <v>15</v>
      </c>
      <c r="B46" s="26">
        <v>1611.6164200000001</v>
      </c>
      <c r="C46" s="26" t="s">
        <v>385</v>
      </c>
      <c r="D46" s="26">
        <f>IF(475.17791="","-",475.17791/4403044.02622*100)</f>
        <v>1.0792031766439973E-2</v>
      </c>
      <c r="E46" s="26">
        <f>IF(1611.61642="","-",1611.61642/5891753.11111*100)</f>
        <v>2.7353767030071176E-2</v>
      </c>
      <c r="F46" s="26">
        <f>IF(OR(3323881.41153="",560.20942="",475.17791=""),"-",(475.17791-560.20942)/3323881.41153*100)</f>
        <v>-2.5581992698367529E-3</v>
      </c>
      <c r="G46" s="26">
        <f>IF(OR(4403044.02622="",1611.61642="",475.17791=""),"-",(1611.61642-475.17791)/4403044.02622*100)</f>
        <v>2.5810291771613942E-2</v>
      </c>
    </row>
    <row r="47" spans="1:7" s="29" customFormat="1" x14ac:dyDescent="0.2">
      <c r="A47" s="25" t="s">
        <v>16</v>
      </c>
      <c r="B47" s="26">
        <v>1.6127499999999999</v>
      </c>
      <c r="C47" s="26">
        <f>IF(OR(14.06987="",1.61275=""),"-",1.61275/14.06987*100)</f>
        <v>11.462437108516282</v>
      </c>
      <c r="D47" s="26">
        <f>IF(14.06987="","-",14.06987/4403044.02622*100)</f>
        <v>3.1954870122157149E-4</v>
      </c>
      <c r="E47" s="26">
        <f>IF(1.61275="","-",1.61275/5891753.11111*100)</f>
        <v>2.7373007143813593E-5</v>
      </c>
      <c r="F47" s="26">
        <f>IF(OR(3323881.41153="",0.18551="",14.06987=""),"-",(14.06987-0.18551)/3323881.41153*100)</f>
        <v>4.1771526360228825E-4</v>
      </c>
      <c r="G47" s="26">
        <f>IF(OR(4403044.02622="",1.61275="",14.06987=""),"-",(1.61275-14.06987)/4403044.02622*100)</f>
        <v>-2.8292063231296819E-4</v>
      </c>
    </row>
    <row r="48" spans="1:7" s="29" customFormat="1" x14ac:dyDescent="0.2">
      <c r="A48" s="24" t="s">
        <v>129</v>
      </c>
      <c r="B48" s="20">
        <v>1679834.75526</v>
      </c>
      <c r="C48" s="20">
        <f>IF(1302220.22178="","-",1679834.75526/1302220.22178*100)</f>
        <v>128.9977476285724</v>
      </c>
      <c r="D48" s="20">
        <f>IF(1302220.22178="","-",1302220.22178/4403044.02622*100)</f>
        <v>29.575453118917643</v>
      </c>
      <c r="E48" s="20">
        <f>IF(1679834.75526="","-",1679834.75526/5891753.11111*100)</f>
        <v>28.511628433519355</v>
      </c>
      <c r="F48" s="20">
        <f>IF(3323881.41153="","-",(1302220.22178-959588.74518)/3323881.41153*100)</f>
        <v>10.30817391413146</v>
      </c>
      <c r="G48" s="20">
        <f>IF(4403044.02622="","-",(1679834.75526-1302220.22178)/4403044.02622*100)</f>
        <v>8.576215255430478</v>
      </c>
    </row>
    <row r="49" spans="1:7" s="29" customFormat="1" x14ac:dyDescent="0.2">
      <c r="A49" s="25" t="s">
        <v>57</v>
      </c>
      <c r="B49" s="26">
        <v>596835.00855000003</v>
      </c>
      <c r="C49" s="26">
        <f>IF(OR(513516.90948="",596835.00855=""),"-",596835.00855/513516.90948*100)</f>
        <v>116.22499620399454</v>
      </c>
      <c r="D49" s="26">
        <f>IF(513516.90948="","-",513516.90948/4403044.02622*100)</f>
        <v>11.662770265798423</v>
      </c>
      <c r="E49" s="26">
        <f>IF(596835.00855="","-",596835.00855/5891753.11111*100)</f>
        <v>10.130007101359292</v>
      </c>
      <c r="F49" s="26">
        <f>IF(OR(3323881.41153="",376457.90102="",513516.90948=""),"-",(513516.90948-376457.90102)/3323881.41153*100)</f>
        <v>4.1234626477516541</v>
      </c>
      <c r="G49" s="26">
        <f>IF(OR(4403044.02622="",596835.00855="",513516.90948=""),"-",(596835.00855-513516.90948)/4403044.02622*100)</f>
        <v>1.8922840329063977</v>
      </c>
    </row>
    <row r="50" spans="1:7" s="29" customFormat="1" x14ac:dyDescent="0.2">
      <c r="A50" s="25" t="s">
        <v>54</v>
      </c>
      <c r="B50" s="32">
        <v>408529.03282000002</v>
      </c>
      <c r="C50" s="26">
        <f>IF(OR(313869.85371="",408529.03282=""),"-",408529.03282/313869.85371*100)</f>
        <v>130.15873553675544</v>
      </c>
      <c r="D50" s="26">
        <f>IF(313869.85371="","-",313869.85371/4403044.02622*100)</f>
        <v>7.1284741156553073</v>
      </c>
      <c r="E50" s="26">
        <f>IF(408529.03282="","-",408529.03282/5891753.11111*100)</f>
        <v>6.9339129647106619</v>
      </c>
      <c r="F50" s="26">
        <f>IF(OR(3323881.41153="",225554.0318="",313869.85371=""),"-",(313869.85371-225554.0318)/3323881.41153*100)</f>
        <v>2.6570088091484516</v>
      </c>
      <c r="G50" s="26">
        <f>IF(OR(4403044.02622="",408529.03282="",313869.85371=""),"-",(408529.03282-313869.85371)/4403044.02622*100)</f>
        <v>2.1498576563465486</v>
      </c>
    </row>
    <row r="51" spans="1:7" s="29" customFormat="1" x14ac:dyDescent="0.2">
      <c r="A51" s="25" t="s">
        <v>67</v>
      </c>
      <c r="B51" s="26">
        <v>172784.35243999999</v>
      </c>
      <c r="C51" s="26" t="s">
        <v>362</v>
      </c>
      <c r="D51" s="26">
        <f>IF(29212.46103="","-",29212.46103/4403044.02622*100)</f>
        <v>0.66346057082419874</v>
      </c>
      <c r="E51" s="26">
        <f>IF(172784.35244="","-",172784.35244/5891753.11111*100)</f>
        <v>2.9326475359971016</v>
      </c>
      <c r="F51" s="26">
        <f>IF(OR(3323881.41153="",25638.3302="",29212.46103=""),"-",(29212.46103-25638.3302)/3323881.41153*100)</f>
        <v>0.10752883113103627</v>
      </c>
      <c r="G51" s="26">
        <f>IF(OR(4403044.02622="",172784.35244="",29212.46103=""),"-",(172784.35244-29212.46103)/4403044.02622*100)</f>
        <v>3.2607416722393303</v>
      </c>
    </row>
    <row r="52" spans="1:7" s="29" customFormat="1" x14ac:dyDescent="0.2">
      <c r="A52" s="25" t="s">
        <v>17</v>
      </c>
      <c r="B52" s="32">
        <v>90625.817999999999</v>
      </c>
      <c r="C52" s="26">
        <f>IF(OR(69497.80279="",90625.818=""),"-",90625.818/69497.80279*100)</f>
        <v>130.40098299775326</v>
      </c>
      <c r="D52" s="26">
        <f>IF(69497.80279="","-",69497.80279/4403044.02622*100)</f>
        <v>1.5784035402812824</v>
      </c>
      <c r="E52" s="26">
        <f>IF(90625.818="","-",90625.818/5891753.11111*100)</f>
        <v>1.5381808485679433</v>
      </c>
      <c r="F52" s="26">
        <f>IF(OR(3323881.41153="",42838.58541="",69497.80279=""),"-",(69497.80279-42838.58541)/3323881.41153*100)</f>
        <v>0.80205079782700861</v>
      </c>
      <c r="G52" s="26">
        <f>IF(OR(4403044.02622="",90625.818="",69497.80279=""),"-",(90625.818-69497.80279)/4403044.02622*100)</f>
        <v>0.47985019191684836</v>
      </c>
    </row>
    <row r="53" spans="1:7" s="29" customFormat="1" ht="24" x14ac:dyDescent="0.2">
      <c r="A53" s="25" t="s">
        <v>293</v>
      </c>
      <c r="B53" s="32">
        <v>47433.932710000001</v>
      </c>
      <c r="C53" s="26">
        <f>IF(OR(41681.3178="",47433.93271=""),"-",47433.93271/41681.3178*100)</f>
        <v>113.80142282833488</v>
      </c>
      <c r="D53" s="26">
        <f>IF(41681.3178="","-",41681.3178/4403044.02622*100)</f>
        <v>0.94664776349700241</v>
      </c>
      <c r="E53" s="26">
        <f>IF(47433.93271="","-",47433.93271/5891753.11111*100)</f>
        <v>0.80509029851496094</v>
      </c>
      <c r="F53" s="26">
        <f>IF(OR(3323881.41153="",30109.87895="",41681.3178=""),"-",(41681.3178-30109.87895)/3323881.41153*100)</f>
        <v>0.34813031565628583</v>
      </c>
      <c r="G53" s="26">
        <f>IF(OR(4403044.02622="",47433.93271="",41681.3178=""),"-",(47433.93271-41681.3178)/4403044.02622*100)</f>
        <v>0.13065086053519673</v>
      </c>
    </row>
    <row r="54" spans="1:7" s="29" customFormat="1" x14ac:dyDescent="0.2">
      <c r="A54" s="25" t="s">
        <v>73</v>
      </c>
      <c r="B54" s="32">
        <v>46168.905129999999</v>
      </c>
      <c r="C54" s="26">
        <f>IF(OR(42227.23081="",46168.90513=""),"-",46168.90513/42227.23081*100)</f>
        <v>109.33443714965689</v>
      </c>
      <c r="D54" s="26">
        <f>IF(42227.23081="","-",42227.23081/4403044.02622*100)</f>
        <v>0.95904629975394429</v>
      </c>
      <c r="E54" s="26">
        <f>IF(46168.90513="","-",46168.90513/5891753.11111*100)</f>
        <v>0.7836191411846487</v>
      </c>
      <c r="F54" s="26">
        <f>IF(OR(3323881.41153="",34109.0217="",42227.23081=""),"-",(42227.23081-34109.0217)/3323881.41153*100)</f>
        <v>0.2442388312001525</v>
      </c>
      <c r="G54" s="26">
        <f>IF(OR(4403044.02622="",46168.90513="",42227.23081=""),"-",(46168.90513-42227.23081)/4403044.02622*100)</f>
        <v>8.9521574086641909E-2</v>
      </c>
    </row>
    <row r="55" spans="1:7" s="29" customFormat="1" x14ac:dyDescent="0.2">
      <c r="A55" s="25" t="s">
        <v>34</v>
      </c>
      <c r="B55" s="26">
        <v>40076.105040000002</v>
      </c>
      <c r="C55" s="26">
        <f>IF(OR(31983.04091="",40076.10504=""),"-",40076.10504/31983.04091*100)</f>
        <v>125.30423593170461</v>
      </c>
      <c r="D55" s="26">
        <f>IF(31983.04091="","-",31983.04091/4403044.02622*100)</f>
        <v>0.72638476289453191</v>
      </c>
      <c r="E55" s="26">
        <f>IF(40076.10504="","-",40076.10504/5891753.11111*100)</f>
        <v>0.68020679557038854</v>
      </c>
      <c r="F55" s="26">
        <f>IF(OR(3323881.41153="",25766.44942="",31983.04091=""),"-",(31983.04091-25766.44942)/3323881.41153*100)</f>
        <v>0.18702807712801248</v>
      </c>
      <c r="G55" s="26">
        <f>IF(OR(4403044.02622="",40076.10504="",31983.04091=""),"-",(40076.10504-31983.04091)/4403044.02622*100)</f>
        <v>0.1838061141747854</v>
      </c>
    </row>
    <row r="56" spans="1:7" s="29" customFormat="1" x14ac:dyDescent="0.2">
      <c r="A56" s="30" t="s">
        <v>69</v>
      </c>
      <c r="B56" s="32">
        <v>26832.844949999999</v>
      </c>
      <c r="C56" s="26">
        <f>IF(OR(32293.73252="",26832.84495=""),"-",26832.84495/32293.73252*100)</f>
        <v>83.089946116888186</v>
      </c>
      <c r="D56" s="26">
        <f>IF(32293.73252="","-",32293.73252/4403044.02622*100)</f>
        <v>0.73344105413645089</v>
      </c>
      <c r="E56" s="26">
        <f>IF(26832.84495="","-",26832.84495/5891753.11111*100)</f>
        <v>0.45543057293764844</v>
      </c>
      <c r="F56" s="26">
        <f>IF(OR(3323881.41153="",24887.62657="",32293.73252=""),"-",(32293.73252-24887.62657)/3323881.41153*100)</f>
        <v>0.22281498745140041</v>
      </c>
      <c r="G56" s="26">
        <f>IF(OR(4403044.02622="",26832.84495="",32293.73252=""),"-",(26832.84495-32293.73252)/4403044.02622*100)</f>
        <v>-0.12402527745533713</v>
      </c>
    </row>
    <row r="57" spans="1:7" s="29" customFormat="1" x14ac:dyDescent="0.2">
      <c r="A57" s="25" t="s">
        <v>64</v>
      </c>
      <c r="B57" s="32">
        <v>25689.328829999999</v>
      </c>
      <c r="C57" s="26">
        <f>IF(OR(19202.91603="",25689.32883=""),"-",25689.32883/19202.91603*100)</f>
        <v>133.77826987248454</v>
      </c>
      <c r="D57" s="26">
        <f>IF(19202.91603="","-",19202.91603/4403044.02622*100)</f>
        <v>0.43612818576528389</v>
      </c>
      <c r="E57" s="26">
        <f>IF(25689.32883="","-",25689.32883/5891753.11111*100)</f>
        <v>0.43602181465407935</v>
      </c>
      <c r="F57" s="26">
        <f>IF(OR(3323881.41153="",19238.56001="",19202.91603=""),"-",(19202.91603-19238.56001)/3323881.41153*100)</f>
        <v>-1.072360159311268E-3</v>
      </c>
      <c r="G57" s="26">
        <f>IF(OR(4403044.02622="",25689.32883="",19202.91603=""),"-",(25689.32883-19202.91603)/4403044.02622*100)</f>
        <v>0.1473165555777684</v>
      </c>
    </row>
    <row r="58" spans="1:7" s="29" customFormat="1" x14ac:dyDescent="0.2">
      <c r="A58" s="25" t="s">
        <v>292</v>
      </c>
      <c r="B58" s="26">
        <v>23809.648379999999</v>
      </c>
      <c r="C58" s="26">
        <f>IF(OR(24867.70552="",23809.64838=""),"-",23809.64838/24867.70552*100)</f>
        <v>95.745256275658193</v>
      </c>
      <c r="D58" s="26">
        <f>IF(24867.70552="","-",24867.70552/4403044.02622*100)</f>
        <v>0.5647843939763838</v>
      </c>
      <c r="E58" s="26">
        <f>IF(23809.64838="","-",23809.64838/5891753.11111*100)</f>
        <v>0.40411822985424262</v>
      </c>
      <c r="F58" s="26">
        <f>IF(OR(3323881.41153="",18655.77055="",24867.70552=""),"-",(24867.70552-18655.77055)/3323881.41153*100)</f>
        <v>0.1868879842840305</v>
      </c>
      <c r="G58" s="26">
        <f>IF(OR(4403044.02622="",23809.64838="",24867.70552=""),"-",(23809.64838-24867.70552)/4403044.02622*100)</f>
        <v>-2.4030128558772089E-2</v>
      </c>
    </row>
    <row r="59" spans="1:7" s="29" customFormat="1" x14ac:dyDescent="0.2">
      <c r="A59" s="25" t="s">
        <v>60</v>
      </c>
      <c r="B59" s="32">
        <v>16017.86429</v>
      </c>
      <c r="C59" s="26" t="s">
        <v>18</v>
      </c>
      <c r="D59" s="26">
        <f>IF(8094.63241="","-",8094.63241/4403044.02622*100)</f>
        <v>0.18384173226060646</v>
      </c>
      <c r="E59" s="26">
        <f>IF(16017.86429="","-",16017.86429/5891753.11111*100)</f>
        <v>0.27186923803367335</v>
      </c>
      <c r="F59" s="26">
        <f>IF(OR(3323881.41153="",6666.10286="",8094.63241=""),"-",(8094.63241-6666.10286)/3323881.41153*100)</f>
        <v>4.297775320878372E-2</v>
      </c>
      <c r="G59" s="26">
        <f>IF(OR(4403044.02622="",16017.86429="",8094.63241=""),"-",(16017.86429-8094.63241)/4403044.02622*100)</f>
        <v>0.17994895878436332</v>
      </c>
    </row>
    <row r="60" spans="1:7" s="29" customFormat="1" x14ac:dyDescent="0.2">
      <c r="A60" s="25" t="s">
        <v>302</v>
      </c>
      <c r="B60" s="32">
        <v>14783.38646</v>
      </c>
      <c r="C60" s="26">
        <f>IF(OR(14407.26607="",14783.38646=""),"-",14783.38646/14407.26607*100)</f>
        <v>102.61062985977047</v>
      </c>
      <c r="D60" s="26">
        <f>IF(14407.26607="","-",14407.26607/4403044.02622*100)</f>
        <v>0.32721149241763525</v>
      </c>
      <c r="E60" s="26">
        <f>IF(14783.38646="","-",14783.38646/5891753.11111*100)</f>
        <v>0.25091659784798459</v>
      </c>
      <c r="F60" s="26">
        <f>IF(OR(3323881.41153="",10772.66672="",14407.26607=""),"-",(14407.26607-10772.66672)/3323881.41153*100)</f>
        <v>0.10934804525192057</v>
      </c>
      <c r="G60" s="26">
        <f>IF(OR(4403044.02622="",14783.38646="",14407.26607=""),"-",(14783.38646-14407.26607)/4403044.02622*100)</f>
        <v>8.5422809256553867E-3</v>
      </c>
    </row>
    <row r="61" spans="1:7" s="29" customFormat="1" x14ac:dyDescent="0.2">
      <c r="A61" s="25" t="s">
        <v>76</v>
      </c>
      <c r="B61" s="26">
        <v>13698.74826</v>
      </c>
      <c r="C61" s="26">
        <f>IF(OR(15210.18336="",13698.74826=""),"-",13698.74826/15210.18336*100)</f>
        <v>90.063005394301825</v>
      </c>
      <c r="D61" s="26">
        <f>IF(15210.18336="","-",15210.18336/4403044.02622*100)</f>
        <v>0.34544699688269742</v>
      </c>
      <c r="E61" s="26">
        <f>IF(13698.74826="","-",13698.74826/5891753.11111*100)</f>
        <v>0.23250716724990483</v>
      </c>
      <c r="F61" s="26">
        <f>IF(OR(3323881.41153="",12874.82226="",15210.18336=""),"-",(15210.18336-12874.82226)/3323881.41153*100)</f>
        <v>7.0260060780117345E-2</v>
      </c>
      <c r="G61" s="26">
        <f>IF(OR(4403044.02622="",13698.74826="",15210.18336=""),"-",(13698.74826-15210.18336)/4403044.02622*100)</f>
        <v>-3.4327049445779967E-2</v>
      </c>
    </row>
    <row r="62" spans="1:7" s="29" customFormat="1" x14ac:dyDescent="0.2">
      <c r="A62" s="25" t="s">
        <v>71</v>
      </c>
      <c r="B62" s="32">
        <v>11661.07171</v>
      </c>
      <c r="C62" s="26">
        <f>IF(OR(7580.63395="",11661.07171=""),"-",11661.07171/7580.63395*100)</f>
        <v>153.82713090901851</v>
      </c>
      <c r="D62" s="26">
        <f>IF(7580.63395="","-",7580.63395/4403044.02622*100)</f>
        <v>0.1721680252311252</v>
      </c>
      <c r="E62" s="26">
        <f>IF(11661.07171="","-",11661.07171/5891753.11111*100)</f>
        <v>0.19792193410159828</v>
      </c>
      <c r="F62" s="26">
        <f>IF(OR(3323881.41153="",5936.88192="",7580.63395=""),"-",(7580.63395-5936.88192)/3323881.41153*100)</f>
        <v>4.9452788065726234E-2</v>
      </c>
      <c r="G62" s="26">
        <f>IF(OR(4403044.02622="",11661.07171="",7580.63395=""),"-",(11661.07171-7580.63395)/4403044.02622*100)</f>
        <v>9.2673108324629744E-2</v>
      </c>
    </row>
    <row r="63" spans="1:7" s="29" customFormat="1" x14ac:dyDescent="0.2">
      <c r="A63" s="25" t="s">
        <v>75</v>
      </c>
      <c r="B63" s="32">
        <v>10298.895490000001</v>
      </c>
      <c r="C63" s="26">
        <f>IF(OR(7927.78062="",10298.89549=""),"-",10298.89549/7927.78062*100)</f>
        <v>129.90893648114093</v>
      </c>
      <c r="D63" s="26">
        <f>IF(7927.78062="","-",7927.78062/4403044.02622*100)</f>
        <v>0.18005226776726047</v>
      </c>
      <c r="E63" s="26">
        <f>IF(10298.89549="","-",10298.89549/5891753.11111*100)</f>
        <v>0.17480188486818146</v>
      </c>
      <c r="F63" s="26">
        <f>IF(OR(3323881.41153="",5223.24493="",7927.78062=""),"-",(7927.78062-5223.24493)/3323881.41153*100)</f>
        <v>8.1366792467938515E-2</v>
      </c>
      <c r="G63" s="26">
        <f>IF(OR(4403044.02622="",10298.89549="",7927.78062=""),"-",(10298.89549-7927.78062)/4403044.02622*100)</f>
        <v>5.3851718399363702E-2</v>
      </c>
    </row>
    <row r="64" spans="1:7" s="29" customFormat="1" x14ac:dyDescent="0.2">
      <c r="A64" s="25" t="s">
        <v>79</v>
      </c>
      <c r="B64" s="32">
        <v>9516.6293900000001</v>
      </c>
      <c r="C64" s="26">
        <f>IF(OR(8874.23773="",9516.62939=""),"-",9516.62939/8874.23773*100)</f>
        <v>107.23883762802915</v>
      </c>
      <c r="D64" s="26">
        <f>IF(8874.23773="","-",8874.23773/4403044.02622*100)</f>
        <v>0.20154778551279914</v>
      </c>
      <c r="E64" s="26">
        <f>IF(9516.62939="","-",9516.62939/5891753.11111*100)</f>
        <v>0.16152457868702305</v>
      </c>
      <c r="F64" s="26">
        <f>IF(OR(3323881.41153="",6067.00022="",8874.23773=""),"-",(8874.23773-6067.00022)/3323881.41153*100)</f>
        <v>8.4456608477731898E-2</v>
      </c>
      <c r="G64" s="26">
        <f>IF(OR(4403044.02622="",9516.62939="",8874.23773=""),"-",(9516.62939-8874.23773)/4403044.02622*100)</f>
        <v>1.4589716936159973E-2</v>
      </c>
    </row>
    <row r="65" spans="1:7" s="29" customFormat="1" x14ac:dyDescent="0.2">
      <c r="A65" s="25" t="s">
        <v>68</v>
      </c>
      <c r="B65" s="26">
        <v>8805.60844</v>
      </c>
      <c r="C65" s="26">
        <f>IF(OR(8037.37322="",8805.60844=""),"-",8805.60844/8037.37322*100)</f>
        <v>109.55828725345667</v>
      </c>
      <c r="D65" s="26">
        <f>IF(8037.37322="","-",8037.37322/4403044.02622*100)</f>
        <v>0.18254128671295755</v>
      </c>
      <c r="E65" s="26">
        <f>IF(8805.60844="","-",8805.60844/5891753.11111*100)</f>
        <v>0.14945650766315008</v>
      </c>
      <c r="F65" s="26">
        <f>IF(OR(3323881.41153="",6060.77539="",8037.37322=""),"-",(8037.37322-6060.77539)/3323881.41153*100)</f>
        <v>5.9466556873644959E-2</v>
      </c>
      <c r="G65" s="26">
        <f>IF(OR(4403044.02622="",8805.60844="",8037.37322=""),"-",(8805.60844-8037.37322)/4403044.02622*100)</f>
        <v>1.7447820540180407E-2</v>
      </c>
    </row>
    <row r="66" spans="1:7" s="29" customFormat="1" x14ac:dyDescent="0.2">
      <c r="A66" s="25" t="s">
        <v>59</v>
      </c>
      <c r="B66" s="32">
        <v>8647.1494999999995</v>
      </c>
      <c r="C66" s="26">
        <f>IF(OR(10364.43314="",8647.1495=""),"-",8647.1495/10364.43314*100)</f>
        <v>83.430993120382084</v>
      </c>
      <c r="D66" s="26">
        <f>IF(10364.43314="","-",10364.43314/4403044.02622*100)</f>
        <v>0.2353924484579327</v>
      </c>
      <c r="E66" s="26">
        <f>IF(8647.1495="","-",8647.1495/5891753.11111*100)</f>
        <v>0.14676700358835787</v>
      </c>
      <c r="F66" s="26">
        <f>IF(OR(3323881.41153="",7327.04654="",10364.43314=""),"-",(10364.43314-7327.04654)/3323881.41153*100)</f>
        <v>9.1380715011787184E-2</v>
      </c>
      <c r="G66" s="26">
        <f>IF(OR(4403044.02622="",8647.1495="",10364.43314=""),"-",(8647.1495-10364.43314)/4403044.02622*100)</f>
        <v>-3.9002190979095942E-2</v>
      </c>
    </row>
    <row r="67" spans="1:7" s="29" customFormat="1" x14ac:dyDescent="0.2">
      <c r="A67" s="25" t="s">
        <v>80</v>
      </c>
      <c r="B67" s="26">
        <v>7346.1531999999997</v>
      </c>
      <c r="C67" s="26">
        <f>IF(OR(6795.19948="",7346.1532=""),"-",7346.1532/6795.19948*100)</f>
        <v>108.10798449142804</v>
      </c>
      <c r="D67" s="26">
        <f>IF(6795.19948="","-",6795.19948/4403044.02622*100)</f>
        <v>0.15432958288708409</v>
      </c>
      <c r="E67" s="26">
        <f>IF(7346.1532="","-",7346.1532/5891753.11111*100)</f>
        <v>0.12468535360294472</v>
      </c>
      <c r="F67" s="26">
        <f>IF(OR(3323881.41153="",6168.9525="",6795.19948=""),"-",(6795.19948-6168.9525)/3323881.41153*100)</f>
        <v>1.8840834026979773E-2</v>
      </c>
      <c r="G67" s="26">
        <f>IF(OR(4403044.02622="",7346.1532="",6795.19948=""),"-",(7346.1532-6795.19948)/4403044.02622*100)</f>
        <v>1.2513018646170377E-2</v>
      </c>
    </row>
    <row r="68" spans="1:7" s="29" customFormat="1" x14ac:dyDescent="0.2">
      <c r="A68" s="25" t="s">
        <v>81</v>
      </c>
      <c r="B68" s="32">
        <v>7092.1852399999998</v>
      </c>
      <c r="C68" s="26">
        <f>IF(OR(5228.8752="",7092.18524=""),"-",7092.18524/5228.8752*100)</f>
        <v>135.63500693227485</v>
      </c>
      <c r="D68" s="26">
        <f>IF(5228.8752="","-",5228.8752/4403044.02622*100)</f>
        <v>0.11875591451873294</v>
      </c>
      <c r="E68" s="26">
        <f>IF(7092.18524="","-",7092.18524/5891753.11111*100)</f>
        <v>0.12037478669339285</v>
      </c>
      <c r="F68" s="26">
        <f>IF(OR(3323881.41153="",4188.89487="",5228.8752=""),"-",(5228.8752-4188.89487)/3323881.41153*100)</f>
        <v>3.1288129786835324E-2</v>
      </c>
      <c r="G68" s="26">
        <f>IF(OR(4403044.02622="",7092.18524="",5228.8752=""),"-",(7092.18524-5228.8752)/4403044.02622*100)</f>
        <v>4.2318678371236845E-2</v>
      </c>
    </row>
    <row r="69" spans="1:7" s="29" customFormat="1" x14ac:dyDescent="0.2">
      <c r="A69" s="25" t="s">
        <v>63</v>
      </c>
      <c r="B69" s="26">
        <v>6967.4281700000001</v>
      </c>
      <c r="C69" s="26">
        <f>IF(OR(5503.57387="",6967.42817=""),"-",6967.42817/5503.57387*100)</f>
        <v>126.59824932993948</v>
      </c>
      <c r="D69" s="26">
        <f>IF(5503.57387="","-",5503.57387/4403044.02622*100)</f>
        <v>0.12499474993269148</v>
      </c>
      <c r="E69" s="26">
        <f>IF(6967.42817="","-",6967.42817/5891753.11111*100)</f>
        <v>0.11825730030780846</v>
      </c>
      <c r="F69" s="26">
        <f>IF(OR(3323881.41153="",3958.33342="",5503.57387=""),"-",(5503.57387-3958.33342)/3323881.41153*100)</f>
        <v>4.6489036721942434E-2</v>
      </c>
      <c r="G69" s="26">
        <f>IF(OR(4403044.02622="",6967.42817="",5503.57387=""),"-",(6967.42817-5503.57387)/4403044.02622*100)</f>
        <v>3.3246415236431653E-2</v>
      </c>
    </row>
    <row r="70" spans="1:7" s="29" customFormat="1" x14ac:dyDescent="0.2">
      <c r="A70" s="25" t="s">
        <v>66</v>
      </c>
      <c r="B70" s="26">
        <v>6130.6381799999999</v>
      </c>
      <c r="C70" s="26">
        <f>IF(OR(4711.73911="",6130.63818=""),"-",6130.63818/4711.73911*100)</f>
        <v>130.11412637403006</v>
      </c>
      <c r="D70" s="26">
        <f>IF(4711.73911="","-",4711.73911/4403044.02622*100)</f>
        <v>0.10701094701623989</v>
      </c>
      <c r="E70" s="26">
        <f>IF(6130.63818="","-",6130.63818/5891753.11111*100)</f>
        <v>0.10405456685616268</v>
      </c>
      <c r="F70" s="26">
        <f>IF(OR(3323881.41153="",3296.23349="",4711.73911=""),"-",(4711.73911-3296.23349)/3323881.41153*100)</f>
        <v>4.2585924247773799E-2</v>
      </c>
      <c r="G70" s="26">
        <f>IF(OR(4403044.02622="",6130.63818="",4711.73911=""),"-",(6130.63818-4711.73911)/4403044.02622*100)</f>
        <v>3.2225411818516833E-2</v>
      </c>
    </row>
    <row r="71" spans="1:7" s="29" customFormat="1" x14ac:dyDescent="0.2">
      <c r="A71" s="25" t="s">
        <v>78</v>
      </c>
      <c r="B71" s="26">
        <v>5233.1204699999998</v>
      </c>
      <c r="C71" s="26">
        <f>IF(OR(14154.52277="",5233.12047=""),"-",5233.12047/14154.52277*100)</f>
        <v>36.971366361368325</v>
      </c>
      <c r="D71" s="26">
        <f>IF(14154.52277="","-",14154.52277/4403044.02622*100)</f>
        <v>0.321471297713814</v>
      </c>
      <c r="E71" s="26">
        <f>IF(5233.12047="","-",5233.12047/5891753.11111*100)</f>
        <v>8.882110929142592E-2</v>
      </c>
      <c r="F71" s="26">
        <f>IF(OR(3323881.41153="",3263.9514="",14154.52277=""),"-",(14154.52277-3263.9514)/3323881.41153*100)</f>
        <v>0.32764620699831204</v>
      </c>
      <c r="G71" s="26">
        <f>IF(OR(4403044.02622="",5233.12047="",14154.52277=""),"-",(5233.12047-14154.52277)/4403044.02622*100)</f>
        <v>-0.20261896648939476</v>
      </c>
    </row>
    <row r="72" spans="1:7" s="29" customFormat="1" x14ac:dyDescent="0.2">
      <c r="A72" s="25" t="s">
        <v>72</v>
      </c>
      <c r="B72" s="26">
        <v>4706.04702</v>
      </c>
      <c r="C72" s="26">
        <f>IF(OR(3076.77583="",4706.04702=""),"-",4706.04702/3076.77583*100)</f>
        <v>152.95384779462466</v>
      </c>
      <c r="D72" s="26">
        <f>IF(3076.77583="","-",3076.77583/4403044.02622*100)</f>
        <v>6.9878379858976838E-2</v>
      </c>
      <c r="E72" s="26">
        <f>IF(4706.04702="","-",4706.04702/5891753.11111*100)</f>
        <v>7.9875156532371844E-2</v>
      </c>
      <c r="F72" s="26">
        <f>IF(OR(3323881.41153="",3519.44902="",3076.77583=""),"-",(3076.77583-3519.44902)/3323881.41153*100)</f>
        <v>-1.3317959794366887E-2</v>
      </c>
      <c r="G72" s="26">
        <f>IF(OR(4403044.02622="",4706.04702="",3076.77583=""),"-",(4706.04702-3076.77583)/4403044.02622*100)</f>
        <v>3.7003290911872266E-2</v>
      </c>
    </row>
    <row r="73" spans="1:7" s="29" customFormat="1" x14ac:dyDescent="0.2">
      <c r="A73" s="25" t="s">
        <v>61</v>
      </c>
      <c r="B73" s="26">
        <v>4423.9831599999998</v>
      </c>
      <c r="C73" s="26">
        <f>IF(OR(5635.65272="",4423.98316=""),"-",4423.98316/5635.65272*100)</f>
        <v>78.499925027317857</v>
      </c>
      <c r="D73" s="26">
        <f>IF(5635.65272="","-",5635.65272/4403044.02622*100)</f>
        <v>0.12799446670166936</v>
      </c>
      <c r="E73" s="26">
        <f>IF(4423.98316="","-",4423.98316/5891753.11111*100)</f>
        <v>7.5087721372060795E-2</v>
      </c>
      <c r="F73" s="26">
        <f>IF(OR(3323881.41153="",5064.81254="",5635.65272=""),"-",(5635.65272-5064.81254)/3323881.41153*100)</f>
        <v>1.7173903317364122E-2</v>
      </c>
      <c r="G73" s="26">
        <f>IF(OR(4403044.02622="",4423.98316="",5635.65272=""),"-",(4423.98316-5635.65272)/4403044.02622*100)</f>
        <v>-2.7518906301743591E-2</v>
      </c>
    </row>
    <row r="74" spans="1:7" s="29" customFormat="1" x14ac:dyDescent="0.2">
      <c r="A74" s="25" t="s">
        <v>37</v>
      </c>
      <c r="B74" s="26">
        <v>4173.9916000000003</v>
      </c>
      <c r="C74" s="26">
        <f>IF(OR(3293.11813="",4173.9916=""),"-",4173.9916/3293.11813*100)</f>
        <v>126.74891805354096</v>
      </c>
      <c r="D74" s="26">
        <f>IF(3293.11813="","-",3293.11813/4403044.02622*100)</f>
        <v>7.4791851055532863E-2</v>
      </c>
      <c r="E74" s="26">
        <f>IF(4173.9916="","-",4173.9916/5891753.11111*100)</f>
        <v>7.0844645410025067E-2</v>
      </c>
      <c r="F74" s="26">
        <f>IF(OR(3323881.41153="",2876.20468="",3293.11813=""),"-",(3293.11813-2876.20468)/3323881.41153*100)</f>
        <v>1.2542970051632876E-2</v>
      </c>
      <c r="G74" s="26">
        <f>IF(OR(4403044.02622="",4173.9916="",3293.11813=""),"-",(4173.9916-3293.11813)/4403044.02622*100)</f>
        <v>2.0006010949570895E-2</v>
      </c>
    </row>
    <row r="75" spans="1:7" s="29" customFormat="1" x14ac:dyDescent="0.2">
      <c r="A75" s="25" t="s">
        <v>82</v>
      </c>
      <c r="B75" s="32">
        <v>4045.5262400000001</v>
      </c>
      <c r="C75" s="26">
        <f>IF(OR(4714.58471="",4045.52624=""),"-",4045.52624/4714.58471*100)</f>
        <v>85.808750692698879</v>
      </c>
      <c r="D75" s="26">
        <f>IF(4714.58471="","-",4714.58471/4403044.02622*100)</f>
        <v>0.10707557503229093</v>
      </c>
      <c r="E75" s="26">
        <f>IF(4045.52624="","-",4045.52624/5891753.11111*100)</f>
        <v>6.8664218674937438E-2</v>
      </c>
      <c r="F75" s="26">
        <f>IF(OR(3323881.41153="",2820.32908="",4714.58471=""),"-",(4714.58471-2820.32908)/3323881.41153*100)</f>
        <v>5.6989266326684745E-2</v>
      </c>
      <c r="G75" s="26">
        <f>IF(OR(4403044.02622="",4045.52624="",4714.58471=""),"-",(4045.52624-4714.58471)/4403044.02622*100)</f>
        <v>-1.5195361800058687E-2</v>
      </c>
    </row>
    <row r="76" spans="1:7" s="29" customFormat="1" x14ac:dyDescent="0.2">
      <c r="A76" s="25" t="s">
        <v>70</v>
      </c>
      <c r="B76" s="32">
        <v>3545.6660900000002</v>
      </c>
      <c r="C76" s="26">
        <f>IF(OR(3078.44953="",3545.66609=""),"-",3545.66609/3078.44953*100)</f>
        <v>115.1770089276078</v>
      </c>
      <c r="D76" s="26">
        <f>IF(3078.44953="","-",3078.44953/4403044.02622*100)</f>
        <v>6.9916392197487048E-2</v>
      </c>
      <c r="E76" s="26">
        <f>IF(3545.66609="","-",3545.66609/5891753.11111*100)</f>
        <v>6.0180153905532545E-2</v>
      </c>
      <c r="F76" s="26">
        <f>IF(OR(3323881.41153="",1261.1162="",3078.44953=""),"-",(3078.44953-1261.1162)/3323881.41153*100)</f>
        <v>5.4675035147041293E-2</v>
      </c>
      <c r="G76" s="26">
        <f>IF(OR(4403044.02622="",3545.66609="",3078.44953=""),"-",(3545.66609-3078.44953)/4403044.02622*100)</f>
        <v>1.0611217085673891E-2</v>
      </c>
    </row>
    <row r="77" spans="1:7" s="29" customFormat="1" x14ac:dyDescent="0.2">
      <c r="A77" s="25" t="s">
        <v>87</v>
      </c>
      <c r="B77" s="32">
        <v>3232.4916800000001</v>
      </c>
      <c r="C77" s="26">
        <f>IF(OR(2369.88887="",3232.49168=""),"-",3232.49168/2369.88887*100)</f>
        <v>136.39844977203509</v>
      </c>
      <c r="D77" s="26">
        <f>IF(2369.88887="","-",2369.88887/4403044.02622*100)</f>
        <v>5.3823874026409459E-2</v>
      </c>
      <c r="E77" s="26">
        <f>IF(3232.49168="","-",3232.49168/5891753.11111*100)</f>
        <v>5.4864683211259035E-2</v>
      </c>
      <c r="F77" s="26">
        <f>IF(OR(3323881.41153="",1298.15153="",2369.88887=""),"-",(2369.88887-1298.15153)/3323881.41153*100)</f>
        <v>3.224354925185715E-2</v>
      </c>
      <c r="G77" s="26">
        <f>IF(OR(4403044.02622="",3232.49168="",2369.88887=""),"-",(3232.49168-2369.88887)/4403044.02622*100)</f>
        <v>1.9591055752866085E-2</v>
      </c>
    </row>
    <row r="78" spans="1:7" s="29" customFormat="1" x14ac:dyDescent="0.2">
      <c r="A78" s="25" t="s">
        <v>77</v>
      </c>
      <c r="B78" s="32">
        <v>3206.17364</v>
      </c>
      <c r="C78" s="26">
        <f>IF(OR(2272.43015="",3206.17364=""),"-",3206.17364/2272.43015*100)</f>
        <v>141.09008543122877</v>
      </c>
      <c r="D78" s="26">
        <f>IF(2272.43015="","-",2272.43015/4403044.02622*100)</f>
        <v>5.1610434428266995E-2</v>
      </c>
      <c r="E78" s="26">
        <f>IF(3206.17364="","-",3206.17364/5891753.11111*100)</f>
        <v>5.4417990359340779E-2</v>
      </c>
      <c r="F78" s="26">
        <f>IF(OR(3323881.41153="",2860.01932="",2272.43015=""),"-",(2272.43015-2860.01932)/3323881.41153*100)</f>
        <v>-1.7677801860251367E-2</v>
      </c>
      <c r="G78" s="26">
        <f>IF(OR(4403044.02622="",3206.17364="",2272.43015=""),"-",(3206.17364-2272.43015)/4403044.02622*100)</f>
        <v>2.1206771598003205E-2</v>
      </c>
    </row>
    <row r="79" spans="1:7" s="29" customFormat="1" x14ac:dyDescent="0.2">
      <c r="A79" s="25" t="s">
        <v>121</v>
      </c>
      <c r="B79" s="32">
        <v>3028.37012</v>
      </c>
      <c r="C79" s="26">
        <f>IF(OR(3760.89042="",3028.37012=""),"-",3028.37012/3760.89042*100)</f>
        <v>80.522689624123629</v>
      </c>
      <c r="D79" s="26">
        <f>IF(3760.89042="","-",3760.89042/4403044.02622*100)</f>
        <v>8.5415689636624256E-2</v>
      </c>
      <c r="E79" s="26">
        <f>IF(3028.37012="","-",3028.37012/5891753.11111*100)</f>
        <v>5.1400153110445906E-2</v>
      </c>
      <c r="F79" s="26">
        <f>IF(OR(3323881.41153="",2892.70235="",3760.89042=""),"-",(3760.89042-2892.70235)/3323881.41153*100)</f>
        <v>2.6119706527086013E-2</v>
      </c>
      <c r="G79" s="26">
        <f>IF(OR(4403044.02622="",3028.37012="",3760.89042=""),"-",(3028.37012-3760.89042)/4403044.02622*100)</f>
        <v>-1.6636678980220566E-2</v>
      </c>
    </row>
    <row r="80" spans="1:7" s="29" customFormat="1" x14ac:dyDescent="0.2">
      <c r="A80" s="25" t="s">
        <v>85</v>
      </c>
      <c r="B80" s="26">
        <v>2580.0708100000002</v>
      </c>
      <c r="C80" s="26">
        <f>IF(OR(3444.1627="",2580.07081=""),"-",2580.07081/3444.1627*100)</f>
        <v>74.911409092259206</v>
      </c>
      <c r="D80" s="26">
        <f>IF(3444.1627="","-",3444.1627/4403044.02622*100)</f>
        <v>7.8222308918332636E-2</v>
      </c>
      <c r="E80" s="26">
        <f>IF(2580.07081="","-",2580.07081/5891753.11111*100)</f>
        <v>4.3791224128770692E-2</v>
      </c>
      <c r="F80" s="26">
        <f>IF(OR(3323881.41153="",1320.71398="",3444.1627=""),"-",(3444.1627-1320.71398)/3323881.41153*100)</f>
        <v>6.3884611305147776E-2</v>
      </c>
      <c r="G80" s="26">
        <f>IF(OR(4403044.02622="",2580.07081="",3444.1627=""),"-",(2580.07081-3444.1627)/4403044.02622*100)</f>
        <v>-1.9624875083109717E-2</v>
      </c>
    </row>
    <row r="81" spans="1:7" s="29" customFormat="1" x14ac:dyDescent="0.2">
      <c r="A81" s="25" t="s">
        <v>84</v>
      </c>
      <c r="B81" s="26">
        <v>2291.835</v>
      </c>
      <c r="C81" s="26">
        <f>IF(OR(2231.17136="",2291.835=""),"-",2291.835/2231.17136*100)</f>
        <v>102.71891442708372</v>
      </c>
      <c r="D81" s="26">
        <f>IF(2231.17136="","-",2231.17136/4403044.02622*100)</f>
        <v>5.0673382930387222E-2</v>
      </c>
      <c r="E81" s="26">
        <f>IF(2291.835="","-",2291.835/5891753.11111*100)</f>
        <v>3.8899033221170075E-2</v>
      </c>
      <c r="F81" s="26">
        <f>IF(OR(3323881.41153="",1550.82516="",2231.17136=""),"-",(2231.17136-1550.82516)/3323881.41153*100)</f>
        <v>2.0468425787995629E-2</v>
      </c>
      <c r="G81" s="26">
        <f>IF(OR(4403044.02622="",2291.835="",2231.17136=""),"-",(2291.835-2231.17136)/4403044.02622*100)</f>
        <v>1.3777659191856813E-3</v>
      </c>
    </row>
    <row r="82" spans="1:7" s="29" customFormat="1" x14ac:dyDescent="0.2">
      <c r="A82" s="25" t="s">
        <v>294</v>
      </c>
      <c r="B82" s="26">
        <v>2155.3950799999998</v>
      </c>
      <c r="C82" s="31">
        <f>IF(OR(1308.79687="",2155.39508=""),"-",2155.39508/1308.79687*100)</f>
        <v>164.68522575241181</v>
      </c>
      <c r="D82" s="26">
        <f>IF(1308.79687="","-",1308.79687/4403044.02622*100)</f>
        <v>2.9724819061679876E-2</v>
      </c>
      <c r="E82" s="26">
        <f>IF(2155.39508="","-",2155.39508/5891753.11111*100)</f>
        <v>3.6583255261249829E-2</v>
      </c>
      <c r="F82" s="26">
        <f>IF(OR(3323881.41153="",1186.64293="",1308.79687=""),"-",(1308.79687-1186.64293)/3323881.41153*100)</f>
        <v>3.6750390545302824E-3</v>
      </c>
      <c r="G82" s="26">
        <f>IF(OR(4403044.02622="",2155.39508="",1308.79687=""),"-",(2155.39508-1308.79687)/4403044.02622*100)</f>
        <v>1.9227566314543573E-2</v>
      </c>
    </row>
    <row r="83" spans="1:7" s="29" customFormat="1" x14ac:dyDescent="0.2">
      <c r="A83" s="25" t="s">
        <v>36</v>
      </c>
      <c r="B83" s="26">
        <v>2005.5992200000001</v>
      </c>
      <c r="C83" s="26">
        <f>IF(OR(1524.75438="",2005.59922=""),"-",2005.59922/1524.75438*100)</f>
        <v>131.53588842289469</v>
      </c>
      <c r="D83" s="26">
        <f>IF(1524.75438="","-",1524.75438/4403044.02622*100)</f>
        <v>3.4629551076939762E-2</v>
      </c>
      <c r="E83" s="26">
        <f>IF(2005.59922="","-",2005.59922/5891753.11111*100)</f>
        <v>3.4040788576460687E-2</v>
      </c>
      <c r="F83" s="26">
        <f>IF(OR(3323881.41153="",1634.13936="",1524.75438=""),"-",(1524.75438-1634.13936)/3323881.41153*100)</f>
        <v>-3.2908809448063112E-3</v>
      </c>
      <c r="G83" s="26">
        <f>IF(OR(4403044.02622="",2005.59922="",1524.75438=""),"-",(2005.59922-1524.75438)/4403044.02622*100)</f>
        <v>1.0920736588973055E-2</v>
      </c>
    </row>
    <row r="84" spans="1:7" s="29" customFormat="1" x14ac:dyDescent="0.2">
      <c r="A84" s="25" t="s">
        <v>56</v>
      </c>
      <c r="B84" s="26">
        <v>1851.11295</v>
      </c>
      <c r="C84" s="26">
        <f>IF(OR(2524.76352="",1851.11295=""),"-",1851.11295/2524.76352*100)</f>
        <v>73.318270615697116</v>
      </c>
      <c r="D84" s="26">
        <f>IF(2524.76352="","-",2524.76352/4403044.02622*100)</f>
        <v>5.7341318982165657E-2</v>
      </c>
      <c r="E84" s="26">
        <f>IF(1851.11295="","-",1851.11295/5891753.11111*100)</f>
        <v>3.1418712140353966E-2</v>
      </c>
      <c r="F84" s="26">
        <f>IF(OR(3323881.41153="",3474.77384="",2524.76352=""),"-",(2524.76352-3474.77384)/3323881.41153*100)</f>
        <v>-2.8581354217529234E-2</v>
      </c>
      <c r="G84" s="26">
        <f>IF(OR(4403044.02622="",1851.11295="",2524.76352=""),"-",(1851.11295-2524.76352)/4403044.02622*100)</f>
        <v>-1.5299655556211345E-2</v>
      </c>
    </row>
    <row r="85" spans="1:7" s="29" customFormat="1" x14ac:dyDescent="0.2">
      <c r="A85" s="25" t="s">
        <v>35</v>
      </c>
      <c r="B85" s="26">
        <v>1792.3676399999999</v>
      </c>
      <c r="C85" s="26">
        <f>IF(OR(1972.98424="",1792.36764=""),"-",1792.36764/1972.98424*100)</f>
        <v>90.845512278395077</v>
      </c>
      <c r="D85" s="26">
        <f>IF(1972.98424="","-",1972.98424/4403044.02622*100)</f>
        <v>4.4809550580256194E-2</v>
      </c>
      <c r="E85" s="26">
        <f>IF(1792.36764="","-",1792.36764/5891753.11111*100)</f>
        <v>3.042163522806406E-2</v>
      </c>
      <c r="F85" s="26">
        <f>IF(OR(3323881.41153="",2511.68634="",1972.98424=""),"-",(1972.98424-2511.68634)/3323881.41153*100)</f>
        <v>-1.6207019243566597E-2</v>
      </c>
      <c r="G85" s="26">
        <f>IF(OR(4403044.02622="",1792.36764="",1972.98424=""),"-",(1792.36764-1972.98424)/4403044.02622*100)</f>
        <v>-4.1020848059758978E-3</v>
      </c>
    </row>
    <row r="86" spans="1:7" s="29" customFormat="1" x14ac:dyDescent="0.2">
      <c r="A86" s="25" t="s">
        <v>93</v>
      </c>
      <c r="B86" s="32">
        <v>1765.0496499999999</v>
      </c>
      <c r="C86" s="26">
        <f>IF(OR(1291.41538="",1765.04965=""),"-",1765.04965/1291.41538*100)</f>
        <v>136.67559464871789</v>
      </c>
      <c r="D86" s="26">
        <f>IF(1291.41538="","-",1291.41538/4403044.02622*100)</f>
        <v>2.9330058303066207E-2</v>
      </c>
      <c r="E86" s="26">
        <f>IF(1765.04965="","-",1765.04965/5891753.11111*100)</f>
        <v>2.9957970347937176E-2</v>
      </c>
      <c r="F86" s="26">
        <f>IF(OR(3323881.41153="",952.45877="",1291.41538=""),"-",(1291.41538-952.45877)/3323881.41153*100)</f>
        <v>1.0197614416212773E-2</v>
      </c>
      <c r="G86" s="26">
        <f>IF(OR(4403044.02622="",1765.04965="",1291.41538=""),"-",(1765.04965-1291.41538)/4403044.02622*100)</f>
        <v>1.0756973293465193E-2</v>
      </c>
    </row>
    <row r="87" spans="1:7" s="29" customFormat="1" x14ac:dyDescent="0.2">
      <c r="A87" s="25" t="s">
        <v>86</v>
      </c>
      <c r="B87" s="26">
        <v>1540.3231599999999</v>
      </c>
      <c r="C87" s="26">
        <f>IF(OR(2050.27031="",1540.32316=""),"-",1540.32316/2050.27031*100)</f>
        <v>75.127808879015561</v>
      </c>
      <c r="D87" s="26">
        <f>IF(2050.27031="","-",2050.27031/4403044.02622*100)</f>
        <v>4.6564837821077856E-2</v>
      </c>
      <c r="E87" s="26">
        <f>IF(1540.32316="","-",1540.32316/5891753.11111*100)</f>
        <v>2.6143715307680379E-2</v>
      </c>
      <c r="F87" s="26">
        <f>IF(OR(3323881.41153="",690.02977="",2050.27031=""),"-",(2050.27031-690.02977)/3323881.41153*100)</f>
        <v>4.0923257228177516E-2</v>
      </c>
      <c r="G87" s="26">
        <f>IF(OR(4403044.02622="",1540.32316="",2050.27031=""),"-",(1540.32316-2050.27031)/4403044.02622*100)</f>
        <v>-1.1581695458034927E-2</v>
      </c>
    </row>
    <row r="88" spans="1:7" x14ac:dyDescent="0.2">
      <c r="A88" s="25" t="s">
        <v>83</v>
      </c>
      <c r="B88" s="32">
        <v>1513.6960099999999</v>
      </c>
      <c r="C88" s="26">
        <f>IF(OR(1609.88839="",1513.69601=""),"-",1513.69601/1609.88839*100)</f>
        <v>94.024903800939867</v>
      </c>
      <c r="D88" s="26">
        <f>IF(1609.88839="","-",1609.88839/4403044.02622*100)</f>
        <v>3.6563077280471444E-2</v>
      </c>
      <c r="E88" s="26">
        <f>IF(1513.69601="","-",1513.69601/5891753.11111*100)</f>
        <v>2.5691775969798252E-2</v>
      </c>
      <c r="F88" s="26">
        <f>IF(OR(3323881.41153="",2829.37928="",1609.88839=""),"-",(1609.88839-2829.37928)/3323881.41153*100)</f>
        <v>-3.6688760488559728E-2</v>
      </c>
      <c r="G88" s="26">
        <f>IF(OR(4403044.02622="",1513.69601="",1609.88839=""),"-",(1513.69601-1609.88839)/4403044.02622*100)</f>
        <v>-2.1846790408448641E-3</v>
      </c>
    </row>
    <row r="89" spans="1:7" x14ac:dyDescent="0.2">
      <c r="A89" s="25" t="s">
        <v>98</v>
      </c>
      <c r="B89" s="26">
        <v>1414.6734100000001</v>
      </c>
      <c r="C89" s="26" t="s">
        <v>336</v>
      </c>
      <c r="D89" s="26">
        <f>IF(546.29123="","-",546.29123/4403044.02622*100)</f>
        <v>1.2407126223286697E-2</v>
      </c>
      <c r="E89" s="26">
        <f>IF(1414.67341="","-",1414.67341/5891753.11111*100)</f>
        <v>2.4011077574387314E-2</v>
      </c>
      <c r="F89" s="26">
        <f>IF(OR(3323881.41153="",467.98757="",546.29123=""),"-",(546.29123-467.98757)/3323881.41153*100)</f>
        <v>2.3557898223557998E-3</v>
      </c>
      <c r="G89" s="26">
        <f>IF(OR(4403044.02622="",1414.67341="",546.29123=""),"-",(1414.67341-546.29123)/4403044.02622*100)</f>
        <v>1.9722314263241732E-2</v>
      </c>
    </row>
    <row r="90" spans="1:7" x14ac:dyDescent="0.2">
      <c r="A90" s="25" t="s">
        <v>88</v>
      </c>
      <c r="B90" s="26">
        <v>1296.8771300000001</v>
      </c>
      <c r="C90" s="26" t="s">
        <v>351</v>
      </c>
      <c r="D90" s="26">
        <f>IF(390.93981="","-",390.93981/4403044.02622*100)</f>
        <v>8.8788530769159848E-3</v>
      </c>
      <c r="E90" s="26">
        <f>IF(1296.87713="","-",1296.87713/5891753.11111*100)</f>
        <v>2.2011735820268778E-2</v>
      </c>
      <c r="F90" s="26">
        <f>IF(OR(3323881.41153="",447.14259="",390.93981=""),"-",(390.93981-447.14259)/3323881.41153*100)</f>
        <v>-1.6908780140302757E-3</v>
      </c>
      <c r="G90" s="26">
        <f>IF(OR(4403044.02622="",1296.87713="",390.93981=""),"-",(1296.87713-390.93981)/4403044.02622*100)</f>
        <v>2.0575250090736529E-2</v>
      </c>
    </row>
    <row r="91" spans="1:7" x14ac:dyDescent="0.2">
      <c r="A91" s="25" t="s">
        <v>65</v>
      </c>
      <c r="B91" s="32">
        <v>1252.92534</v>
      </c>
      <c r="C91" s="26">
        <f>IF(OR(1035.94789="",1252.92534=""),"-",1252.92534/1035.94789*100)</f>
        <v>120.94482281343322</v>
      </c>
      <c r="D91" s="26">
        <f>IF(1035.94789="","-",1035.94789/4403044.02622*100)</f>
        <v>2.3527992993732517E-2</v>
      </c>
      <c r="E91" s="26">
        <f>IF(1252.92534="","-",1252.92534/5891753.11111*100)</f>
        <v>2.1265747501153356E-2</v>
      </c>
      <c r="F91" s="26">
        <f>IF(OR(3323881.41153="",901.21785="",1035.94789=""),"-",(1035.94789-901.21785)/3323881.41153*100)</f>
        <v>4.053394911522519E-3</v>
      </c>
      <c r="G91" s="26">
        <f>IF(OR(4403044.02622="",1252.92534="",1035.94789=""),"-",(1252.92534-1035.94789)/4403044.02622*100)</f>
        <v>4.9278964440942589E-3</v>
      </c>
    </row>
    <row r="92" spans="1:7" x14ac:dyDescent="0.2">
      <c r="A92" s="25" t="s">
        <v>331</v>
      </c>
      <c r="B92" s="26">
        <v>1158.0321899999999</v>
      </c>
      <c r="C92" s="26" t="s">
        <v>352</v>
      </c>
      <c r="D92" s="26">
        <f>IF(133.82289="","-",133.82289/4403044.02622*100)</f>
        <v>3.0393266386410977E-3</v>
      </c>
      <c r="E92" s="26">
        <f>IF(1158.03219="","-",1158.03219/5891753.11111*100)</f>
        <v>1.9655137752060826E-2</v>
      </c>
      <c r="F92" s="26">
        <f>IF(OR(3323881.41153="",0.05749="",133.82289=""),"-",(133.82289-0.05749)/3323881.41153*100)</f>
        <v>4.0243734188587397E-3</v>
      </c>
      <c r="G92" s="26">
        <f>IF(OR(4403044.02622="",1158.03219="",133.82289=""),"-",(1158.03219-133.82289)/4403044.02622*100)</f>
        <v>2.3261391298857407E-2</v>
      </c>
    </row>
    <row r="93" spans="1:7" x14ac:dyDescent="0.2">
      <c r="A93" s="25" t="s">
        <v>296</v>
      </c>
      <c r="B93" s="32">
        <v>1122.5216399999999</v>
      </c>
      <c r="C93" s="26">
        <f>IF(OR(953.28329="",1122.52164=""),"-",1122.52164/953.28329*100)</f>
        <v>117.7532063947119</v>
      </c>
      <c r="D93" s="26">
        <f>IF(953.28329="","-",953.28329/4403044.02622*100)</f>
        <v>2.1650550944374517E-2</v>
      </c>
      <c r="E93" s="26">
        <f>IF(1122.52164="","-",1122.52164/5891753.11111*100)</f>
        <v>1.9052421559947512E-2</v>
      </c>
      <c r="F93" s="26">
        <f>IF(OR(3323881.41153="",455.05078="",953.28329=""),"-",(953.28329-455.05078)/3323881.41153*100)</f>
        <v>1.498947911534127E-2</v>
      </c>
      <c r="G93" s="26">
        <f>IF(OR(4403044.02622="",1122.52164="",953.28329=""),"-",(1122.52164-953.28329)/4403044.02622*100)</f>
        <v>3.8436669947470537E-3</v>
      </c>
    </row>
    <row r="94" spans="1:7" x14ac:dyDescent="0.2">
      <c r="A94" s="25" t="s">
        <v>133</v>
      </c>
      <c r="B94" s="26">
        <v>1080.42067</v>
      </c>
      <c r="C94" s="26">
        <f>IF(OR(938.38108="",1080.42067=""),"-",1080.42067/938.38108*100)</f>
        <v>115.13666388073382</v>
      </c>
      <c r="D94" s="26">
        <f>IF(938.38108="","-",938.38108/4403044.02622*100)</f>
        <v>2.1312098503034893E-2</v>
      </c>
      <c r="E94" s="26">
        <f>IF(1080.42067="","-",1080.42067/5891753.11111*100)</f>
        <v>1.8337846980768169E-2</v>
      </c>
      <c r="F94" s="26">
        <f>IF(OR(3323881.41153="",712.94595="",938.38108=""),"-",(938.38108-712.94595)/3323881.41153*100)</f>
        <v>6.7822855899131182E-3</v>
      </c>
      <c r="G94" s="26">
        <f>IF(OR(4403044.02622="",1080.42067="",938.38108=""),"-",(1080.42067-938.38108)/4403044.02622*100)</f>
        <v>3.2259407163352971E-3</v>
      </c>
    </row>
    <row r="95" spans="1:7" x14ac:dyDescent="0.2">
      <c r="A95" s="25" t="s">
        <v>89</v>
      </c>
      <c r="B95" s="26">
        <v>1016.94754</v>
      </c>
      <c r="C95" s="26">
        <f>IF(OR(1506.90789="",1016.94754=""),"-",1016.94754/1506.90789*100)</f>
        <v>67.485713410127545</v>
      </c>
      <c r="D95" s="26">
        <f>IF(1506.90789="","-",1506.90789/4403044.02622*100)</f>
        <v>3.422422944277656E-2</v>
      </c>
      <c r="E95" s="26">
        <f>IF(1016.94754="","-",1016.94754/5891753.11111*100)</f>
        <v>1.7260525361837645E-2</v>
      </c>
      <c r="F95" s="26">
        <f>IF(OR(3323881.41153="",605.79079="",1506.90789=""),"-",(1506.90789-605.79079)/3323881.41153*100)</f>
        <v>2.7110386576192892E-2</v>
      </c>
      <c r="G95" s="26">
        <f>IF(OR(4403044.02622="",1016.94754="",1506.90789=""),"-",(1016.94754-1506.90789)/4403044.02622*100)</f>
        <v>-1.112776404419988E-2</v>
      </c>
    </row>
    <row r="96" spans="1:7" x14ac:dyDescent="0.2">
      <c r="A96" s="25" t="s">
        <v>62</v>
      </c>
      <c r="B96" s="32">
        <v>1014.5288399999999</v>
      </c>
      <c r="C96" s="26">
        <f>IF(OR(679.44018="",1014.52884=""),"-",1014.52884/679.44018*100)</f>
        <v>149.31834617140245</v>
      </c>
      <c r="D96" s="26">
        <f>IF(679.44018="","-",679.44018/4403044.02622*100)</f>
        <v>1.5431146632964679E-2</v>
      </c>
      <c r="E96" s="26">
        <f>IF(1014.52884="","-",1014.52884/5891753.11111*100)</f>
        <v>1.7219473064594586E-2</v>
      </c>
      <c r="F96" s="26">
        <f>IF(OR(3323881.41153="",630.7751="",679.44018=""),"-",(679.44018-630.7751)/3323881.41153*100)</f>
        <v>1.4641039788961456E-3</v>
      </c>
      <c r="G96" s="26">
        <f>IF(OR(4403044.02622="",1014.52884="",679.44018=""),"-",(1014.52884-679.44018)/4403044.02622*100)</f>
        <v>7.6103863146622331E-3</v>
      </c>
    </row>
    <row r="97" spans="1:7" x14ac:dyDescent="0.2">
      <c r="A97" s="25" t="s">
        <v>303</v>
      </c>
      <c r="B97" s="32">
        <v>904.22769000000005</v>
      </c>
      <c r="C97" s="26">
        <f>IF(OR(1723.42926="",904.22769=""),"-",904.22769/1723.42926*100)</f>
        <v>52.466771395073096</v>
      </c>
      <c r="D97" s="26">
        <f>IF(1723.42926="","-",1723.42926/4403044.02622*100)</f>
        <v>3.9141767598439361E-2</v>
      </c>
      <c r="E97" s="26">
        <f>IF(904.22769="","-",904.22769/5891753.11111*100)</f>
        <v>1.5347345228959272E-2</v>
      </c>
      <c r="F97" s="26">
        <f>IF(OR(3323881.41153="",1020.32201="",1723.42926=""),"-",(1723.42926-1020.32201)/3323881.41153*100)</f>
        <v>2.115319901489374E-2</v>
      </c>
      <c r="G97" s="26">
        <f>IF(OR(4403044.02622="",904.22769="",1723.42926=""),"-",(904.22769-1723.42926)/4403044.02622*100)</f>
        <v>-1.8605345872575389E-2</v>
      </c>
    </row>
    <row r="98" spans="1:7" x14ac:dyDescent="0.2">
      <c r="A98" s="25" t="s">
        <v>97</v>
      </c>
      <c r="B98" s="32">
        <v>706.43138999999996</v>
      </c>
      <c r="C98" s="26">
        <f>IF(OR(589.03108="",706.43139=""),"-",706.43139/589.03108*100)</f>
        <v>119.93108920500426</v>
      </c>
      <c r="D98" s="26">
        <f>IF(589.03108="","-",589.03108/4403044.02622*100)</f>
        <v>1.3377814904696318E-2</v>
      </c>
      <c r="E98" s="26">
        <f>IF(706.43139="","-",706.43139/5891753.11111*100)</f>
        <v>1.1990172987185967E-2</v>
      </c>
      <c r="F98" s="26">
        <f>IF(OR(3323881.41153="",220.1529="",589.03108=""),"-",(589.03108-220.1529)/3323881.41153*100)</f>
        <v>1.1097814101322087E-2</v>
      </c>
      <c r="G98" s="26">
        <f>IF(OR(4403044.02622="",706.43139="",589.03108=""),"-",(706.43139-589.03108)/4403044.02622*100)</f>
        <v>2.6663442223353782E-3</v>
      </c>
    </row>
    <row r="99" spans="1:7" x14ac:dyDescent="0.2">
      <c r="A99" s="25" t="s">
        <v>286</v>
      </c>
      <c r="B99" s="26">
        <v>576.28272000000004</v>
      </c>
      <c r="C99" s="26" t="s">
        <v>386</v>
      </c>
      <c r="D99" s="26">
        <f>IF(34.95091="","-",34.95091/4403044.02622*100)</f>
        <v>7.9378970075857382E-4</v>
      </c>
      <c r="E99" s="26">
        <f>IF(576.28272="","-",576.28272/5891753.11111*100)</f>
        <v>9.7811756387638071E-3</v>
      </c>
      <c r="F99" s="26">
        <f>IF(OR(3323881.41153="",19.49981="",34.95091=""),"-",(34.95091-19.49981)/3323881.41153*100)</f>
        <v>4.648511209335768E-4</v>
      </c>
      <c r="G99" s="26">
        <f>IF(OR(4403044.02622="",576.28272="",34.95091=""),"-",(576.28272-34.95091)/4403044.02622*100)</f>
        <v>1.2294490056796722E-2</v>
      </c>
    </row>
    <row r="100" spans="1:7" x14ac:dyDescent="0.2">
      <c r="A100" s="25" t="s">
        <v>90</v>
      </c>
      <c r="B100" s="32">
        <v>533.96875</v>
      </c>
      <c r="C100" s="26">
        <f>IF(OR(358.87911="",533.96875=""),"-",533.96875/358.87911*100)</f>
        <v>148.78791635434004</v>
      </c>
      <c r="D100" s="26">
        <f>IF(358.87911="","-",358.87911/4403044.02622*100)</f>
        <v>8.1507045549144008E-3</v>
      </c>
      <c r="E100" s="26">
        <f>IF(533.96875="","-",533.96875/5891753.11111*100)</f>
        <v>9.0629858368148908E-3</v>
      </c>
      <c r="F100" s="26">
        <f>IF(OR(3323881.41153="",491.63379="",358.87911=""),"-",(358.87911-491.63379)/3323881.41153*100)</f>
        <v>-3.9939655951471585E-3</v>
      </c>
      <c r="G100" s="26">
        <f>IF(OR(4403044.02622="",533.96875="",358.87911=""),"-",(533.96875-358.87911)/4403044.02622*100)</f>
        <v>3.9765589205410217E-3</v>
      </c>
    </row>
    <row r="101" spans="1:7" x14ac:dyDescent="0.2">
      <c r="A101" s="25" t="s">
        <v>102</v>
      </c>
      <c r="B101" s="32">
        <v>524.07389000000001</v>
      </c>
      <c r="C101" s="26" t="s">
        <v>100</v>
      </c>
      <c r="D101" s="26">
        <f>IF(271.15621="","-",271.15621/4403044.02622*100)</f>
        <v>6.1583806199818261E-3</v>
      </c>
      <c r="E101" s="26">
        <f>IF(524.07389="","-",524.07389/5891753.11111*100)</f>
        <v>8.8950415965625054E-3</v>
      </c>
      <c r="F101" s="26">
        <f>IF(OR(3323881.41153="",176.85317="",271.15621=""),"-",(271.15621-176.85317)/3323881.41153*100)</f>
        <v>2.8371361166158993E-3</v>
      </c>
      <c r="G101" s="26">
        <f>IF(OR(4403044.02622="",524.07389="",271.15621=""),"-",(524.07389-271.15621)/4403044.02622*100)</f>
        <v>5.7441551457101617E-3</v>
      </c>
    </row>
    <row r="102" spans="1:7" x14ac:dyDescent="0.2">
      <c r="A102" s="25" t="s">
        <v>94</v>
      </c>
      <c r="B102" s="32">
        <v>368.86604999999997</v>
      </c>
      <c r="C102" s="26">
        <f>IF(OR(556.82523="",368.86605=""),"-",368.86605/556.82523*100)</f>
        <v>66.244492908484048</v>
      </c>
      <c r="D102" s="26">
        <f>IF(556.82523="","-",556.82523/4403044.02622*100)</f>
        <v>1.2646369799714058E-2</v>
      </c>
      <c r="E102" s="26">
        <f>IF(368.86605="","-",368.86605/5891753.11111*100)</f>
        <v>6.2607180417053494E-3</v>
      </c>
      <c r="F102" s="26">
        <f>IF(OR(3323881.41153="",261.68333="",556.82523=""),"-",(556.82523-261.68333)/3323881.41153*100)</f>
        <v>8.8794353184864262E-3</v>
      </c>
      <c r="G102" s="26">
        <f>IF(OR(4403044.02622="",368.86605="",556.82523=""),"-",(368.86605-556.82523)/4403044.02622*100)</f>
        <v>-4.2688462545618115E-3</v>
      </c>
    </row>
    <row r="103" spans="1:7" x14ac:dyDescent="0.2">
      <c r="A103" s="25" t="s">
        <v>58</v>
      </c>
      <c r="B103" s="32">
        <v>340.68847</v>
      </c>
      <c r="C103" s="31">
        <f>IF(OR(206.57146="",340.68847=""),"-",340.68847/206.57146*100)</f>
        <v>164.9252370099916</v>
      </c>
      <c r="D103" s="26">
        <f>IF(206.57146="","-",206.57146/4403044.02622*100)</f>
        <v>4.6915601745036589E-3</v>
      </c>
      <c r="E103" s="26">
        <f>IF(340.68847="","-",340.68847/5891753.11111*100)</f>
        <v>5.7824634463648572E-3</v>
      </c>
      <c r="F103" s="26">
        <f>IF(OR(3323881.41153="",108.62021="",206.57146=""),"-",(206.57146-108.62021)/3323881.41153*100)</f>
        <v>2.9468936424814421E-3</v>
      </c>
      <c r="G103" s="26">
        <f>IF(OR(4403044.02622="",340.68847="",206.57146=""),"-",(340.68847-206.57146)/4403044.02622*100)</f>
        <v>3.0460065627628766E-3</v>
      </c>
    </row>
    <row r="104" spans="1:7" x14ac:dyDescent="0.2">
      <c r="A104" s="25" t="s">
        <v>117</v>
      </c>
      <c r="B104" s="26">
        <v>260.07384000000002</v>
      </c>
      <c r="C104" s="26">
        <f>IF(OR(413.57628="",260.07384=""),"-",260.07384/413.57628*100)</f>
        <v>62.884128654573715</v>
      </c>
      <c r="D104" s="26">
        <f>IF(413.57628="","-",413.57628/4403044.02622*100)</f>
        <v>9.3929626307882718E-3</v>
      </c>
      <c r="E104" s="26">
        <f>IF(260.07384="","-",260.07384/5891753.11111*100)</f>
        <v>4.4142012588677939E-3</v>
      </c>
      <c r="F104" s="26">
        <f>IF(OR(3323881.41153="",165.61132="",413.57628=""),"-",(413.57628-165.61132)/3323881.41153*100)</f>
        <v>7.4601024916186882E-3</v>
      </c>
      <c r="G104" s="26">
        <f>IF(OR(4403044.02622="",260.07384="",413.57628=""),"-",(260.07384-413.57628)/4403044.02622*100)</f>
        <v>-3.4862799255673429E-3</v>
      </c>
    </row>
    <row r="105" spans="1:7" x14ac:dyDescent="0.2">
      <c r="A105" s="25" t="s">
        <v>201</v>
      </c>
      <c r="B105" s="32">
        <v>240.19341</v>
      </c>
      <c r="C105" s="26">
        <f>IF(OR(434.84738="",240.19341=""),"-",240.19341/434.84738*100)</f>
        <v>55.236255534068071</v>
      </c>
      <c r="D105" s="26">
        <f>IF(434.84738="","-",434.84738/4403044.02622*100)</f>
        <v>9.8760625015443023E-3</v>
      </c>
      <c r="E105" s="26">
        <f>IF(240.19341="","-",240.19341/5891753.11111*100)</f>
        <v>4.0767731687037347E-3</v>
      </c>
      <c r="F105" s="26">
        <f>IF(OR(3323881.41153="",119.23986="",434.84738=""),"-",(434.84738-119.23986)/3323881.41153*100)</f>
        <v>9.4951498240944832E-3</v>
      </c>
      <c r="G105" s="26">
        <f>IF(OR(4403044.02622="",240.19341="",434.84738=""),"-",(240.19341-434.84738)/4403044.02622*100)</f>
        <v>-4.4208953814870167E-3</v>
      </c>
    </row>
    <row r="106" spans="1:7" x14ac:dyDescent="0.2">
      <c r="A106" s="30" t="s">
        <v>124</v>
      </c>
      <c r="B106" s="32">
        <v>219.05904000000001</v>
      </c>
      <c r="C106" s="26">
        <f>IF(OR(139.65822="",219.05904=""),"-",219.05904/139.65822*100)</f>
        <v>156.85366747478238</v>
      </c>
      <c r="D106" s="26">
        <f>IF(139.65822="","-",139.65822/4403044.02622*100)</f>
        <v>3.1718560879323331E-3</v>
      </c>
      <c r="E106" s="26">
        <f>IF(219.05904="","-",219.05904/5891753.11111*100)</f>
        <v>3.7180621093392948E-3</v>
      </c>
      <c r="F106" s="26">
        <f>IF(OR(3323881.41153="",157.75198="",139.65822=""),"-",(139.65822-157.75198)/3323881.41153*100)</f>
        <v>-5.4435636413608843E-4</v>
      </c>
      <c r="G106" s="26">
        <f>IF(OR(4403044.02622="",219.05904="",139.65822=""),"-",(219.05904-139.65822)/4403044.02622*100)</f>
        <v>1.8033165130116895E-3</v>
      </c>
    </row>
    <row r="107" spans="1:7" x14ac:dyDescent="0.2">
      <c r="A107" s="25" t="s">
        <v>333</v>
      </c>
      <c r="B107" s="26">
        <v>191.95464000000001</v>
      </c>
      <c r="C107" s="26" t="s">
        <v>91</v>
      </c>
      <c r="D107" s="26">
        <f>IF(91.9638="","-",91.9638/4403044.02622*100)</f>
        <v>2.0886413911002984E-3</v>
      </c>
      <c r="E107" s="26">
        <f>IF(191.95464="","-",191.95464/5891753.11111*100)</f>
        <v>3.2580224659793317E-3</v>
      </c>
      <c r="F107" s="26">
        <f>IF(OR(3323881.41153="",15.76639="",91.9638=""),"-",(91.9638-15.76639)/3323881.41153*100)</f>
        <v>2.2924226398596433E-3</v>
      </c>
      <c r="G107" s="26">
        <f>IF(OR(4403044.02622="",191.95464="",91.9638=""),"-",(191.95464-91.9638)/4403044.02622*100)</f>
        <v>2.2709479942639101E-3</v>
      </c>
    </row>
    <row r="108" spans="1:7" x14ac:dyDescent="0.2">
      <c r="A108" s="25" t="s">
        <v>200</v>
      </c>
      <c r="B108" s="26">
        <v>185.34322</v>
      </c>
      <c r="C108" s="26" t="s">
        <v>338</v>
      </c>
      <c r="D108" s="26">
        <f>IF(42.34941="","-",42.34941/4403044.02622*100)</f>
        <v>9.6182117979766912E-4</v>
      </c>
      <c r="E108" s="26">
        <f>IF(185.34322="","-",185.34322/5891753.11111*100)</f>
        <v>3.1458076484994048E-3</v>
      </c>
      <c r="F108" s="26">
        <f>IF(OR(3323881.41153="",1.12235="",42.34941=""),"-",(42.34941-1.12235)/3323881.41153*100)</f>
        <v>1.2403288473827642E-3</v>
      </c>
      <c r="G108" s="26">
        <f>IF(OR(4403044.02622="",185.34322="",42.34941=""),"-",(185.34322-42.34941)/4403044.02622*100)</f>
        <v>3.2476125414253403E-3</v>
      </c>
    </row>
    <row r="109" spans="1:7" x14ac:dyDescent="0.2">
      <c r="A109" s="25" t="s">
        <v>122</v>
      </c>
      <c r="B109" s="26">
        <v>180.58696</v>
      </c>
      <c r="C109" s="26">
        <f>IF(OR(389.76796="",180.58696=""),"-",180.58696/389.76796*100)</f>
        <v>46.331915019387431</v>
      </c>
      <c r="D109" s="26">
        <f>IF(389.76796="","-",389.76796/4403044.02622*100)</f>
        <v>8.8522385349531617E-3</v>
      </c>
      <c r="E109" s="26">
        <f>IF(180.58696="","-",180.58696/5891753.11111*100)</f>
        <v>3.065080233241097E-3</v>
      </c>
      <c r="F109" s="26">
        <f>IF(OR(3323881.41153="",1021.28896="",389.76796=""),"-",(389.76796-1021.28896)/3323881.41153*100)</f>
        <v>-1.8999504549390873E-2</v>
      </c>
      <c r="G109" s="26">
        <f>IF(OR(4403044.02622="",180.58696="",389.76796=""),"-",(180.58696-389.76796)/4403044.02622*100)</f>
        <v>-4.7508268996251952E-3</v>
      </c>
    </row>
    <row r="110" spans="1:7" x14ac:dyDescent="0.2">
      <c r="A110" s="25" t="s">
        <v>332</v>
      </c>
      <c r="B110" s="32">
        <v>175.30394999999999</v>
      </c>
      <c r="C110" s="26" t="s">
        <v>341</v>
      </c>
      <c r="D110" s="26">
        <f>IF(4.89148="","-",4.89148/4403044.02622*100)</f>
        <v>1.1109314308172658E-4</v>
      </c>
      <c r="E110" s="26">
        <f>IF(175.30395="","-",175.30395/5891753.11111*100)</f>
        <v>2.9754123551007541E-3</v>
      </c>
      <c r="F110" s="26">
        <f>IF(OR(3323881.41153="",3.71706="",4.89148=""),"-",(4.89148-3.71706)/3323881.41153*100)</f>
        <v>3.5332788827126293E-5</v>
      </c>
      <c r="G110" s="26">
        <f>IF(OR(4403044.02622="",175.30395="",4.89148=""),"-",(175.30395-4.89148)/4403044.02622*100)</f>
        <v>3.87033309195181E-3</v>
      </c>
    </row>
    <row r="111" spans="1:7" x14ac:dyDescent="0.2">
      <c r="A111" s="25" t="s">
        <v>318</v>
      </c>
      <c r="B111" s="32">
        <v>155.52521999999999</v>
      </c>
      <c r="C111" s="26">
        <f>IF(OR(104.00191="",155.52522=""),"-",155.52522/104.00191*100)</f>
        <v>149.5407343961279</v>
      </c>
      <c r="D111" s="26">
        <f>IF(104.00191="","-",104.00191/4403044.02622*100)</f>
        <v>2.3620456525229277E-3</v>
      </c>
      <c r="E111" s="26">
        <f>IF(155.52522="","-",155.52522/5891753.11111*100)</f>
        <v>2.6397104065125905E-3</v>
      </c>
      <c r="F111" s="26">
        <f>IF(OR(3323881.41153="",338.16136="",104.00191=""),"-",(104.00191-338.16136)/3323881.41153*100)</f>
        <v>-7.0447594546465837E-3</v>
      </c>
      <c r="G111" s="26">
        <f>IF(OR(4403044.02622="",155.52522="",104.00191=""),"-",(155.52522-104.00191)/4403044.02622*100)</f>
        <v>1.1701747630316701E-3</v>
      </c>
    </row>
    <row r="112" spans="1:7" x14ac:dyDescent="0.2">
      <c r="A112" s="25" t="s">
        <v>311</v>
      </c>
      <c r="B112" s="32">
        <v>121.95017</v>
      </c>
      <c r="C112" s="26">
        <f>IF(OR(122.35749="",121.95017=""),"-",121.95017/122.35749*100)</f>
        <v>99.66710660704139</v>
      </c>
      <c r="D112" s="26">
        <f>IF(122.35749="","-",122.35749/4403044.02622*100)</f>
        <v>2.778929514930232E-3</v>
      </c>
      <c r="E112" s="26">
        <f>IF(121.95017="","-",121.95017/5891753.11111*100)</f>
        <v>2.0698452175472218E-3</v>
      </c>
      <c r="F112" s="26">
        <f>IF(OR(3323881.41153="",73.41574="",122.35749=""),"-",(122.35749-73.41574)/3323881.41153*100)</f>
        <v>1.4724276813916732E-3</v>
      </c>
      <c r="G112" s="26">
        <f>IF(OR(4403044.02622="",121.95017="",122.35749=""),"-",(121.95017-122.35749)/4403044.02622*100)</f>
        <v>-9.2508727501796407E-6</v>
      </c>
    </row>
    <row r="113" spans="1:7" x14ac:dyDescent="0.2">
      <c r="A113" s="25" t="s">
        <v>320</v>
      </c>
      <c r="B113" s="32">
        <v>117.90542000000001</v>
      </c>
      <c r="C113" s="26" t="s">
        <v>387</v>
      </c>
      <c r="D113" s="26">
        <f>IF(3.59997="","-",3.59997/4403044.02622*100)</f>
        <v>8.1760935810822744E-5</v>
      </c>
      <c r="E113" s="26">
        <f>IF(117.90542="","-",117.90542/5891753.11111*100)</f>
        <v>2.0011941738982126E-3</v>
      </c>
      <c r="F113" s="26">
        <f>IF(OR(3323881.41153="",0.60042="",3.59997=""),"-",(3.59997-0.60042)/3323881.41153*100)</f>
        <v>9.024238920182449E-5</v>
      </c>
      <c r="G113" s="26">
        <f>IF(OR(4403044.02622="",117.90542="",3.59997=""),"-",(117.90542-3.59997)/4403044.02622*100)</f>
        <v>2.5960551227585814E-3</v>
      </c>
    </row>
    <row r="114" spans="1:7" x14ac:dyDescent="0.2">
      <c r="A114" s="25" t="s">
        <v>319</v>
      </c>
      <c r="B114" s="32">
        <v>107.34052</v>
      </c>
      <c r="C114" s="26">
        <f>IF(OR(67.45043="",107.34052=""),"-",107.34052/67.45043*100)</f>
        <v>159.13986019066152</v>
      </c>
      <c r="D114" s="26">
        <f>IF(67.45043="","-",67.45043/4403044.02622*100)</f>
        <v>1.5319045096604674E-3</v>
      </c>
      <c r="E114" s="26">
        <f>IF(107.34052="","-",107.34052/5891753.11111*100)</f>
        <v>1.8218774272396006E-3</v>
      </c>
      <c r="F114" s="26">
        <f>IF(OR(3323881.41153="",72.09923="",67.45043=""),"-",(67.45043-72.09923)/3323881.41153*100)</f>
        <v>-1.3986058539495672E-4</v>
      </c>
      <c r="G114" s="26">
        <f>IF(OR(4403044.02622="",107.34052="",67.45043=""),"-",(107.34052-67.45043)/4403044.02622*100)</f>
        <v>9.0596618526763892E-4</v>
      </c>
    </row>
    <row r="115" spans="1:7" x14ac:dyDescent="0.2">
      <c r="A115" s="25" t="s">
        <v>284</v>
      </c>
      <c r="B115" s="32">
        <v>96.321809999999999</v>
      </c>
      <c r="C115" s="26" t="s">
        <v>388</v>
      </c>
      <c r="D115" s="26">
        <f>IF(11.20225="","-",11.20225/4403044.02622*100)</f>
        <v>2.544205766122465E-4</v>
      </c>
      <c r="E115" s="26">
        <f>IF(96.32181="","-",96.32181/5891753.11111*100)</f>
        <v>1.6348582193365714E-3</v>
      </c>
      <c r="F115" s="26">
        <f>IF(OR(3323881.41153="",82.27946="",11.20225=""),"-",(11.20225-82.27946)/3323881.41153*100)</f>
        <v>-2.1383798397092268E-3</v>
      </c>
      <c r="G115" s="26">
        <f>IF(OR(4403044.02622="",96.32181="",11.20225=""),"-",(96.32181-11.20225)/4403044.02622*100)</f>
        <v>1.9331980214850337E-3</v>
      </c>
    </row>
    <row r="116" spans="1:7" x14ac:dyDescent="0.2">
      <c r="A116" s="25" t="s">
        <v>321</v>
      </c>
      <c r="B116" s="26">
        <v>90.163759999999996</v>
      </c>
      <c r="C116" s="26" t="s">
        <v>18</v>
      </c>
      <c r="D116" s="26">
        <f>IF(45.98317="","-",45.98317/4403044.02622*100)</f>
        <v>1.0443495392317575E-3</v>
      </c>
      <c r="E116" s="26">
        <f>IF(90.16376="","-",90.16376/5891753.11111*100)</f>
        <v>1.5303383950352467E-3</v>
      </c>
      <c r="F116" s="26">
        <f>IF(OR(3323881.41153="",51.41463="",45.98317=""),"-",(45.98317-51.41463)/3323881.41153*100)</f>
        <v>-1.6340715349107089E-4</v>
      </c>
      <c r="G116" s="26">
        <f>IF(OR(4403044.02622="",90.16376="",45.98317=""),"-",(90.16376-45.98317)/4403044.02622*100)</f>
        <v>1.0034101348273116E-3</v>
      </c>
    </row>
    <row r="117" spans="1:7" x14ac:dyDescent="0.2">
      <c r="A117" s="25" t="s">
        <v>308</v>
      </c>
      <c r="B117" s="32">
        <v>85.659930000000003</v>
      </c>
      <c r="C117" s="26" t="s">
        <v>295</v>
      </c>
      <c r="D117" s="26">
        <f>IF(30.81172="","-",30.81172/4403044.02622*100)</f>
        <v>6.99782237391157E-4</v>
      </c>
      <c r="E117" s="26">
        <f>IF(85.65993="","-",85.65993/5891753.11111*100)</f>
        <v>1.4538954430808077E-3</v>
      </c>
      <c r="F117" s="26">
        <f>IF(OR(3323881.41153="",140.87692="",30.81172=""),"-",(30.81172-140.87692)/3323881.41153*100)</f>
        <v>-3.3113455738282911E-3</v>
      </c>
      <c r="G117" s="26">
        <f>IF(OR(4403044.02622="",85.65993="",30.81172=""),"-",(85.65993-30.81172)/4403044.02622*100)</f>
        <v>1.2456884299448402E-3</v>
      </c>
    </row>
    <row r="118" spans="1:7" x14ac:dyDescent="0.2">
      <c r="A118" s="25" t="s">
        <v>125</v>
      </c>
      <c r="B118" s="26">
        <v>85.403049999999993</v>
      </c>
      <c r="C118" s="26">
        <f>IF(OR(207.35017="",85.40305=""),"-",85.40305/207.35017*100)</f>
        <v>41.187836981276646</v>
      </c>
      <c r="D118" s="26">
        <f>IF(207.35017="","-",207.35017/4403044.02622*100)</f>
        <v>4.7092458936416649E-3</v>
      </c>
      <c r="E118" s="26">
        <f>IF(85.40305="","-",85.40305/5891753.11111*100)</f>
        <v>1.4495354504749463E-3</v>
      </c>
      <c r="F118" s="26">
        <f>IF(OR(3323881.41153="",137.13504="",207.35017=""),"-",(207.35017-137.13504)/3323881.41153*100)</f>
        <v>2.1124438963566871E-3</v>
      </c>
      <c r="G118" s="26">
        <f>IF(OR(4403044.02622="",85.40305="",207.35017=""),"-",(85.40305-207.35017)/4403044.02622*100)</f>
        <v>-2.7696093719210713E-3</v>
      </c>
    </row>
    <row r="119" spans="1:7" x14ac:dyDescent="0.2">
      <c r="A119" s="25" t="s">
        <v>358</v>
      </c>
      <c r="B119" s="32">
        <v>84.042320000000004</v>
      </c>
      <c r="C119" s="26">
        <f>IF(OR(77.09161="",84.04232=""),"-",84.04232/77.09161*100)</f>
        <v>109.016169204405</v>
      </c>
      <c r="D119" s="26">
        <f>IF(77.09161="","-",77.09161/4403044.02622*100)</f>
        <v>1.7508707508015291E-3</v>
      </c>
      <c r="E119" s="26">
        <f>IF(84.04232="","-",84.04232/5891753.11111*100)</f>
        <v>1.4264399477554911E-3</v>
      </c>
      <c r="F119" s="26">
        <f>IF(OR(3323881.41153="",51.94094="",77.09161=""),"-",(77.09161-51.94094)/3323881.41153*100)</f>
        <v>7.5666568346140304E-4</v>
      </c>
      <c r="G119" s="26">
        <f>IF(OR(4403044.02622="",84.04232="",77.09161=""),"-",(84.04232-77.09161)/4403044.02622*100)</f>
        <v>1.5786146944270197E-4</v>
      </c>
    </row>
    <row r="120" spans="1:7" x14ac:dyDescent="0.2">
      <c r="A120" s="25" t="s">
        <v>285</v>
      </c>
      <c r="B120" s="32">
        <v>76.85624</v>
      </c>
      <c r="C120" s="26">
        <f>IF(OR(77.92519="",76.85624=""),"-",76.85624/77.92519*100)</f>
        <v>98.628235619316413</v>
      </c>
      <c r="D120" s="26">
        <f>IF(77.92519="","-",77.92519/4403044.02622*100)</f>
        <v>1.769802653254379E-3</v>
      </c>
      <c r="E120" s="26">
        <f>IF(76.85624="","-",76.85624/5891753.11111*100)</f>
        <v>1.3044714968635264E-3</v>
      </c>
      <c r="F120" s="26">
        <f>IF(OR(3323881.41153="",0.19287="",77.92519=""),"-",(77.92519-0.19287)/3323881.41153*100)</f>
        <v>2.3386008817991915E-3</v>
      </c>
      <c r="G120" s="26">
        <f>IF(OR(4403044.02622="",76.85624="",77.92519=""),"-",(76.85624-77.92519)/4403044.02622*100)</f>
        <v>-2.4277522405736452E-5</v>
      </c>
    </row>
    <row r="121" spans="1:7" x14ac:dyDescent="0.2">
      <c r="A121" s="33" t="s">
        <v>326</v>
      </c>
      <c r="B121" s="103">
        <v>73.386809999999997</v>
      </c>
      <c r="C121" s="34">
        <f>IF(OR(70.02609="",73.38681=""),"-",73.38681/70.02609*100)</f>
        <v>104.79923982618477</v>
      </c>
      <c r="D121" s="34">
        <f>IF(70.02609="","-",70.02609/4403044.02622*100)</f>
        <v>1.5904017671183081E-3</v>
      </c>
      <c r="E121" s="34">
        <f>IF(73.38681="","-",73.38681/5891753.11111*100)</f>
        <v>1.2455852887252772E-3</v>
      </c>
      <c r="F121" s="34">
        <f>IF(OR(3323881.41153="",21.80179="",70.02609=""),"-",(70.02609-21.80179)/3323881.41153*100)</f>
        <v>1.4508429763082943E-3</v>
      </c>
      <c r="G121" s="34">
        <f>IF(OR(4403044.02622="",73.38681="",70.02609=""),"-",(73.38681-70.02609)/4403044.02622*100)</f>
        <v>7.6327195003888433E-5</v>
      </c>
    </row>
    <row r="122" spans="1:7" x14ac:dyDescent="0.2">
      <c r="A122" s="36" t="s">
        <v>334</v>
      </c>
      <c r="B122" s="37">
        <v>70.169359999999998</v>
      </c>
      <c r="C122" s="37" t="s">
        <v>193</v>
      </c>
      <c r="D122" s="37">
        <f>IF(31.54639="","-",31.54639/4403044.02622*100)</f>
        <v>7.1646773941260085E-4</v>
      </c>
      <c r="E122" s="37">
        <f>IF(70.16936="","-",70.16936/5891753.11111*100)</f>
        <v>1.1909759060963125E-3</v>
      </c>
      <c r="F122" s="37">
        <f>IF(OR(3323881.41153="",15.73498="",31.54639=""),"-",(31.54639-15.73498)/3323881.41153*100)</f>
        <v>4.756911586903434E-4</v>
      </c>
      <c r="G122" s="37">
        <f>IF(OR(4403044.02622="",70.16936="",31.54639=""),"-",(70.16936-31.54639)/4403044.02622*100)</f>
        <v>8.7718791295297795E-4</v>
      </c>
    </row>
    <row r="123" spans="1:7" x14ac:dyDescent="0.2">
      <c r="A123" s="38" t="s">
        <v>277</v>
      </c>
      <c r="B123" s="39"/>
      <c r="C123" s="39"/>
      <c r="D123" s="39"/>
      <c r="E123" s="39"/>
      <c r="F123" s="29"/>
      <c r="G123" s="29"/>
    </row>
    <row r="124" spans="1:7" ht="13.5" x14ac:dyDescent="0.2">
      <c r="A124" s="40" t="s">
        <v>409</v>
      </c>
      <c r="B124" s="40"/>
      <c r="C124" s="40"/>
      <c r="D124" s="40"/>
      <c r="E124" s="40"/>
      <c r="F124" s="29"/>
      <c r="G124" s="29"/>
    </row>
  </sheetData>
  <mergeCells count="10">
    <mergeCell ref="A124:E124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141"/>
  <sheetViews>
    <sheetView workbookViewId="0">
      <selection sqref="A1:XFD1048576"/>
    </sheetView>
  </sheetViews>
  <sheetFormatPr defaultRowHeight="12" x14ac:dyDescent="0.2"/>
  <cols>
    <col min="1" max="1" width="44.125" style="3" customWidth="1"/>
    <col min="2" max="2" width="14.625" style="3" customWidth="1"/>
    <col min="3" max="3" width="14.875" style="3" customWidth="1"/>
    <col min="4" max="4" width="16" style="3" customWidth="1"/>
    <col min="5" max="16384" width="9" style="3"/>
  </cols>
  <sheetData>
    <row r="1" spans="1:4" x14ac:dyDescent="0.2">
      <c r="A1" s="41" t="s">
        <v>416</v>
      </c>
      <c r="B1" s="41"/>
      <c r="C1" s="41"/>
      <c r="D1" s="41"/>
    </row>
    <row r="2" spans="1:4" x14ac:dyDescent="0.2">
      <c r="A2" s="42"/>
    </row>
    <row r="3" spans="1:4" ht="24.75" customHeight="1" x14ac:dyDescent="0.2">
      <c r="A3" s="43"/>
      <c r="B3" s="44" t="s">
        <v>367</v>
      </c>
      <c r="C3" s="45"/>
      <c r="D3" s="46" t="s">
        <v>368</v>
      </c>
    </row>
    <row r="4" spans="1:4" ht="29.25" customHeight="1" x14ac:dyDescent="0.2">
      <c r="A4" s="47"/>
      <c r="B4" s="48" t="s">
        <v>297</v>
      </c>
      <c r="C4" s="49" t="s">
        <v>298</v>
      </c>
      <c r="D4" s="50"/>
    </row>
    <row r="5" spans="1:4" ht="16.5" customHeight="1" x14ac:dyDescent="0.2">
      <c r="A5" s="24" t="s">
        <v>199</v>
      </c>
      <c r="B5" s="21">
        <v>-2594520.1116499999</v>
      </c>
      <c r="C5" s="21">
        <v>-2932615.3870799998</v>
      </c>
      <c r="D5" s="21">
        <f>IF(-2594520.11165="","-",-2932615.38708/-2594520.11165*100)</f>
        <v>113.03112949141823</v>
      </c>
    </row>
    <row r="6" spans="1:4" x14ac:dyDescent="0.2">
      <c r="A6" s="91" t="s">
        <v>123</v>
      </c>
      <c r="B6" s="101"/>
      <c r="C6" s="101"/>
      <c r="D6" s="101"/>
    </row>
    <row r="7" spans="1:4" x14ac:dyDescent="0.2">
      <c r="A7" s="24" t="s">
        <v>327</v>
      </c>
      <c r="B7" s="20">
        <v>-917702.99832999997</v>
      </c>
      <c r="C7" s="20">
        <v>-958409.86438000004</v>
      </c>
      <c r="D7" s="20">
        <f>IF(-917702.99833="","-",-958409.86438/-917702.99833*100)</f>
        <v>104.43573423254331</v>
      </c>
    </row>
    <row r="8" spans="1:4" x14ac:dyDescent="0.2">
      <c r="A8" s="25" t="s">
        <v>4</v>
      </c>
      <c r="B8" s="26">
        <v>-186903.16253999999</v>
      </c>
      <c r="C8" s="26">
        <v>-223223.75570000001</v>
      </c>
      <c r="D8" s="26">
        <f>IF(OR(-186903.16254="",-223223.7557="",-186903.16254=0),"-",-223223.7557/-186903.16254*100)</f>
        <v>119.43284033635702</v>
      </c>
    </row>
    <row r="9" spans="1:4" x14ac:dyDescent="0.2">
      <c r="A9" s="25" t="s">
        <v>2</v>
      </c>
      <c r="B9" s="26">
        <v>-48970.413410000001</v>
      </c>
      <c r="C9" s="26">
        <v>-152579.41162</v>
      </c>
      <c r="D9" s="26" t="s">
        <v>322</v>
      </c>
    </row>
    <row r="10" spans="1:4" x14ac:dyDescent="0.2">
      <c r="A10" s="25" t="s">
        <v>5</v>
      </c>
      <c r="B10" s="26">
        <v>-101233.42434</v>
      </c>
      <c r="C10" s="26">
        <v>-114732.87701</v>
      </c>
      <c r="D10" s="26">
        <f>IF(OR(-101233.42434="",-114732.87701="",-101233.42434=0),"-",-114732.87701/-101233.42434*100)</f>
        <v>113.33497583235066</v>
      </c>
    </row>
    <row r="11" spans="1:4" x14ac:dyDescent="0.2">
      <c r="A11" s="25" t="s">
        <v>289</v>
      </c>
      <c r="B11" s="26">
        <v>-91891.027159999998</v>
      </c>
      <c r="C11" s="26">
        <v>-100029.02309</v>
      </c>
      <c r="D11" s="26">
        <f>IF(OR(-91891.02716="",-100029.02309="",-91891.02716=0),"-",-100029.02309/-91891.02716*100)</f>
        <v>108.85613773348098</v>
      </c>
    </row>
    <row r="12" spans="1:4" x14ac:dyDescent="0.2">
      <c r="A12" s="25" t="s">
        <v>40</v>
      </c>
      <c r="B12" s="26">
        <v>-56315.306969999998</v>
      </c>
      <c r="C12" s="26">
        <v>-83533.299549999996</v>
      </c>
      <c r="D12" s="26">
        <f>IF(OR(-56315.30697="",-83533.29955="",-56315.30697=0),"-",-83533.29955/-56315.30697*100)</f>
        <v>148.33142895678333</v>
      </c>
    </row>
    <row r="13" spans="1:4" x14ac:dyDescent="0.2">
      <c r="A13" s="25" t="s">
        <v>3</v>
      </c>
      <c r="B13" s="26">
        <v>-153574.18702000001</v>
      </c>
      <c r="C13" s="26">
        <v>-55768.314980000003</v>
      </c>
      <c r="D13" s="26">
        <f>IF(OR(-153574.18702="",-55768.31498="",-153574.18702=0),"-",-55768.31498/-153574.18702*100)</f>
        <v>36.313599350349989</v>
      </c>
    </row>
    <row r="14" spans="1:4" x14ac:dyDescent="0.2">
      <c r="A14" s="25" t="s">
        <v>38</v>
      </c>
      <c r="B14" s="26">
        <v>-41466.855190000002</v>
      </c>
      <c r="C14" s="26">
        <v>-46409.46286</v>
      </c>
      <c r="D14" s="26">
        <f>IF(OR(-41466.85519="",-46409.46286="",-41466.85519=0),"-",-46409.46286/-41466.85519*100)</f>
        <v>111.91941768275674</v>
      </c>
    </row>
    <row r="15" spans="1:4" x14ac:dyDescent="0.2">
      <c r="A15" s="25" t="s">
        <v>7</v>
      </c>
      <c r="B15" s="26">
        <v>-54029.039810000002</v>
      </c>
      <c r="C15" s="26">
        <v>-40623.025759999997</v>
      </c>
      <c r="D15" s="26">
        <f>IF(OR(-54029.03981="",-40623.02576="",-54029.03981=0),"-",-40623.02576/-54029.03981*100)</f>
        <v>75.187391637637901</v>
      </c>
    </row>
    <row r="16" spans="1:4" x14ac:dyDescent="0.2">
      <c r="A16" s="25" t="s">
        <v>42</v>
      </c>
      <c r="B16" s="26">
        <v>-17268.137729999999</v>
      </c>
      <c r="C16" s="26">
        <v>-25732.884109999999</v>
      </c>
      <c r="D16" s="26">
        <f>IF(OR(-17268.13773="",-25732.88411="",-17268.13773=0),"-",-25732.88411/-17268.13773*100)</f>
        <v>149.01945138701416</v>
      </c>
    </row>
    <row r="17" spans="1:4" x14ac:dyDescent="0.2">
      <c r="A17" s="25" t="s">
        <v>299</v>
      </c>
      <c r="B17" s="26">
        <v>-20759.778839999999</v>
      </c>
      <c r="C17" s="26">
        <v>-22077.227080000001</v>
      </c>
      <c r="D17" s="26">
        <f>IF(OR(-20759.77884="",-22077.22708="",-20759.77884=0),"-",-22077.22708/-20759.77884*100)</f>
        <v>106.34615739480586</v>
      </c>
    </row>
    <row r="18" spans="1:4" x14ac:dyDescent="0.2">
      <c r="A18" s="25" t="s">
        <v>39</v>
      </c>
      <c r="B18" s="26">
        <v>-15318.57692</v>
      </c>
      <c r="C18" s="26">
        <v>-21510.752349999999</v>
      </c>
      <c r="D18" s="26">
        <f>IF(OR(-15318.57692="",-21510.75235="",-15318.57692=0),"-",-21510.75235/-15318.57692*100)</f>
        <v>140.42265454773067</v>
      </c>
    </row>
    <row r="19" spans="1:4" x14ac:dyDescent="0.2">
      <c r="A19" s="25" t="s">
        <v>8</v>
      </c>
      <c r="B19" s="26">
        <v>-1697.0662600000001</v>
      </c>
      <c r="C19" s="26">
        <v>-21091.526730000001</v>
      </c>
      <c r="D19" s="26" t="s">
        <v>389</v>
      </c>
    </row>
    <row r="20" spans="1:4" x14ac:dyDescent="0.2">
      <c r="A20" s="25" t="s">
        <v>48</v>
      </c>
      <c r="B20" s="26">
        <v>-16825.961889999999</v>
      </c>
      <c r="C20" s="26">
        <v>-20830.73559</v>
      </c>
      <c r="D20" s="26">
        <f>IF(OR(-16825.96189="",-20830.73559="",-16825.96189=0),"-",-20830.73559/-16825.96189*100)</f>
        <v>123.80115755747741</v>
      </c>
    </row>
    <row r="21" spans="1:4" x14ac:dyDescent="0.2">
      <c r="A21" s="25" t="s">
        <v>50</v>
      </c>
      <c r="B21" s="26">
        <v>-18910.694490000002</v>
      </c>
      <c r="C21" s="26">
        <v>-18793.520680000001</v>
      </c>
      <c r="D21" s="26">
        <f>IF(OR(-18910.69449="",-18793.52068="",-18910.69449=0),"-",-18793.52068/-18910.69449*100)</f>
        <v>99.380383358940293</v>
      </c>
    </row>
    <row r="22" spans="1:4" x14ac:dyDescent="0.2">
      <c r="A22" s="25" t="s">
        <v>47</v>
      </c>
      <c r="B22" s="26">
        <v>-8239.4803599999996</v>
      </c>
      <c r="C22" s="26">
        <v>-13533.66079</v>
      </c>
      <c r="D22" s="26">
        <f>IF(OR(-8239.48036="",-13533.66079="",-8239.48036=0),"-",-13533.66079/-8239.48036*100)</f>
        <v>164.25381454516872</v>
      </c>
    </row>
    <row r="23" spans="1:4" x14ac:dyDescent="0.2">
      <c r="A23" s="25" t="s">
        <v>46</v>
      </c>
      <c r="B23" s="26">
        <v>-9525.9622199999994</v>
      </c>
      <c r="C23" s="26">
        <v>-12044.81092</v>
      </c>
      <c r="D23" s="26">
        <f>IF(OR(-9525.96222="",-12044.81092="",-9525.96222=0),"-",-12044.81092/-9525.96222*100)</f>
        <v>126.44193459755293</v>
      </c>
    </row>
    <row r="24" spans="1:4" x14ac:dyDescent="0.2">
      <c r="A24" s="25" t="s">
        <v>323</v>
      </c>
      <c r="B24" s="26">
        <v>-24575.318060000001</v>
      </c>
      <c r="C24" s="26">
        <v>-8093.5107699999999</v>
      </c>
      <c r="D24" s="26">
        <f>IF(OR(-24575.31806="",-8093.51077="",-24575.31806=0),"-",-8093.51077/-24575.31806*100)</f>
        <v>32.933493476014853</v>
      </c>
    </row>
    <row r="25" spans="1:4" x14ac:dyDescent="0.2">
      <c r="A25" s="25" t="s">
        <v>43</v>
      </c>
      <c r="B25" s="26">
        <v>-6065.1160099999997</v>
      </c>
      <c r="C25" s="26">
        <v>-7281.6293400000004</v>
      </c>
      <c r="D25" s="26">
        <f>IF(OR(-6065.11601="",-7281.62934="",-6065.11601=0),"-",-7281.62934/-6065.11601*100)</f>
        <v>120.05754429089643</v>
      </c>
    </row>
    <row r="26" spans="1:4" x14ac:dyDescent="0.2">
      <c r="A26" s="25" t="s">
        <v>51</v>
      </c>
      <c r="B26" s="26">
        <v>-4206.3054499999998</v>
      </c>
      <c r="C26" s="26">
        <v>-5204.3876399999999</v>
      </c>
      <c r="D26" s="26">
        <f>IF(OR(-4206.30545="",-5204.38764="",-4206.30545=0),"-",-5204.38764/-4206.30545*100)</f>
        <v>123.72823851867439</v>
      </c>
    </row>
    <row r="27" spans="1:4" x14ac:dyDescent="0.2">
      <c r="A27" s="25" t="s">
        <v>290</v>
      </c>
      <c r="B27" s="26">
        <v>-4752.7864300000001</v>
      </c>
      <c r="C27" s="26">
        <v>-4401.35077</v>
      </c>
      <c r="D27" s="26">
        <f>IF(OR(-4752.78643="",-4401.35077="",-4752.78643=0),"-",-4401.35077/-4752.78643*100)</f>
        <v>92.605692151835228</v>
      </c>
    </row>
    <row r="28" spans="1:4" x14ac:dyDescent="0.2">
      <c r="A28" s="25" t="s">
        <v>49</v>
      </c>
      <c r="B28" s="26">
        <v>-1597.13816</v>
      </c>
      <c r="C28" s="26">
        <v>-3623.15452</v>
      </c>
      <c r="D28" s="26" t="s">
        <v>346</v>
      </c>
    </row>
    <row r="29" spans="1:4" x14ac:dyDescent="0.2">
      <c r="A29" s="25" t="s">
        <v>41</v>
      </c>
      <c r="B29" s="26">
        <v>-3966.16194</v>
      </c>
      <c r="C29" s="26">
        <v>-2407.5151900000001</v>
      </c>
      <c r="D29" s="26">
        <f>IF(OR(-3966.16194="",-2407.51519="",-3966.16194=0),"-",-2407.51519/-3966.16194*100)</f>
        <v>60.701384018626335</v>
      </c>
    </row>
    <row r="30" spans="1:4" x14ac:dyDescent="0.2">
      <c r="A30" s="25" t="s">
        <v>52</v>
      </c>
      <c r="B30" s="26">
        <v>-1698.5788299999999</v>
      </c>
      <c r="C30" s="26">
        <v>-1825.4575199999999</v>
      </c>
      <c r="D30" s="26">
        <f>IF(OR(-1698.57883="",-1825.45752="",-1698.57883=0),"-",-1825.45752/-1698.57883*100)</f>
        <v>107.46969688772113</v>
      </c>
    </row>
    <row r="31" spans="1:4" x14ac:dyDescent="0.2">
      <c r="A31" s="25" t="s">
        <v>44</v>
      </c>
      <c r="B31" s="26">
        <v>-1619.64786</v>
      </c>
      <c r="C31" s="26">
        <v>-1504.0009299999999</v>
      </c>
      <c r="D31" s="26">
        <f>IF(OR(-1619.64786="",-1504.00093="",-1619.64786=0),"-",-1504.00093/-1619.64786*100)</f>
        <v>92.859748538179161</v>
      </c>
    </row>
    <row r="32" spans="1:4" x14ac:dyDescent="0.2">
      <c r="A32" s="25" t="s">
        <v>317</v>
      </c>
      <c r="B32" s="26">
        <v>-42.840890000000002</v>
      </c>
      <c r="C32" s="26">
        <v>-124.45140000000001</v>
      </c>
      <c r="D32" s="26" t="s">
        <v>357</v>
      </c>
    </row>
    <row r="33" spans="1:4" x14ac:dyDescent="0.2">
      <c r="A33" s="25" t="s">
        <v>53</v>
      </c>
      <c r="B33" s="26">
        <v>-68.744460000000004</v>
      </c>
      <c r="C33" s="26">
        <v>-31.98649</v>
      </c>
      <c r="D33" s="26">
        <f>IF(OR(-68.74446="",-31.98649="",-68.74446=0),"-",-31.98649/-68.74446*100)</f>
        <v>46.529553072349387</v>
      </c>
    </row>
    <row r="34" spans="1:4" x14ac:dyDescent="0.2">
      <c r="A34" s="25" t="s">
        <v>45</v>
      </c>
      <c r="B34" s="26">
        <v>3563.49233</v>
      </c>
      <c r="C34" s="26">
        <v>11475.452509999999</v>
      </c>
      <c r="D34" s="26" t="s">
        <v>354</v>
      </c>
    </row>
    <row r="35" spans="1:4" x14ac:dyDescent="0.2">
      <c r="A35" s="25" t="s">
        <v>6</v>
      </c>
      <c r="B35" s="26">
        <v>-29744.777419999999</v>
      </c>
      <c r="C35" s="26">
        <v>37126.416499999999</v>
      </c>
      <c r="D35" s="26" t="s">
        <v>20</v>
      </c>
    </row>
    <row r="36" spans="1:4" x14ac:dyDescent="0.2">
      <c r="A36" s="24" t="s">
        <v>195</v>
      </c>
      <c r="B36" s="20">
        <v>-768750.34664999996</v>
      </c>
      <c r="C36" s="20">
        <v>-871753.56279999996</v>
      </c>
      <c r="D36" s="20">
        <f>IF(-768750.34665="","-",-871753.5628/-768750.34665*100)</f>
        <v>113.39878630284321</v>
      </c>
    </row>
    <row r="37" spans="1:4" x14ac:dyDescent="0.2">
      <c r="A37" s="25" t="s">
        <v>291</v>
      </c>
      <c r="B37" s="26">
        <v>-367206.20396000001</v>
      </c>
      <c r="C37" s="26">
        <v>-653277.92084999999</v>
      </c>
      <c r="D37" s="26" t="s">
        <v>194</v>
      </c>
    </row>
    <row r="38" spans="1:4" x14ac:dyDescent="0.2">
      <c r="A38" s="25" t="s">
        <v>10</v>
      </c>
      <c r="B38" s="26">
        <v>-351723.02716</v>
      </c>
      <c r="C38" s="26">
        <v>-162697.41446999999</v>
      </c>
      <c r="D38" s="26">
        <f>IF(OR(-351723.02716="",-162697.41447="",-351723.02716=0),"-",-162697.41447/-351723.02716*100)</f>
        <v>46.25725411944336</v>
      </c>
    </row>
    <row r="39" spans="1:4" x14ac:dyDescent="0.2">
      <c r="A39" s="25" t="s">
        <v>9</v>
      </c>
      <c r="B39" s="26">
        <v>-41505.104959999997</v>
      </c>
      <c r="C39" s="26">
        <v>-24939.10988</v>
      </c>
      <c r="D39" s="26">
        <f>IF(OR(-41505.10496="",-24939.10988="",-41505.10496=0),"-",-24939.10988/-41505.10496*100)</f>
        <v>60.086849326208771</v>
      </c>
    </row>
    <row r="40" spans="1:4" x14ac:dyDescent="0.2">
      <c r="A40" s="25" t="s">
        <v>14</v>
      </c>
      <c r="B40" s="26">
        <v>-5834.6837500000001</v>
      </c>
      <c r="C40" s="26">
        <v>-11714.35714</v>
      </c>
      <c r="D40" s="26" t="s">
        <v>18</v>
      </c>
    </row>
    <row r="41" spans="1:4" x14ac:dyDescent="0.2">
      <c r="A41" s="25" t="s">
        <v>12</v>
      </c>
      <c r="B41" s="26">
        <v>1099.61644</v>
      </c>
      <c r="C41" s="26">
        <v>-7514.1879900000004</v>
      </c>
      <c r="D41" s="26" t="s">
        <v>20</v>
      </c>
    </row>
    <row r="42" spans="1:4" x14ac:dyDescent="0.2">
      <c r="A42" s="25" t="s">
        <v>13</v>
      </c>
      <c r="B42" s="26">
        <v>-2899.2499299999999</v>
      </c>
      <c r="C42" s="26">
        <v>-5749.4864100000004</v>
      </c>
      <c r="D42" s="26" t="s">
        <v>18</v>
      </c>
    </row>
    <row r="43" spans="1:4" x14ac:dyDescent="0.2">
      <c r="A43" s="25" t="s">
        <v>11</v>
      </c>
      <c r="B43" s="26">
        <v>-1598.1776</v>
      </c>
      <c r="C43" s="26">
        <v>-3980.84186</v>
      </c>
      <c r="D43" s="26" t="s">
        <v>340</v>
      </c>
    </row>
    <row r="44" spans="1:4" x14ac:dyDescent="0.2">
      <c r="A44" s="25" t="s">
        <v>300</v>
      </c>
      <c r="B44" s="26">
        <v>547.66193999999996</v>
      </c>
      <c r="C44" s="26">
        <v>-2044.3358000000001</v>
      </c>
      <c r="D44" s="26" t="s">
        <v>20</v>
      </c>
    </row>
    <row r="45" spans="1:4" x14ac:dyDescent="0.2">
      <c r="A45" s="25" t="s">
        <v>16</v>
      </c>
      <c r="B45" s="26">
        <v>196.67851999999999</v>
      </c>
      <c r="C45" s="26">
        <v>59.345880000000001</v>
      </c>
      <c r="D45" s="26">
        <f>IF(OR(196.67852="",59.34588="",196.67852=0),"-",59.34588/196.67852*100)</f>
        <v>30.174052560493138</v>
      </c>
    </row>
    <row r="46" spans="1:4" x14ac:dyDescent="0.2">
      <c r="A46" s="25" t="s">
        <v>15</v>
      </c>
      <c r="B46" s="26">
        <v>172.14381</v>
      </c>
      <c r="C46" s="26">
        <v>104.74572000000001</v>
      </c>
      <c r="D46" s="26">
        <f>IF(OR(172.14381="",104.74572="",172.14381=0),"-",104.74572/172.14381*100)</f>
        <v>60.847799290604755</v>
      </c>
    </row>
    <row r="47" spans="1:4" x14ac:dyDescent="0.2">
      <c r="A47" s="24" t="s">
        <v>129</v>
      </c>
      <c r="B47" s="20">
        <v>-908066.76667000004</v>
      </c>
      <c r="C47" s="20">
        <v>-1102451.9598999999</v>
      </c>
      <c r="D47" s="20">
        <f>IF(-908066.76667="","-",-1102451.9599/-908066.76667*100)</f>
        <v>121.40648687572124</v>
      </c>
    </row>
    <row r="48" spans="1:4" x14ac:dyDescent="0.2">
      <c r="A48" s="25" t="s">
        <v>57</v>
      </c>
      <c r="B48" s="26">
        <v>-505609.62526</v>
      </c>
      <c r="C48" s="26">
        <v>-591594.95900000003</v>
      </c>
      <c r="D48" s="26">
        <f>IF(OR(-505609.62526="",-591594.959="",-505609.62526=0),"-",-591594.959/-505609.62526*100)</f>
        <v>117.00626915395127</v>
      </c>
    </row>
    <row r="49" spans="1:4" x14ac:dyDescent="0.2">
      <c r="A49" s="25" t="s">
        <v>67</v>
      </c>
      <c r="B49" s="26">
        <v>-29022.26627</v>
      </c>
      <c r="C49" s="26">
        <v>-172727.03276999999</v>
      </c>
      <c r="D49" s="26" t="s">
        <v>325</v>
      </c>
    </row>
    <row r="50" spans="1:4" x14ac:dyDescent="0.2">
      <c r="A50" s="25" t="s">
        <v>54</v>
      </c>
      <c r="B50" s="26">
        <v>-151766.55608000001</v>
      </c>
      <c r="C50" s="26">
        <v>-152272.33493000001</v>
      </c>
      <c r="D50" s="26">
        <f>IF(OR(-151766.55608="",-152272.33493="",-151766.55608=0),"-",-152272.33493/-151766.55608*100)</f>
        <v>100.33326107086029</v>
      </c>
    </row>
    <row r="51" spans="1:4" x14ac:dyDescent="0.2">
      <c r="A51" s="25" t="s">
        <v>17</v>
      </c>
      <c r="B51" s="26">
        <v>-53692.701419999998</v>
      </c>
      <c r="C51" s="26">
        <v>-64961.47956</v>
      </c>
      <c r="D51" s="26">
        <f>IF(OR(-53692.70142="",-64961.47956="",-53692.70142=0),"-",-64961.47956/-53692.70142*100)</f>
        <v>120.98754177379216</v>
      </c>
    </row>
    <row r="52" spans="1:4" x14ac:dyDescent="0.2">
      <c r="A52" s="25" t="s">
        <v>73</v>
      </c>
      <c r="B52" s="26">
        <v>-40184.037149999996</v>
      </c>
      <c r="C52" s="26">
        <v>-43683.231529999997</v>
      </c>
      <c r="D52" s="26">
        <f>IF(OR(-40184.03715="",-43683.23153="",-40184.03715=0),"-",-43683.23153/-40184.03715*100)</f>
        <v>108.70792142396772</v>
      </c>
    </row>
    <row r="53" spans="1:4" x14ac:dyDescent="0.2">
      <c r="A53" s="25" t="s">
        <v>34</v>
      </c>
      <c r="B53" s="26">
        <v>-31337.975729999998</v>
      </c>
      <c r="C53" s="26">
        <v>-38060.336199999998</v>
      </c>
      <c r="D53" s="26">
        <f>IF(OR(-31337.97573="",-38060.3362="",-31337.97573=0),"-",-38060.3362/-31337.97573*100)</f>
        <v>121.45116368688949</v>
      </c>
    </row>
    <row r="54" spans="1:4" x14ac:dyDescent="0.2">
      <c r="A54" s="25" t="s">
        <v>69</v>
      </c>
      <c r="B54" s="26">
        <v>-31799.86663</v>
      </c>
      <c r="C54" s="26">
        <v>-25726.237239999999</v>
      </c>
      <c r="D54" s="26">
        <f>IF(OR(-31799.86663="",-25726.23724="",-31799.86663=0),"-",-25726.23724/-31799.86663*100)</f>
        <v>80.900456405467622</v>
      </c>
    </row>
    <row r="55" spans="1:4" x14ac:dyDescent="0.2">
      <c r="A55" s="25" t="s">
        <v>64</v>
      </c>
      <c r="B55" s="26">
        <v>-12717.21996</v>
      </c>
      <c r="C55" s="26">
        <v>-14605.580019999999</v>
      </c>
      <c r="D55" s="26">
        <f>IF(OR(-12717.21996="",-14605.58002="",-12717.21996=0),"-",-14605.58002/-12717.21996*100)</f>
        <v>114.84884326872961</v>
      </c>
    </row>
    <row r="56" spans="1:4" x14ac:dyDescent="0.2">
      <c r="A56" s="25" t="s">
        <v>302</v>
      </c>
      <c r="B56" s="32">
        <v>-13653.18354</v>
      </c>
      <c r="C56" s="26">
        <v>-14548.11318</v>
      </c>
      <c r="D56" s="26">
        <f>IF(OR(-13653.18354="",-14548.11318="",-13653.18354=0),"-",-14548.11318/-13653.18354*100)</f>
        <v>106.55473236244212</v>
      </c>
    </row>
    <row r="57" spans="1:4" x14ac:dyDescent="0.2">
      <c r="A57" s="25" t="s">
        <v>76</v>
      </c>
      <c r="B57" s="26">
        <v>-15165.064130000001</v>
      </c>
      <c r="C57" s="26">
        <v>-13698.74826</v>
      </c>
      <c r="D57" s="26">
        <f>IF(OR(-15165.06413="",-13698.74826="",-15165.06413=0),"-",-13698.74826/-15165.06413*100)</f>
        <v>90.330961627130293</v>
      </c>
    </row>
    <row r="58" spans="1:4" x14ac:dyDescent="0.2">
      <c r="A58" s="25" t="s">
        <v>71</v>
      </c>
      <c r="B58" s="26">
        <v>-7466.0607600000003</v>
      </c>
      <c r="C58" s="26">
        <v>-11605.14198</v>
      </c>
      <c r="D58" s="26">
        <f>IF(OR(-7466.06076="",-11605.14198="",-7466.06076=0),"-",-11605.14198/-7466.06076*100)</f>
        <v>155.43862222733907</v>
      </c>
    </row>
    <row r="59" spans="1:4" x14ac:dyDescent="0.2">
      <c r="A59" s="25" t="s">
        <v>60</v>
      </c>
      <c r="B59" s="26">
        <v>104.48908</v>
      </c>
      <c r="C59" s="26">
        <v>-10622.011130000001</v>
      </c>
      <c r="D59" s="26" t="s">
        <v>20</v>
      </c>
    </row>
    <row r="60" spans="1:4" x14ac:dyDescent="0.2">
      <c r="A60" s="25" t="s">
        <v>79</v>
      </c>
      <c r="B60" s="26">
        <v>-8859.7686400000002</v>
      </c>
      <c r="C60" s="26">
        <v>-9299.7351299999991</v>
      </c>
      <c r="D60" s="26">
        <f>IF(OR(-8859.76864="",-9299.73513="",-8859.76864=0),"-",-9299.73513/-8859.76864*100)</f>
        <v>104.96589141181003</v>
      </c>
    </row>
    <row r="61" spans="1:4" x14ac:dyDescent="0.2">
      <c r="A61" s="25" t="s">
        <v>75</v>
      </c>
      <c r="B61" s="26">
        <v>-7695.7864499999996</v>
      </c>
      <c r="C61" s="26">
        <v>-8997.2438999999995</v>
      </c>
      <c r="D61" s="26">
        <f>IF(OR(-7695.78645="",-8997.2439="",-7695.78645=0),"-",-8997.2439/-7695.78645*100)</f>
        <v>116.91129890954809</v>
      </c>
    </row>
    <row r="62" spans="1:4" x14ac:dyDescent="0.2">
      <c r="A62" s="25" t="s">
        <v>68</v>
      </c>
      <c r="B62" s="26">
        <v>-6369.6015299999999</v>
      </c>
      <c r="C62" s="26">
        <v>-8745.7668799999992</v>
      </c>
      <c r="D62" s="26">
        <f>IF(OR(-6369.60153="",-8745.76688="",-6369.60153=0),"-",-8745.76688/-6369.60153*100)</f>
        <v>137.30477234421286</v>
      </c>
    </row>
    <row r="63" spans="1:4" x14ac:dyDescent="0.2">
      <c r="A63" s="25" t="s">
        <v>59</v>
      </c>
      <c r="B63" s="26">
        <v>-7614.9856799999998</v>
      </c>
      <c r="C63" s="26">
        <v>-8500.5925299999999</v>
      </c>
      <c r="D63" s="26">
        <f>IF(OR(-7614.98568="",-8500.59253="",-7614.98568=0),"-",-8500.59253/-7614.98568*100)</f>
        <v>111.62979009042601</v>
      </c>
    </row>
    <row r="64" spans="1:4" x14ac:dyDescent="0.2">
      <c r="A64" s="25" t="s">
        <v>80</v>
      </c>
      <c r="B64" s="26">
        <v>-6416.4457300000004</v>
      </c>
      <c r="C64" s="26">
        <v>-7039.7985200000003</v>
      </c>
      <c r="D64" s="26">
        <f>IF(OR(-6416.44573="",-7039.79852="",-6416.44573=0),"-",-7039.79852/-6416.44573*100)</f>
        <v>109.71492343628067</v>
      </c>
    </row>
    <row r="65" spans="1:4" x14ac:dyDescent="0.2">
      <c r="A65" s="25" t="s">
        <v>63</v>
      </c>
      <c r="B65" s="26">
        <v>-2185.4207099999999</v>
      </c>
      <c r="C65" s="26">
        <v>-6663.2153699999999</v>
      </c>
      <c r="D65" s="26" t="s">
        <v>343</v>
      </c>
    </row>
    <row r="66" spans="1:4" x14ac:dyDescent="0.2">
      <c r="A66" s="25" t="s">
        <v>81</v>
      </c>
      <c r="B66" s="26">
        <v>-4788.6071700000002</v>
      </c>
      <c r="C66" s="26">
        <v>-5327.5238499999996</v>
      </c>
      <c r="D66" s="26">
        <f>IF(OR(-4788.60717="",-5327.52385="",-4788.60717=0),"-",-5327.52385/-4788.60717*100)</f>
        <v>111.2541426111593</v>
      </c>
    </row>
    <row r="67" spans="1:4" x14ac:dyDescent="0.2">
      <c r="A67" s="25" t="s">
        <v>78</v>
      </c>
      <c r="B67" s="26">
        <v>-14144.76533</v>
      </c>
      <c r="C67" s="26">
        <v>-4143.3232099999996</v>
      </c>
      <c r="D67" s="26">
        <f>IF(OR(-14144.76533="",-4143.32321="",-14144.76533=0),"-",-4143.32321/-14144.76533*100)</f>
        <v>29.292272535708442</v>
      </c>
    </row>
    <row r="68" spans="1:4" x14ac:dyDescent="0.2">
      <c r="A68" s="25" t="s">
        <v>82</v>
      </c>
      <c r="B68" s="26">
        <v>-4612.3964599999999</v>
      </c>
      <c r="C68" s="26">
        <v>-3735.3783899999999</v>
      </c>
      <c r="D68" s="26">
        <f>IF(OR(-4612.39646="",-3735.37839="",-4612.39646=0),"-",-3735.37839/-4612.39646*100)</f>
        <v>80.985631274203172</v>
      </c>
    </row>
    <row r="69" spans="1:4" x14ac:dyDescent="0.2">
      <c r="A69" s="25" t="s">
        <v>77</v>
      </c>
      <c r="B69" s="26">
        <v>-2168.4578700000002</v>
      </c>
      <c r="C69" s="26">
        <v>-3198.7025699999999</v>
      </c>
      <c r="D69" s="26">
        <f>IF(OR(-2168.45787="",-3198.70257="",-2168.45787=0),"-",-3198.70257/-2168.45787*100)</f>
        <v>147.51047803386652</v>
      </c>
    </row>
    <row r="70" spans="1:4" x14ac:dyDescent="0.2">
      <c r="A70" s="25" t="s">
        <v>37</v>
      </c>
      <c r="B70" s="26">
        <v>-2654.9849399999998</v>
      </c>
      <c r="C70" s="26">
        <v>-3144.4924500000002</v>
      </c>
      <c r="D70" s="26">
        <f>IF(OR(-2654.98494="",-3144.49245="",-2654.98494=0),"-",-3144.49245/-2654.98494*100)</f>
        <v>118.43729893247531</v>
      </c>
    </row>
    <row r="71" spans="1:4" x14ac:dyDescent="0.2">
      <c r="A71" s="25" t="s">
        <v>72</v>
      </c>
      <c r="B71" s="26">
        <v>9366.0137400000003</v>
      </c>
      <c r="C71" s="26">
        <v>-2339.6991400000002</v>
      </c>
      <c r="D71" s="26" t="s">
        <v>20</v>
      </c>
    </row>
    <row r="72" spans="1:4" x14ac:dyDescent="0.2">
      <c r="A72" s="25" t="s">
        <v>85</v>
      </c>
      <c r="B72" s="26">
        <v>-2533.2828300000001</v>
      </c>
      <c r="C72" s="26">
        <v>-2331.6765099999998</v>
      </c>
      <c r="D72" s="26">
        <f>IF(OR(-2533.28283="",-2331.67651="",-2533.28283=0),"-",-2331.67651/-2533.28283*100)</f>
        <v>92.041697136517513</v>
      </c>
    </row>
    <row r="73" spans="1:4" x14ac:dyDescent="0.2">
      <c r="A73" s="25" t="s">
        <v>93</v>
      </c>
      <c r="B73" s="26">
        <v>-1262.80565</v>
      </c>
      <c r="C73" s="26">
        <v>-1690.33986</v>
      </c>
      <c r="D73" s="26">
        <f>IF(OR(-1262.80565="",-1690.33986="",-1262.80565=0),"-",-1690.33986/-1262.80565*100)</f>
        <v>133.85589936186935</v>
      </c>
    </row>
    <row r="74" spans="1:4" x14ac:dyDescent="0.2">
      <c r="A74" s="25" t="s">
        <v>84</v>
      </c>
      <c r="B74" s="26">
        <v>-1926.0217600000001</v>
      </c>
      <c r="C74" s="26">
        <v>-1690.3053600000001</v>
      </c>
      <c r="D74" s="26">
        <f>IF(OR(-1926.02176="",-1690.30536="",-1926.02176=0),"-",-1690.30536/-1926.02176*100)</f>
        <v>87.761488219115449</v>
      </c>
    </row>
    <row r="75" spans="1:4" x14ac:dyDescent="0.2">
      <c r="A75" s="25" t="s">
        <v>87</v>
      </c>
      <c r="B75" s="26">
        <v>-366.75914999999998</v>
      </c>
      <c r="C75" s="26">
        <v>-1637.2697000000001</v>
      </c>
      <c r="D75" s="26" t="s">
        <v>390</v>
      </c>
    </row>
    <row r="76" spans="1:4" x14ac:dyDescent="0.2">
      <c r="A76" s="25" t="s">
        <v>36</v>
      </c>
      <c r="B76" s="26">
        <v>-960.10788000000002</v>
      </c>
      <c r="C76" s="26">
        <v>-1560.2429199999999</v>
      </c>
      <c r="D76" s="26">
        <f>IF(OR(-960.10788="",-1560.24292="",-960.10788=0),"-",-1560.24292/-960.10788*100)</f>
        <v>162.50704243777272</v>
      </c>
    </row>
    <row r="77" spans="1:4" x14ac:dyDescent="0.2">
      <c r="A77" s="25" t="s">
        <v>86</v>
      </c>
      <c r="B77" s="26">
        <v>-2050.2703099999999</v>
      </c>
      <c r="C77" s="26">
        <v>-1540.3231599999999</v>
      </c>
      <c r="D77" s="26">
        <f>IF(OR(-2050.27031="",-1540.32316="",-2050.27031=0),"-",-1540.32316/-2050.27031*100)</f>
        <v>75.127808879015561</v>
      </c>
    </row>
    <row r="78" spans="1:4" x14ac:dyDescent="0.2">
      <c r="A78" s="25" t="s">
        <v>88</v>
      </c>
      <c r="B78" s="26">
        <v>-390.20726999999999</v>
      </c>
      <c r="C78" s="26">
        <v>-1287.1412800000001</v>
      </c>
      <c r="D78" s="26" t="s">
        <v>351</v>
      </c>
    </row>
    <row r="79" spans="1:4" x14ac:dyDescent="0.2">
      <c r="A79" s="25" t="s">
        <v>83</v>
      </c>
      <c r="B79" s="26">
        <v>-1401.12122</v>
      </c>
      <c r="C79" s="26">
        <v>-1210.8249499999999</v>
      </c>
      <c r="D79" s="26">
        <f>IF(OR(-1401.12122="",-1210.82495="",-1401.12122=0),"-",-1210.82495/-1401.12122*100)</f>
        <v>86.418286492013877</v>
      </c>
    </row>
    <row r="80" spans="1:4" x14ac:dyDescent="0.2">
      <c r="A80" s="25" t="s">
        <v>294</v>
      </c>
      <c r="B80" s="26">
        <v>-437.64971000000003</v>
      </c>
      <c r="C80" s="26">
        <v>-1174.0862999999999</v>
      </c>
      <c r="D80" s="26" t="s">
        <v>339</v>
      </c>
    </row>
    <row r="81" spans="1:4" x14ac:dyDescent="0.2">
      <c r="A81" s="25" t="s">
        <v>331</v>
      </c>
      <c r="B81" s="26">
        <v>-133.82289</v>
      </c>
      <c r="C81" s="26">
        <v>-1157.43219</v>
      </c>
      <c r="D81" s="26" t="s">
        <v>388</v>
      </c>
    </row>
    <row r="82" spans="1:4" x14ac:dyDescent="0.2">
      <c r="A82" s="25" t="s">
        <v>296</v>
      </c>
      <c r="B82" s="26">
        <v>-953.28328999999997</v>
      </c>
      <c r="C82" s="26">
        <v>-1087.17164</v>
      </c>
      <c r="D82" s="26">
        <f>IF(OR(-953.28329="",-1087.17164="",-953.28329=0),"-",-1087.17164/-953.28329*100)</f>
        <v>114.04496978017941</v>
      </c>
    </row>
    <row r="83" spans="1:4" x14ac:dyDescent="0.2">
      <c r="A83" s="25" t="s">
        <v>121</v>
      </c>
      <c r="B83" s="26">
        <v>-1974.7602899999999</v>
      </c>
      <c r="C83" s="26">
        <v>-1086.1306400000001</v>
      </c>
      <c r="D83" s="26">
        <f>IF(OR(-1974.76029="",-1086.13064="",-1974.76029=0),"-",-1086.13064/-1974.76029*100)</f>
        <v>55.000632000757932</v>
      </c>
    </row>
    <row r="84" spans="1:4" x14ac:dyDescent="0.2">
      <c r="A84" s="25" t="s">
        <v>133</v>
      </c>
      <c r="B84" s="26">
        <v>-938.38108</v>
      </c>
      <c r="C84" s="26">
        <v>-1080.42067</v>
      </c>
      <c r="D84" s="26">
        <f>IF(OR(-938.38108="",-1080.42067="",-938.38108=0),"-",-1080.42067/-938.38108*100)</f>
        <v>115.13666388073382</v>
      </c>
    </row>
    <row r="85" spans="1:4" x14ac:dyDescent="0.2">
      <c r="A85" s="25" t="s">
        <v>62</v>
      </c>
      <c r="B85" s="26">
        <v>-679.44018000000005</v>
      </c>
      <c r="C85" s="26">
        <v>-1014.5288399999999</v>
      </c>
      <c r="D85" s="26">
        <f>IF(OR(-679.44018="",-1014.52884="",-679.44018=0),"-",-1014.52884/-679.44018*100)</f>
        <v>149.31834617140245</v>
      </c>
    </row>
    <row r="86" spans="1:4" x14ac:dyDescent="0.2">
      <c r="A86" s="25" t="s">
        <v>303</v>
      </c>
      <c r="B86" s="26">
        <v>-1723.4292600000001</v>
      </c>
      <c r="C86" s="26">
        <v>-904.22769000000005</v>
      </c>
      <c r="D86" s="26">
        <f>IF(OR(-1723.42926="",-904.22769="",-1723.42926=0),"-",-904.22769/-1723.42926*100)</f>
        <v>52.466771395073096</v>
      </c>
    </row>
    <row r="87" spans="1:4" x14ac:dyDescent="0.2">
      <c r="A87" s="25" t="s">
        <v>97</v>
      </c>
      <c r="B87" s="26">
        <v>-252.14239000000001</v>
      </c>
      <c r="C87" s="26">
        <v>-608.48819000000003</v>
      </c>
      <c r="D87" s="26" t="s">
        <v>278</v>
      </c>
    </row>
    <row r="88" spans="1:4" x14ac:dyDescent="0.2">
      <c r="A88" s="25" t="s">
        <v>286</v>
      </c>
      <c r="B88" s="26">
        <v>-34.95091</v>
      </c>
      <c r="C88" s="26">
        <v>-576.28272000000004</v>
      </c>
      <c r="D88" s="26" t="s">
        <v>386</v>
      </c>
    </row>
    <row r="89" spans="1:4" x14ac:dyDescent="0.2">
      <c r="A89" s="25" t="s">
        <v>89</v>
      </c>
      <c r="B89" s="26">
        <v>-977.75552000000005</v>
      </c>
      <c r="C89" s="26">
        <v>-554.99593000000004</v>
      </c>
      <c r="D89" s="26">
        <f>IF(OR(-977.75552="",-554.99593="",-977.75552=0),"-",-554.99593/-977.75552*100)</f>
        <v>56.76223950134284</v>
      </c>
    </row>
    <row r="90" spans="1:4" x14ac:dyDescent="0.2">
      <c r="A90" s="25" t="s">
        <v>90</v>
      </c>
      <c r="B90" s="26">
        <v>-309.08535999999998</v>
      </c>
      <c r="C90" s="26">
        <v>-499.54446000000002</v>
      </c>
      <c r="D90" s="26">
        <f>IF(OR(-309.08536="",-499.54446="",-309.08536=0),"-",-499.54446/-309.08536*100)</f>
        <v>161.62022685254328</v>
      </c>
    </row>
    <row r="91" spans="1:4" x14ac:dyDescent="0.2">
      <c r="A91" s="25" t="s">
        <v>117</v>
      </c>
      <c r="B91" s="26">
        <v>-413.57628</v>
      </c>
      <c r="C91" s="26">
        <v>-260.07384000000002</v>
      </c>
      <c r="D91" s="26">
        <f>IF(OR(-413.57628="",-260.07384="",-413.57628=0),"-",-260.07384/-413.57628*100)</f>
        <v>62.884128654573715</v>
      </c>
    </row>
    <row r="92" spans="1:4" x14ac:dyDescent="0.2">
      <c r="A92" s="25" t="s">
        <v>94</v>
      </c>
      <c r="B92" s="26">
        <v>-454.30282999999997</v>
      </c>
      <c r="C92" s="26">
        <v>-251.64196000000001</v>
      </c>
      <c r="D92" s="26">
        <f>IF(OR(-454.30283="",-251.64196="",-454.30283=0),"-",-251.64196/-454.30283*100)</f>
        <v>55.390797367474029</v>
      </c>
    </row>
    <row r="93" spans="1:4" x14ac:dyDescent="0.2">
      <c r="A93" s="25" t="s">
        <v>201</v>
      </c>
      <c r="B93" s="26">
        <v>-426.83738</v>
      </c>
      <c r="C93" s="26">
        <v>-237.13995</v>
      </c>
      <c r="D93" s="26">
        <f>IF(OR(-426.83738="",-237.13995="",-426.83738=0),"-",-237.13995/-426.83738*100)</f>
        <v>55.557446725963878</v>
      </c>
    </row>
    <row r="94" spans="1:4" x14ac:dyDescent="0.2">
      <c r="A94" s="25" t="s">
        <v>124</v>
      </c>
      <c r="B94" s="32">
        <v>-138.38408999999999</v>
      </c>
      <c r="C94" s="32">
        <v>-219.05904000000001</v>
      </c>
      <c r="D94" s="26">
        <f>IF(OR(-138.38409="",-219.05904="",-138.38409=0),"-",-219.05904/-138.38409*100)</f>
        <v>158.29785056938269</v>
      </c>
    </row>
    <row r="95" spans="1:4" x14ac:dyDescent="0.2">
      <c r="A95" s="25" t="s">
        <v>333</v>
      </c>
      <c r="B95" s="26">
        <v>-91.963800000000006</v>
      </c>
      <c r="C95" s="26">
        <v>-191.95464000000001</v>
      </c>
      <c r="D95" s="26" t="s">
        <v>91</v>
      </c>
    </row>
    <row r="96" spans="1:4" x14ac:dyDescent="0.2">
      <c r="A96" s="25" t="s">
        <v>332</v>
      </c>
      <c r="B96" s="26">
        <v>-4.8914799999999996</v>
      </c>
      <c r="C96" s="26">
        <v>-175.30394999999999</v>
      </c>
      <c r="D96" s="26" t="s">
        <v>341</v>
      </c>
    </row>
    <row r="97" spans="1:4" x14ac:dyDescent="0.2">
      <c r="A97" s="25" t="s">
        <v>318</v>
      </c>
      <c r="B97" s="26">
        <v>-104.00191</v>
      </c>
      <c r="C97" s="26">
        <v>-155.52521999999999</v>
      </c>
      <c r="D97" s="26">
        <f>IF(OR(-104.00191="",-155.52522="",-104.00191=0),"-",-155.52522/-104.00191*100)</f>
        <v>149.5407343961279</v>
      </c>
    </row>
    <row r="98" spans="1:4" x14ac:dyDescent="0.2">
      <c r="A98" s="25" t="s">
        <v>102</v>
      </c>
      <c r="B98" s="26">
        <v>-170.54765</v>
      </c>
      <c r="C98" s="26">
        <v>-134.08432999999999</v>
      </c>
      <c r="D98" s="26">
        <f>IF(OR(-170.54765="",-134.08433="",-170.54765=0),"-",-134.08433/-170.54765*100)</f>
        <v>78.619863715507066</v>
      </c>
    </row>
    <row r="99" spans="1:4" x14ac:dyDescent="0.2">
      <c r="A99" s="25" t="s">
        <v>311</v>
      </c>
      <c r="B99" s="26">
        <v>-122.35749</v>
      </c>
      <c r="C99" s="26">
        <v>-121.95017</v>
      </c>
      <c r="D99" s="26">
        <f>IF(OR(-122.35749="",-121.95017="",-122.35749=0),"-",-121.95017/-122.35749*100)</f>
        <v>99.66710660704139</v>
      </c>
    </row>
    <row r="100" spans="1:4" x14ac:dyDescent="0.2">
      <c r="A100" s="25" t="s">
        <v>320</v>
      </c>
      <c r="B100" s="26">
        <v>-3.5999699999999999</v>
      </c>
      <c r="C100" s="26">
        <v>-117.90542000000001</v>
      </c>
      <c r="D100" s="26" t="s">
        <v>387</v>
      </c>
    </row>
    <row r="101" spans="1:4" x14ac:dyDescent="0.2">
      <c r="A101" s="25" t="s">
        <v>319</v>
      </c>
      <c r="B101" s="26">
        <v>-67.450429999999997</v>
      </c>
      <c r="C101" s="26">
        <v>-107.02754</v>
      </c>
      <c r="D101" s="26">
        <f>IF(OR(-67.45043="",-107.02754="",-67.45043=0),"-",-107.02754/-67.45043*100)</f>
        <v>158.6758453578428</v>
      </c>
    </row>
    <row r="102" spans="1:4" x14ac:dyDescent="0.2">
      <c r="A102" s="25" t="s">
        <v>284</v>
      </c>
      <c r="B102" s="26">
        <v>160.65873999999999</v>
      </c>
      <c r="C102" s="26">
        <v>-96.321809999999999</v>
      </c>
      <c r="D102" s="26" t="s">
        <v>20</v>
      </c>
    </row>
    <row r="103" spans="1:4" x14ac:dyDescent="0.2">
      <c r="A103" s="25" t="s">
        <v>321</v>
      </c>
      <c r="B103" s="26">
        <v>-45.983170000000001</v>
      </c>
      <c r="C103" s="26">
        <v>-90.163759999999996</v>
      </c>
      <c r="D103" s="26" t="s">
        <v>18</v>
      </c>
    </row>
    <row r="104" spans="1:4" x14ac:dyDescent="0.2">
      <c r="A104" s="25" t="s">
        <v>285</v>
      </c>
      <c r="B104" s="26">
        <v>-77.925190000000001</v>
      </c>
      <c r="C104" s="26">
        <v>-76.85624</v>
      </c>
      <c r="D104" s="26">
        <f>IF(OR(-77.92519="",-76.85624="",-77.92519=0),"-",-76.85624/-77.92519*100)</f>
        <v>98.628235619316413</v>
      </c>
    </row>
    <row r="105" spans="1:4" x14ac:dyDescent="0.2">
      <c r="A105" s="25" t="s">
        <v>326</v>
      </c>
      <c r="B105" s="26">
        <v>-70.026089999999996</v>
      </c>
      <c r="C105" s="26">
        <v>-73.386809999999997</v>
      </c>
      <c r="D105" s="26">
        <f>IF(OR(-70.02609="",-73.38681="",-70.02609=0),"-",-73.38681/-70.02609*100)</f>
        <v>104.79923982618477</v>
      </c>
    </row>
    <row r="106" spans="1:4" x14ac:dyDescent="0.2">
      <c r="A106" s="25" t="s">
        <v>334</v>
      </c>
      <c r="B106" s="26">
        <v>-31.546389999999999</v>
      </c>
      <c r="C106" s="26">
        <v>-70.169359999999998</v>
      </c>
      <c r="D106" s="26" t="s">
        <v>193</v>
      </c>
    </row>
    <row r="107" spans="1:4" x14ac:dyDescent="0.2">
      <c r="A107" s="25" t="s">
        <v>373</v>
      </c>
      <c r="B107" s="26">
        <v>-4.3656199999999998</v>
      </c>
      <c r="C107" s="26">
        <v>-66.060450000000003</v>
      </c>
      <c r="D107" s="26" t="s">
        <v>345</v>
      </c>
    </row>
    <row r="108" spans="1:4" x14ac:dyDescent="0.2">
      <c r="A108" s="25" t="s">
        <v>374</v>
      </c>
      <c r="B108" s="26">
        <v>-47.277880000000003</v>
      </c>
      <c r="C108" s="26">
        <v>-57.572620000000001</v>
      </c>
      <c r="D108" s="26">
        <f>IF(OR(-47.27788="",-57.57262="",-47.27788=0),"-",-57.57262/-47.27788*100)</f>
        <v>121.77496114461985</v>
      </c>
    </row>
    <row r="109" spans="1:4" x14ac:dyDescent="0.2">
      <c r="A109" s="25" t="s">
        <v>372</v>
      </c>
      <c r="B109" s="26">
        <v>103.75509</v>
      </c>
      <c r="C109" s="26">
        <v>61.025559999999999</v>
      </c>
      <c r="D109" s="26">
        <f>IF(OR(103.75509="",61.02556="",103.75509=0),"-",61.02556/103.75509*100)</f>
        <v>58.816931294647809</v>
      </c>
    </row>
    <row r="110" spans="1:4" x14ac:dyDescent="0.2">
      <c r="A110" s="25" t="s">
        <v>316</v>
      </c>
      <c r="B110" s="26">
        <v>39.34469</v>
      </c>
      <c r="C110" s="26">
        <v>72.69</v>
      </c>
      <c r="D110" s="26" t="s">
        <v>194</v>
      </c>
    </row>
    <row r="111" spans="1:4" x14ac:dyDescent="0.2">
      <c r="A111" s="25" t="s">
        <v>301</v>
      </c>
      <c r="B111" s="26">
        <v>19.366579999999999</v>
      </c>
      <c r="C111" s="26">
        <v>76.143870000000007</v>
      </c>
      <c r="D111" s="26" t="s">
        <v>381</v>
      </c>
    </row>
    <row r="112" spans="1:4" x14ac:dyDescent="0.2">
      <c r="A112" s="25" t="s">
        <v>371</v>
      </c>
      <c r="B112" s="26">
        <v>44.213859999999997</v>
      </c>
      <c r="C112" s="26">
        <v>76.745130000000003</v>
      </c>
      <c r="D112" s="26" t="s">
        <v>99</v>
      </c>
    </row>
    <row r="113" spans="1:4" x14ac:dyDescent="0.2">
      <c r="A113" s="25" t="s">
        <v>125</v>
      </c>
      <c r="B113" s="26">
        <v>131.36284000000001</v>
      </c>
      <c r="C113" s="26">
        <v>77.254469999999998</v>
      </c>
      <c r="D113" s="26">
        <f>IF(OR(131.36284="",77.25447="",131.36284=0),"-",77.25447/131.36284*100)</f>
        <v>58.809987664700301</v>
      </c>
    </row>
    <row r="114" spans="1:4" x14ac:dyDescent="0.2">
      <c r="A114" s="25" t="s">
        <v>330</v>
      </c>
      <c r="B114" s="26">
        <v>25.53256</v>
      </c>
      <c r="C114" s="26">
        <v>84.910650000000004</v>
      </c>
      <c r="D114" s="26" t="s">
        <v>351</v>
      </c>
    </row>
    <row r="115" spans="1:4" x14ac:dyDescent="0.2">
      <c r="A115" s="25" t="s">
        <v>308</v>
      </c>
      <c r="B115" s="26">
        <v>-20.83108</v>
      </c>
      <c r="C115" s="26">
        <v>93.039159999999995</v>
      </c>
      <c r="D115" s="26" t="s">
        <v>20</v>
      </c>
    </row>
    <row r="116" spans="1:4" x14ac:dyDescent="0.2">
      <c r="A116" s="25" t="s">
        <v>324</v>
      </c>
      <c r="B116" s="26">
        <v>182.73702</v>
      </c>
      <c r="C116" s="26">
        <v>98.515810000000002</v>
      </c>
      <c r="D116" s="26">
        <f>IF(OR(182.73702="",98.51581="",182.73702=0),"-",98.51581/182.73702*100)</f>
        <v>53.91124907257435</v>
      </c>
    </row>
    <row r="117" spans="1:4" x14ac:dyDescent="0.2">
      <c r="A117" s="25" t="s">
        <v>370</v>
      </c>
      <c r="B117" s="26">
        <v>90.357410000000002</v>
      </c>
      <c r="C117" s="26">
        <v>103.10848</v>
      </c>
      <c r="D117" s="26">
        <f>IF(OR(90.35741="",103.10848="",90.35741=0),"-",103.10848/90.35741*100)</f>
        <v>114.11181440459615</v>
      </c>
    </row>
    <row r="118" spans="1:4" x14ac:dyDescent="0.2">
      <c r="A118" s="25" t="s">
        <v>307</v>
      </c>
      <c r="B118" s="26">
        <v>-4.6766500000000004</v>
      </c>
      <c r="C118" s="26">
        <v>107.54342</v>
      </c>
      <c r="D118" s="26" t="s">
        <v>20</v>
      </c>
    </row>
    <row r="119" spans="1:4" x14ac:dyDescent="0.2">
      <c r="A119" s="25" t="s">
        <v>122</v>
      </c>
      <c r="B119" s="26">
        <v>-52.830019999999998</v>
      </c>
      <c r="C119" s="26">
        <v>114.71735</v>
      </c>
      <c r="D119" s="26" t="s">
        <v>20</v>
      </c>
    </row>
    <row r="120" spans="1:4" x14ac:dyDescent="0.2">
      <c r="A120" s="25" t="s">
        <v>98</v>
      </c>
      <c r="B120" s="26">
        <v>-196.66240999999999</v>
      </c>
      <c r="C120" s="26">
        <v>125.69226</v>
      </c>
      <c r="D120" s="26" t="s">
        <v>20</v>
      </c>
    </row>
    <row r="121" spans="1:4" x14ac:dyDescent="0.2">
      <c r="A121" s="25" t="s">
        <v>293</v>
      </c>
      <c r="B121" s="26">
        <v>-2460.1846500000001</v>
      </c>
      <c r="C121" s="26">
        <v>132.70930000000001</v>
      </c>
      <c r="D121" s="26" t="s">
        <v>20</v>
      </c>
    </row>
    <row r="122" spans="1:4" x14ac:dyDescent="0.2">
      <c r="A122" s="25" t="s">
        <v>288</v>
      </c>
      <c r="B122" s="26">
        <v>211.45376999999999</v>
      </c>
      <c r="C122" s="26">
        <v>176.90536</v>
      </c>
      <c r="D122" s="26">
        <f>IF(OR(211.45377="",176.90536="",211.45377=0),"-",176.90536/211.45377*100)</f>
        <v>83.661483075000277</v>
      </c>
    </row>
    <row r="123" spans="1:4" x14ac:dyDescent="0.2">
      <c r="A123" s="25" t="s">
        <v>200</v>
      </c>
      <c r="B123" s="26">
        <v>484.70580000000001</v>
      </c>
      <c r="C123" s="26">
        <v>257.48063000000002</v>
      </c>
      <c r="D123" s="26">
        <f>IF(OR(484.7058="",257.48063="",484.7058=0),"-",257.48063/484.7058*100)</f>
        <v>53.121012787550711</v>
      </c>
    </row>
    <row r="124" spans="1:4" x14ac:dyDescent="0.2">
      <c r="A124" s="25" t="s">
        <v>118</v>
      </c>
      <c r="B124" s="26">
        <v>367.75491</v>
      </c>
      <c r="C124" s="26">
        <v>268.03160000000003</v>
      </c>
      <c r="D124" s="26">
        <f>IF(OR(367.75491="",268.0316="",367.75491=0),"-",268.0316/367.75491*100)</f>
        <v>72.883214530024915</v>
      </c>
    </row>
    <row r="125" spans="1:4" x14ac:dyDescent="0.2">
      <c r="A125" s="25" t="s">
        <v>127</v>
      </c>
      <c r="B125" s="26">
        <v>342.64990999999998</v>
      </c>
      <c r="C125" s="26">
        <v>316.57733000000002</v>
      </c>
      <c r="D125" s="26">
        <f>IF(OR(342.64991="",316.57733="",342.64991=0),"-",316.57733/342.64991*100)</f>
        <v>92.390898337022776</v>
      </c>
    </row>
    <row r="126" spans="1:4" x14ac:dyDescent="0.2">
      <c r="A126" s="25" t="s">
        <v>309</v>
      </c>
      <c r="B126" s="26">
        <v>457.39452999999997</v>
      </c>
      <c r="C126" s="26">
        <v>383.76612</v>
      </c>
      <c r="D126" s="26">
        <f>IF(OR(457.39453="",383.76612="",457.39453=0),"-",383.76612/457.39453*100)</f>
        <v>83.902647458420645</v>
      </c>
    </row>
    <row r="127" spans="1:4" x14ac:dyDescent="0.2">
      <c r="A127" s="25" t="s">
        <v>132</v>
      </c>
      <c r="B127" s="26">
        <v>299.39999999999998</v>
      </c>
      <c r="C127" s="26">
        <v>421.62594999999999</v>
      </c>
      <c r="D127" s="26">
        <f>IF(OR(299.4="",421.62595="",299.4=0),"-",421.62595/299.4*100)</f>
        <v>140.8236305945224</v>
      </c>
    </row>
    <row r="128" spans="1:4" x14ac:dyDescent="0.2">
      <c r="A128" s="25" t="s">
        <v>134</v>
      </c>
      <c r="B128" s="26">
        <v>616.82928000000004</v>
      </c>
      <c r="C128" s="26">
        <v>622.00813000000005</v>
      </c>
      <c r="D128" s="26">
        <f>IF(OR(616.82928="",622.00813="",616.82928=0),"-",622.00813/616.82928*100)</f>
        <v>100.83959211534186</v>
      </c>
    </row>
    <row r="129" spans="1:7" x14ac:dyDescent="0.2">
      <c r="A129" s="25" t="s">
        <v>92</v>
      </c>
      <c r="B129" s="26">
        <v>266.47487999999998</v>
      </c>
      <c r="C129" s="26">
        <v>815.89751000000001</v>
      </c>
      <c r="D129" s="26" t="s">
        <v>322</v>
      </c>
    </row>
    <row r="130" spans="1:7" x14ac:dyDescent="0.2">
      <c r="A130" s="25" t="s">
        <v>74</v>
      </c>
      <c r="B130" s="26">
        <v>1828.1134099999999</v>
      </c>
      <c r="C130" s="26">
        <v>1431.2984300000001</v>
      </c>
      <c r="D130" s="26">
        <f>IF(OR(1828.11341="",1431.29843="",1828.11341=0),"-",1431.29843/1828.11341*100)</f>
        <v>78.293743821943735</v>
      </c>
    </row>
    <row r="131" spans="1:7" x14ac:dyDescent="0.2">
      <c r="A131" s="25" t="s">
        <v>65</v>
      </c>
      <c r="B131" s="26">
        <v>-246.5377</v>
      </c>
      <c r="C131" s="26">
        <v>2412.8199599999998</v>
      </c>
      <c r="D131" s="26" t="s">
        <v>20</v>
      </c>
    </row>
    <row r="132" spans="1:7" x14ac:dyDescent="0.2">
      <c r="A132" s="25" t="s">
        <v>66</v>
      </c>
      <c r="B132" s="26">
        <v>189.76698999999999</v>
      </c>
      <c r="C132" s="26">
        <v>3150.5536400000001</v>
      </c>
      <c r="D132" s="26" t="s">
        <v>391</v>
      </c>
    </row>
    <row r="133" spans="1:7" x14ac:dyDescent="0.2">
      <c r="A133" s="25" t="s">
        <v>61</v>
      </c>
      <c r="B133" s="26">
        <v>-2124.33106</v>
      </c>
      <c r="C133" s="26">
        <v>3213.6730899999998</v>
      </c>
      <c r="D133" s="26" t="s">
        <v>20</v>
      </c>
    </row>
    <row r="134" spans="1:7" x14ac:dyDescent="0.2">
      <c r="A134" s="25" t="s">
        <v>115</v>
      </c>
      <c r="B134" s="26">
        <v>885.58181000000002</v>
      </c>
      <c r="C134" s="26">
        <v>4063.1534999999999</v>
      </c>
      <c r="D134" s="26" t="s">
        <v>348</v>
      </c>
    </row>
    <row r="135" spans="1:7" x14ac:dyDescent="0.2">
      <c r="A135" s="25" t="s">
        <v>35</v>
      </c>
      <c r="B135" s="26">
        <v>745.21722999999997</v>
      </c>
      <c r="C135" s="26">
        <v>4196.3541599999999</v>
      </c>
      <c r="D135" s="26" t="s">
        <v>379</v>
      </c>
    </row>
    <row r="136" spans="1:7" x14ac:dyDescent="0.2">
      <c r="A136" s="25" t="s">
        <v>55</v>
      </c>
      <c r="B136" s="26">
        <v>3801.46819</v>
      </c>
      <c r="C136" s="26">
        <v>6066.3257999999996</v>
      </c>
      <c r="D136" s="26">
        <f>IF(OR(3801.46819="",6066.3258="",3801.46819=0),"-",6066.3258/3801.46819*100)</f>
        <v>159.57849695961809</v>
      </c>
    </row>
    <row r="137" spans="1:7" x14ac:dyDescent="0.2">
      <c r="A137" s="25" t="s">
        <v>56</v>
      </c>
      <c r="B137" s="26">
        <v>10884.923629999999</v>
      </c>
      <c r="C137" s="26">
        <v>9120.06891</v>
      </c>
      <c r="D137" s="26">
        <f>IF(OR(10884.92363="",9120.06891="",10884.92363=0),"-",9120.06891/10884.92363*100)</f>
        <v>83.786246187930317</v>
      </c>
    </row>
    <row r="138" spans="1:7" x14ac:dyDescent="0.2">
      <c r="A138" s="25" t="s">
        <v>58</v>
      </c>
      <c r="B138" s="26">
        <v>14422.429190000001</v>
      </c>
      <c r="C138" s="26">
        <v>15331.219220000001</v>
      </c>
      <c r="D138" s="26">
        <f>IF(OR(14422.42919="",15331.21922="",14422.42919=0),"-",15331.21922/14422.42919*100)</f>
        <v>106.30122719292061</v>
      </c>
    </row>
    <row r="139" spans="1:7" x14ac:dyDescent="0.2">
      <c r="A139" s="25" t="s">
        <v>292</v>
      </c>
      <c r="B139" s="26">
        <v>19327.662349999999</v>
      </c>
      <c r="C139" s="26">
        <v>34113.525269999998</v>
      </c>
      <c r="D139" s="26" t="s">
        <v>194</v>
      </c>
    </row>
    <row r="140" spans="1:7" x14ac:dyDescent="0.2">
      <c r="A140" s="36" t="s">
        <v>70</v>
      </c>
      <c r="B140" s="37">
        <v>-3060.6330200000002</v>
      </c>
      <c r="C140" s="37">
        <v>48302.842799999999</v>
      </c>
      <c r="D140" s="37" t="s">
        <v>20</v>
      </c>
    </row>
    <row r="141" spans="1:7" x14ac:dyDescent="0.2">
      <c r="A141" s="38" t="s">
        <v>277</v>
      </c>
      <c r="B141" s="39"/>
      <c r="C141" s="39"/>
      <c r="D141" s="39"/>
      <c r="E141" s="39"/>
      <c r="F141" s="29"/>
      <c r="G141" s="29"/>
    </row>
  </sheetData>
  <sortState xmlns:xlrd2="http://schemas.microsoft.com/office/spreadsheetml/2017/richdata2" ref="A48:G113">
    <sortCondition ref="C48:C113"/>
  </sortState>
  <mergeCells count="4">
    <mergeCell ref="A1:D1"/>
    <mergeCell ref="A3:A4"/>
    <mergeCell ref="D3:D4"/>
    <mergeCell ref="B3:C3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40"/>
  <sheetViews>
    <sheetView workbookViewId="0">
      <selection sqref="A1:XFD1048576"/>
    </sheetView>
  </sheetViews>
  <sheetFormatPr defaultRowHeight="12" x14ac:dyDescent="0.2"/>
  <cols>
    <col min="1" max="1" width="31.375" style="3" customWidth="1"/>
    <col min="2" max="2" width="13.625" style="3" customWidth="1"/>
    <col min="3" max="3" width="13.875" style="3" customWidth="1"/>
    <col min="4" max="5" width="11.625" style="3" customWidth="1"/>
    <col min="6" max="16384" width="9" style="3"/>
  </cols>
  <sheetData>
    <row r="1" spans="1:6" x14ac:dyDescent="0.2">
      <c r="A1" s="2" t="s">
        <v>415</v>
      </c>
      <c r="B1" s="2"/>
      <c r="C1" s="2"/>
      <c r="D1" s="2"/>
      <c r="E1" s="2"/>
    </row>
    <row r="2" spans="1:6" x14ac:dyDescent="0.2">
      <c r="A2" s="29"/>
      <c r="B2" s="29"/>
      <c r="C2" s="29"/>
      <c r="D2" s="29"/>
      <c r="E2" s="29"/>
    </row>
    <row r="3" spans="1:6" ht="18.75" customHeight="1" x14ac:dyDescent="0.2">
      <c r="A3" s="4"/>
      <c r="B3" s="5" t="s">
        <v>364</v>
      </c>
      <c r="C3" s="6"/>
      <c r="D3" s="5" t="s">
        <v>103</v>
      </c>
      <c r="E3" s="89"/>
      <c r="F3" s="18"/>
    </row>
    <row r="4" spans="1:6" ht="18.75" customHeight="1" x14ac:dyDescent="0.2">
      <c r="A4" s="9"/>
      <c r="B4" s="10" t="s">
        <v>114</v>
      </c>
      <c r="C4" s="11" t="s">
        <v>365</v>
      </c>
      <c r="D4" s="12" t="s">
        <v>366</v>
      </c>
      <c r="E4" s="5"/>
      <c r="F4" s="18"/>
    </row>
    <row r="5" spans="1:6" ht="23.25" customHeight="1" x14ac:dyDescent="0.2">
      <c r="A5" s="13"/>
      <c r="B5" s="14"/>
      <c r="C5" s="15"/>
      <c r="D5" s="16" t="s">
        <v>297</v>
      </c>
      <c r="E5" s="17" t="s">
        <v>298</v>
      </c>
      <c r="F5" s="18"/>
    </row>
    <row r="6" spans="1:6" ht="15.75" customHeight="1" x14ac:dyDescent="0.2">
      <c r="A6" s="24" t="s">
        <v>126</v>
      </c>
      <c r="B6" s="20">
        <v>2959137.7240300002</v>
      </c>
      <c r="C6" s="21">
        <f>IF(1808523.91457="","-",2959137.72403/1808523.91457*100)</f>
        <v>163.62170829980835</v>
      </c>
      <c r="D6" s="93">
        <v>100</v>
      </c>
      <c r="E6" s="93">
        <v>100</v>
      </c>
    </row>
    <row r="7" spans="1:6" ht="15.75" customHeight="1" x14ac:dyDescent="0.2">
      <c r="A7" s="91" t="s">
        <v>119</v>
      </c>
      <c r="B7" s="32"/>
      <c r="C7" s="96"/>
      <c r="D7" s="93"/>
      <c r="E7" s="93"/>
    </row>
    <row r="8" spans="1:6" x14ac:dyDescent="0.2">
      <c r="A8" s="91" t="s">
        <v>105</v>
      </c>
      <c r="B8" s="26">
        <v>454524.34159999999</v>
      </c>
      <c r="C8" s="26" t="s">
        <v>342</v>
      </c>
      <c r="D8" s="26">
        <f>IF(119344.99718="","-",119344.99718/1808523.91457*100)</f>
        <v>6.5990278712115238</v>
      </c>
      <c r="E8" s="26">
        <f>IF(454524.3416="","-",454524.3416/2959137.72403*100)</f>
        <v>15.360026601972107</v>
      </c>
    </row>
    <row r="9" spans="1:6" x14ac:dyDescent="0.2">
      <c r="A9" s="91" t="s">
        <v>106</v>
      </c>
      <c r="B9" s="26">
        <v>265089.60657</v>
      </c>
      <c r="C9" s="26" t="s">
        <v>353</v>
      </c>
      <c r="D9" s="26">
        <f>IF(47767.07508="","-",47767.07508/1808523.91457*100)</f>
        <v>2.6412188799481395</v>
      </c>
      <c r="E9" s="26">
        <f>IF(265089.60657="","-",265089.60657/2959137.72403*100)</f>
        <v>8.9583396006651181</v>
      </c>
    </row>
    <row r="10" spans="1:6" x14ac:dyDescent="0.2">
      <c r="A10" s="91" t="s">
        <v>107</v>
      </c>
      <c r="B10" s="26">
        <v>2205410.4685200001</v>
      </c>
      <c r="C10" s="26">
        <v>136.15079614580037</v>
      </c>
      <c r="D10" s="26">
        <f>IF(1619829.28558="","-",1619829.28558/1808523.91457*100)</f>
        <v>89.566373578484601</v>
      </c>
      <c r="E10" s="26">
        <f>IF(2205410.46852="","-",2205410.46852/2959137.72403*100)</f>
        <v>74.528821372885901</v>
      </c>
    </row>
    <row r="11" spans="1:6" x14ac:dyDescent="0.2">
      <c r="A11" s="91" t="s">
        <v>108</v>
      </c>
      <c r="B11" s="26">
        <v>24297.911530000001</v>
      </c>
      <c r="C11" s="26">
        <v>117.918396820792</v>
      </c>
      <c r="D11" s="26">
        <f>IF(20605.70037="","-",20605.70037/1808523.91457*100)</f>
        <v>1.1393656563783547</v>
      </c>
      <c r="E11" s="26">
        <f>IF(24297.91153="","-",24297.91153/2959137.72403*100)</f>
        <v>0.82111458796547943</v>
      </c>
    </row>
    <row r="12" spans="1:6" x14ac:dyDescent="0.2">
      <c r="A12" s="91" t="s">
        <v>375</v>
      </c>
      <c r="B12" s="26">
        <v>950.04251999999997</v>
      </c>
      <c r="C12" s="26">
        <v>106.31044072534448</v>
      </c>
      <c r="D12" s="26">
        <f>IF(893.64931="","-",893.64931/1808523.91457*100)</f>
        <v>4.9413187340266757E-2</v>
      </c>
      <c r="E12" s="26">
        <f>IF(950.04252="","-",950.04252/2959137.72403*100)</f>
        <v>3.210538368272204E-2</v>
      </c>
    </row>
    <row r="13" spans="1:6" x14ac:dyDescent="0.2">
      <c r="A13" s="91" t="s">
        <v>376</v>
      </c>
      <c r="B13" s="26">
        <v>8635.9079099999999</v>
      </c>
      <c r="C13" s="26" t="s">
        <v>392</v>
      </c>
      <c r="D13" s="26">
        <f>IF(3.86704="","-",3.86704/1808523.91457*100)</f>
        <v>2.1382299503180406E-4</v>
      </c>
      <c r="E13" s="26">
        <f>IF(8635.90791="","-",8635.90791/2959137.72403*100)</f>
        <v>0.29183866096772615</v>
      </c>
    </row>
    <row r="14" spans="1:6" x14ac:dyDescent="0.2">
      <c r="A14" s="91" t="s">
        <v>111</v>
      </c>
      <c r="B14" s="26">
        <v>229.44538</v>
      </c>
      <c r="C14" s="26" t="s">
        <v>357</v>
      </c>
      <c r="D14" s="26">
        <f>IF(79.34001="","-",79.34001/1808523.91457*100)</f>
        <v>4.3870036420759258E-3</v>
      </c>
      <c r="E14" s="26">
        <f>IF(229.44538="","-",229.44538/2959137.72403*100)</f>
        <v>7.7537918609452946E-3</v>
      </c>
    </row>
    <row r="15" spans="1:6" x14ac:dyDescent="0.2">
      <c r="A15" s="24" t="s">
        <v>196</v>
      </c>
      <c r="B15" s="20">
        <v>1759251.7765599999</v>
      </c>
      <c r="C15" s="20">
        <v>155.41616991143104</v>
      </c>
      <c r="D15" s="20">
        <f>IF(1131961.86572="","-",1131961.86572/1808523.91457*100)</f>
        <v>62.590373099331586</v>
      </c>
      <c r="E15" s="20">
        <f>IF(1759251.77656="","-",1759251.77656/2959137.72403*100)</f>
        <v>59.451500424390666</v>
      </c>
    </row>
    <row r="16" spans="1:6" x14ac:dyDescent="0.2">
      <c r="A16" s="91" t="s">
        <v>119</v>
      </c>
      <c r="B16" s="20"/>
      <c r="C16" s="20"/>
      <c r="D16" s="20"/>
      <c r="E16" s="20"/>
    </row>
    <row r="17" spans="1:10" x14ac:dyDescent="0.2">
      <c r="A17" s="91" t="s">
        <v>105</v>
      </c>
      <c r="B17" s="26">
        <v>302309.88024000003</v>
      </c>
      <c r="C17" s="26" t="s">
        <v>393</v>
      </c>
      <c r="D17" s="26">
        <f>IF(46468.27604="","-",46468.27604/1808523.91457*100)</f>
        <v>2.5694034602273113</v>
      </c>
      <c r="E17" s="26">
        <f>IF(302309.88024="","-",302309.88024/2959137.72403*100)</f>
        <v>10.216147690087546</v>
      </c>
      <c r="J17" s="99"/>
    </row>
    <row r="18" spans="1:10" x14ac:dyDescent="0.2">
      <c r="A18" s="91" t="s">
        <v>106</v>
      </c>
      <c r="B18" s="26">
        <v>43575.941149999999</v>
      </c>
      <c r="C18" s="26" t="s">
        <v>347</v>
      </c>
      <c r="D18" s="26">
        <f>IF(9298.41848="","-",9298.41848/1808523.91457*100)</f>
        <v>0.51414407103435067</v>
      </c>
      <c r="E18" s="26">
        <f>IF(43575.94115="","-",43575.94115/2959137.72403*100)</f>
        <v>1.4725891531217632</v>
      </c>
    </row>
    <row r="19" spans="1:10" x14ac:dyDescent="0.2">
      <c r="A19" s="91" t="s">
        <v>107</v>
      </c>
      <c r="B19" s="26">
        <v>1408737.41909</v>
      </c>
      <c r="C19" s="26">
        <v>131.37798461522087</v>
      </c>
      <c r="D19" s="26">
        <f>IF(1072278.14707="","-",1072278.14707/1808523.91457*100)</f>
        <v>59.290238764962531</v>
      </c>
      <c r="E19" s="26">
        <f>IF(1408737.41909="","-",1408737.41909/2959137.72403*100)</f>
        <v>47.606348553843716</v>
      </c>
    </row>
    <row r="20" spans="1:10" x14ac:dyDescent="0.2">
      <c r="A20" s="91" t="s">
        <v>108</v>
      </c>
      <c r="B20" s="26">
        <v>4148.6252299999996</v>
      </c>
      <c r="C20" s="26">
        <v>134.64600161594339</v>
      </c>
      <c r="D20" s="26">
        <f>IF(3081.13511="","-",3081.13511/1808523.91457*100)</f>
        <v>0.17036739659218605</v>
      </c>
      <c r="E20" s="26">
        <f>IF(4148.62523="","-",4148.62523/2959137.72403*100)</f>
        <v>0.140197098509834</v>
      </c>
    </row>
    <row r="21" spans="1:10" x14ac:dyDescent="0.2">
      <c r="A21" s="91" t="s">
        <v>109</v>
      </c>
      <c r="B21" s="26">
        <v>409.88441999999998</v>
      </c>
      <c r="C21" s="26">
        <v>51.24677169949431</v>
      </c>
      <c r="D21" s="26">
        <f>IF(799.82486="","-",799.82486/1808523.91457*100)</f>
        <v>4.4225285248172611E-2</v>
      </c>
      <c r="E21" s="26">
        <f>IF(409.88442="","-",409.88442/2959137.72403*100)</f>
        <v>1.3851481689124805E-2</v>
      </c>
    </row>
    <row r="22" spans="1:10" x14ac:dyDescent="0.2">
      <c r="A22" s="91" t="s">
        <v>111</v>
      </c>
      <c r="B22" s="26">
        <v>70.026430000000005</v>
      </c>
      <c r="C22" s="26" t="s">
        <v>100</v>
      </c>
      <c r="D22" s="26">
        <f>IF(36.06416="","-",36.06416/1808523.91457*100)</f>
        <v>1.9941212670430584E-3</v>
      </c>
      <c r="E22" s="26">
        <f>IF(70.02643="","-",70.02643/2959137.72403*100)</f>
        <v>2.3664471386830952E-3</v>
      </c>
    </row>
    <row r="23" spans="1:10" x14ac:dyDescent="0.2">
      <c r="A23" s="24" t="s">
        <v>197</v>
      </c>
      <c r="B23" s="20">
        <v>622503.15211000002</v>
      </c>
      <c r="C23" s="20" t="s">
        <v>193</v>
      </c>
      <c r="D23" s="20">
        <f>IF(282408.59374="","-",282408.59374/1808523.91457*100)</f>
        <v>15.615419374044953</v>
      </c>
      <c r="E23" s="20">
        <f>IF(622503.15211="","-",622503.15211/2959137.72403*100)</f>
        <v>21.036640067641844</v>
      </c>
    </row>
    <row r="24" spans="1:10" x14ac:dyDescent="0.2">
      <c r="A24" s="91" t="s">
        <v>119</v>
      </c>
      <c r="B24" s="20"/>
      <c r="C24" s="20"/>
      <c r="D24" s="20"/>
      <c r="E24" s="20"/>
    </row>
    <row r="25" spans="1:10" x14ac:dyDescent="0.2">
      <c r="A25" s="91" t="s">
        <v>105</v>
      </c>
      <c r="B25" s="26">
        <v>82.096980000000002</v>
      </c>
      <c r="C25" s="26">
        <v>0.79935114835495324</v>
      </c>
      <c r="D25" s="26">
        <f>IF(10270.4525="","-",10270.4525/1808523.91457*100)</f>
        <v>0.56789143993387181</v>
      </c>
      <c r="E25" s="26">
        <f>IF(82.09698="","-",82.09698/2959137.72403*100)</f>
        <v>2.7743548173957077E-3</v>
      </c>
    </row>
    <row r="26" spans="1:10" x14ac:dyDescent="0.2">
      <c r="A26" s="91" t="s">
        <v>106</v>
      </c>
      <c r="B26" s="26">
        <v>122023.25774</v>
      </c>
      <c r="C26" s="26" t="s">
        <v>394</v>
      </c>
      <c r="D26" s="26">
        <f>IF(9484.67601="","-",9484.67601/1808523.91457*100)</f>
        <v>0.52444294120684076</v>
      </c>
      <c r="E26" s="26">
        <f>IF(122023.25774="","-",122023.25774/2959137.72403*100)</f>
        <v>4.1236086022322258</v>
      </c>
      <c r="F26" s="18"/>
    </row>
    <row r="27" spans="1:10" x14ac:dyDescent="0.2">
      <c r="A27" s="91" t="s">
        <v>107</v>
      </c>
      <c r="B27" s="26">
        <v>485876.66765999998</v>
      </c>
      <c r="C27" s="26" t="s">
        <v>100</v>
      </c>
      <c r="D27" s="26">
        <f>IF(256699.76218="","-",256699.76218/1808523.91457*100)</f>
        <v>14.193882652695455</v>
      </c>
      <c r="E27" s="26">
        <f>IF(485876.66766="","-",485876.66766/2959137.72403*100)</f>
        <v>16.419535451641387</v>
      </c>
      <c r="F27" s="1"/>
    </row>
    <row r="28" spans="1:10" x14ac:dyDescent="0.2">
      <c r="A28" s="91" t="s">
        <v>108</v>
      </c>
      <c r="B28" s="26">
        <v>5685.31167</v>
      </c>
      <c r="C28" s="26">
        <v>96.43317154390823</v>
      </c>
      <c r="D28" s="26">
        <f>IF(5895.59752="","-",5895.59752/1808523.91457*100)</f>
        <v>0.32598946978269594</v>
      </c>
      <c r="E28" s="26">
        <f>IF(5685.31167="","-",5685.31167/2959137.72403*100)</f>
        <v>0.19212730870320119</v>
      </c>
    </row>
    <row r="29" spans="1:10" x14ac:dyDescent="0.2">
      <c r="A29" s="91" t="s">
        <v>109</v>
      </c>
      <c r="B29" s="26">
        <v>59.791200000000003</v>
      </c>
      <c r="C29" s="26" t="s">
        <v>349</v>
      </c>
      <c r="D29" s="26">
        <f>IF(16.58002="","-",16.58002/1808523.91457*100)</f>
        <v>9.1677084645806946E-4</v>
      </c>
      <c r="E29" s="26">
        <f>IF(59.7912="","-",59.7912/2959137.72403*100)</f>
        <v>2.0205615816546508E-3</v>
      </c>
    </row>
    <row r="30" spans="1:10" x14ac:dyDescent="0.2">
      <c r="A30" s="91" t="s">
        <v>110</v>
      </c>
      <c r="B30" s="26">
        <v>8635.9079099999999</v>
      </c>
      <c r="C30" s="26" t="s">
        <v>392</v>
      </c>
      <c r="D30" s="26">
        <f>IF(3.86704="","-",3.86704/1808523.91457*100)</f>
        <v>2.1382299503180406E-4</v>
      </c>
      <c r="E30" s="26">
        <f>IF(8635.90791="","-",8635.90791/2959137.72403*100)</f>
        <v>0.29183866096772615</v>
      </c>
    </row>
    <row r="31" spans="1:10" x14ac:dyDescent="0.2">
      <c r="A31" s="91" t="s">
        <v>111</v>
      </c>
      <c r="B31" s="26">
        <v>140.11895000000001</v>
      </c>
      <c r="C31" s="26" t="s">
        <v>287</v>
      </c>
      <c r="D31" s="26">
        <f>IF(37.65847="","-",37.65847/1808523.91457*100)</f>
        <v>2.0822765846009723E-3</v>
      </c>
      <c r="E31" s="26">
        <f>IF(140.11895="","-",140.11895/2959137.72403*100)</f>
        <v>4.7351276982530695E-3</v>
      </c>
    </row>
    <row r="32" spans="1:10" x14ac:dyDescent="0.2">
      <c r="A32" s="24" t="s">
        <v>283</v>
      </c>
      <c r="B32" s="20">
        <v>577382.79535999999</v>
      </c>
      <c r="C32" s="20">
        <v>146.48680301403536</v>
      </c>
      <c r="D32" s="20">
        <f>IF(394153.45511="","-",394153.45511/1808523.91457*100)</f>
        <v>21.794207526623449</v>
      </c>
      <c r="E32" s="20">
        <f>IF(577382.79536="","-",577382.79536/2959137.72403*100)</f>
        <v>19.511859507967479</v>
      </c>
    </row>
    <row r="33" spans="1:5" x14ac:dyDescent="0.2">
      <c r="A33" s="91" t="s">
        <v>119</v>
      </c>
      <c r="B33" s="20"/>
      <c r="C33" s="20"/>
      <c r="D33" s="20"/>
      <c r="E33" s="20"/>
    </row>
    <row r="34" spans="1:5" x14ac:dyDescent="0.2">
      <c r="A34" s="91" t="s">
        <v>105</v>
      </c>
      <c r="B34" s="26">
        <v>152132.36438000001</v>
      </c>
      <c r="C34" s="26" t="s">
        <v>278</v>
      </c>
      <c r="D34" s="26">
        <f>IF(62606.26864="","-",62606.26864/1808523.91457*100)</f>
        <v>3.4617329710503415</v>
      </c>
      <c r="E34" s="26">
        <f>IF(152132.36438="","-",152132.36438/2959137.72403*100)</f>
        <v>5.1411045570671678</v>
      </c>
    </row>
    <row r="35" spans="1:5" x14ac:dyDescent="0.2">
      <c r="A35" s="91" t="s">
        <v>106</v>
      </c>
      <c r="B35" s="26">
        <v>99490.407680000004</v>
      </c>
      <c r="C35" s="26" t="s">
        <v>385</v>
      </c>
      <c r="D35" s="26">
        <f>IF(28983.98059="","-",28983.98059/1808523.91457*100)</f>
        <v>1.6026318677069478</v>
      </c>
      <c r="E35" s="26">
        <f>IF(99490.40768="","-",99490.40768/2959137.72403*100)</f>
        <v>3.3621418453111294</v>
      </c>
    </row>
    <row r="36" spans="1:5" x14ac:dyDescent="0.2">
      <c r="A36" s="91" t="s">
        <v>107</v>
      </c>
      <c r="B36" s="26">
        <v>310796.38176999998</v>
      </c>
      <c r="C36" s="26">
        <v>106.85745609722348</v>
      </c>
      <c r="D36" s="26">
        <f>IF(290851.37633="","-",290851.37633/1808523.91457*100)</f>
        <v>16.08225216082662</v>
      </c>
      <c r="E36" s="26">
        <f>IF(310796.38177="","-",310796.38177/2959137.72403*100)</f>
        <v>10.502937367400785</v>
      </c>
    </row>
    <row r="37" spans="1:5" x14ac:dyDescent="0.2">
      <c r="A37" s="91" t="s">
        <v>108</v>
      </c>
      <c r="B37" s="26">
        <v>14463.974630000001</v>
      </c>
      <c r="C37" s="26">
        <v>124.37883527914921</v>
      </c>
      <c r="D37" s="26">
        <f>IF(11628.96774="","-",11628.96774/1808523.91457*100)</f>
        <v>0.64300879000347289</v>
      </c>
      <c r="E37" s="26">
        <f>IF(14463.97463="","-",14463.97463/2959137.72403*100)</f>
        <v>0.48879018075244413</v>
      </c>
    </row>
    <row r="38" spans="1:5" x14ac:dyDescent="0.2">
      <c r="A38" s="91" t="s">
        <v>109</v>
      </c>
      <c r="B38" s="26">
        <v>480.36689999999999</v>
      </c>
      <c r="C38" s="26" t="s">
        <v>361</v>
      </c>
      <c r="D38" s="26">
        <f>IF(77.24443="","-",77.24443/1808523.91457*100)</f>
        <v>4.2711312456360775E-3</v>
      </c>
      <c r="E38" s="26">
        <f>IF(480.3669="","-",480.3669/2959137.72403*100)</f>
        <v>1.6233340411942583E-2</v>
      </c>
    </row>
    <row r="39" spans="1:5" x14ac:dyDescent="0.2">
      <c r="A39" s="97" t="s">
        <v>111</v>
      </c>
      <c r="B39" s="100">
        <v>19.3</v>
      </c>
      <c r="C39" s="37" t="s">
        <v>385</v>
      </c>
      <c r="D39" s="37">
        <f>IF(5.61738="","-",5.61738/1808523.91457*100)</f>
        <v>3.1060579043189511E-4</v>
      </c>
      <c r="E39" s="37">
        <f>IF(19.3="","-",19.3/2959137.72403*100)</f>
        <v>6.5221702400913102E-4</v>
      </c>
    </row>
    <row r="40" spans="1:5" x14ac:dyDescent="0.2">
      <c r="A40" s="98" t="s">
        <v>19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41"/>
  <sheetViews>
    <sheetView workbookViewId="0">
      <selection sqref="A1:XFD1048576"/>
    </sheetView>
  </sheetViews>
  <sheetFormatPr defaultRowHeight="12" x14ac:dyDescent="0.2"/>
  <cols>
    <col min="1" max="1" width="33.375" style="3" customWidth="1"/>
    <col min="2" max="2" width="12.875" style="3" customWidth="1"/>
    <col min="3" max="3" width="13.375" style="3" customWidth="1"/>
    <col min="4" max="4" width="11.375" style="3" customWidth="1"/>
    <col min="5" max="5" width="11.125" style="3" customWidth="1"/>
    <col min="6" max="16384" width="9" style="3"/>
  </cols>
  <sheetData>
    <row r="1" spans="1:5" x14ac:dyDescent="0.2">
      <c r="A1" s="2" t="s">
        <v>414</v>
      </c>
      <c r="B1" s="2"/>
      <c r="C1" s="2"/>
      <c r="D1" s="2"/>
      <c r="E1" s="2"/>
    </row>
    <row r="2" spans="1:5" x14ac:dyDescent="0.2">
      <c r="A2" s="29"/>
      <c r="B2" s="29"/>
      <c r="C2" s="29"/>
      <c r="D2" s="29"/>
      <c r="E2" s="29"/>
    </row>
    <row r="3" spans="1:5" ht="18.75" customHeight="1" x14ac:dyDescent="0.2">
      <c r="A3" s="4"/>
      <c r="B3" s="5" t="s">
        <v>364</v>
      </c>
      <c r="C3" s="6"/>
      <c r="D3" s="5" t="s">
        <v>103</v>
      </c>
      <c r="E3" s="89"/>
    </row>
    <row r="4" spans="1:5" ht="18.75" customHeight="1" x14ac:dyDescent="0.2">
      <c r="A4" s="9"/>
      <c r="B4" s="10" t="s">
        <v>114</v>
      </c>
      <c r="C4" s="11" t="s">
        <v>365</v>
      </c>
      <c r="D4" s="12" t="s">
        <v>366</v>
      </c>
      <c r="E4" s="5"/>
    </row>
    <row r="5" spans="1:5" ht="23.25" customHeight="1" x14ac:dyDescent="0.2">
      <c r="A5" s="13"/>
      <c r="B5" s="14"/>
      <c r="C5" s="15"/>
      <c r="D5" s="16" t="s">
        <v>297</v>
      </c>
      <c r="E5" s="17" t="s">
        <v>298</v>
      </c>
    </row>
    <row r="6" spans="1:5" ht="15.75" customHeight="1" x14ac:dyDescent="0.2">
      <c r="A6" s="24" t="s">
        <v>120</v>
      </c>
      <c r="B6" s="20">
        <v>5891753.1111099999</v>
      </c>
      <c r="C6" s="20">
        <v>133.81090618274038</v>
      </c>
      <c r="D6" s="90">
        <v>100</v>
      </c>
      <c r="E6" s="90">
        <v>100</v>
      </c>
    </row>
    <row r="7" spans="1:5" ht="15.75" customHeight="1" x14ac:dyDescent="0.2">
      <c r="A7" s="91" t="s">
        <v>119</v>
      </c>
      <c r="B7" s="92"/>
      <c r="C7" s="20"/>
      <c r="D7" s="92"/>
      <c r="E7" s="92"/>
    </row>
    <row r="8" spans="1:5" x14ac:dyDescent="0.2">
      <c r="A8" s="91" t="s">
        <v>105</v>
      </c>
      <c r="B8" s="26">
        <v>435291.36011000001</v>
      </c>
      <c r="C8" s="26" t="s">
        <v>315</v>
      </c>
      <c r="D8" s="26">
        <f>IF(122681.40025="","-",122681.40025/4403044.02622*100)</f>
        <v>2.7862860221118799</v>
      </c>
      <c r="E8" s="26">
        <f>IF(435291.36011="","-",435291.36011/5891753.11111*100)</f>
        <v>7.3881466500892055</v>
      </c>
    </row>
    <row r="9" spans="1:5" x14ac:dyDescent="0.2">
      <c r="A9" s="91" t="s">
        <v>106</v>
      </c>
      <c r="B9" s="26">
        <v>283051.67336000002</v>
      </c>
      <c r="C9" s="26">
        <v>132.49289845129709</v>
      </c>
      <c r="D9" s="26">
        <f>IF(213635.35455="","-",213635.35455/4403044.02622*100)</f>
        <v>4.8519922416811552</v>
      </c>
      <c r="E9" s="26">
        <f>IF(283051.67336="","-",283051.67336/5891753.11111*100)</f>
        <v>4.8042011948235448</v>
      </c>
    </row>
    <row r="10" spans="1:5" x14ac:dyDescent="0.2">
      <c r="A10" s="91" t="s">
        <v>107</v>
      </c>
      <c r="B10" s="26">
        <v>4522832.6974200001</v>
      </c>
      <c r="C10" s="26">
        <v>119.58926084219279</v>
      </c>
      <c r="D10" s="26">
        <f>IF(3781972.2821="","-",3781972.2821/4403044.02622*100)</f>
        <v>85.894491619399304</v>
      </c>
      <c r="E10" s="26">
        <f>IF(4522832.69742="","-",4522832.69742/5891753.11111*100)</f>
        <v>76.765482397613624</v>
      </c>
    </row>
    <row r="11" spans="1:5" x14ac:dyDescent="0.2">
      <c r="A11" s="91" t="s">
        <v>108</v>
      </c>
      <c r="B11" s="26">
        <v>95241.475900000005</v>
      </c>
      <c r="C11" s="26">
        <v>90.014126344215839</v>
      </c>
      <c r="D11" s="26">
        <f>IF(105807.25467="","-",105807.25467/4403044.02622*100)</f>
        <v>2.4030478468968477</v>
      </c>
      <c r="E11" s="26">
        <f>IF(95241.4759="","-",95241.4759/5891753.11111*100)</f>
        <v>1.6165218416977525</v>
      </c>
    </row>
    <row r="12" spans="1:5" x14ac:dyDescent="0.2">
      <c r="A12" s="91" t="s">
        <v>109</v>
      </c>
      <c r="B12" s="26">
        <v>6556.2477399999998</v>
      </c>
      <c r="C12" s="26">
        <v>80.022158367565794</v>
      </c>
      <c r="D12" s="26">
        <f>IF(8193.04037="","-",8193.04037/4403044.02622*100)</f>
        <v>0.18607673058026858</v>
      </c>
      <c r="E12" s="26">
        <f>IF(6556.24774="","-",6556.24774/5891753.11111*100)</f>
        <v>0.11127838550527468</v>
      </c>
    </row>
    <row r="13" spans="1:5" x14ac:dyDescent="0.2">
      <c r="A13" s="91" t="s">
        <v>110</v>
      </c>
      <c r="B13" s="26">
        <v>514694.98842000001</v>
      </c>
      <c r="C13" s="26" t="s">
        <v>315</v>
      </c>
      <c r="D13" s="26">
        <f>IF(145268.79351="","-",145268.79351/4403044.02622*100)</f>
        <v>3.2992809666432699</v>
      </c>
      <c r="E13" s="26">
        <f>IF(514694.98842="","-",514694.98842/5891753.11111*100)</f>
        <v>8.735854655033771</v>
      </c>
    </row>
    <row r="14" spans="1:5" x14ac:dyDescent="0.2">
      <c r="A14" s="91" t="s">
        <v>111</v>
      </c>
      <c r="B14" s="26">
        <v>34084.668160000001</v>
      </c>
      <c r="C14" s="26">
        <v>133.73931126704298</v>
      </c>
      <c r="D14" s="26">
        <f>IF(25485.90077="","-",25485.90077/4403044.02622*100)</f>
        <v>0.57882457268726351</v>
      </c>
      <c r="E14" s="26">
        <f>IF(34084.66816="","-",34084.66816/5891753.11111*100)</f>
        <v>0.57851487523682887</v>
      </c>
    </row>
    <row r="15" spans="1:5" x14ac:dyDescent="0.2">
      <c r="A15" s="24" t="s">
        <v>196</v>
      </c>
      <c r="B15" s="93">
        <v>2717661.6409399998</v>
      </c>
      <c r="C15" s="20">
        <v>132.59053656069818</v>
      </c>
      <c r="D15" s="20">
        <f>IF(2049664.86405="","-",2049664.86405/4403044.02622*100)</f>
        <v>46.551087198862987</v>
      </c>
      <c r="E15" s="20">
        <f>IF(2717661.64094="","-",2717661.64094/5891753.11111*100)</f>
        <v>46.126536358343692</v>
      </c>
    </row>
    <row r="16" spans="1:5" x14ac:dyDescent="0.2">
      <c r="A16" s="91" t="s">
        <v>119</v>
      </c>
      <c r="B16" s="32"/>
      <c r="C16" s="20"/>
      <c r="D16" s="20"/>
      <c r="E16" s="20"/>
    </row>
    <row r="17" spans="1:6" x14ac:dyDescent="0.2">
      <c r="A17" s="91" t="s">
        <v>105</v>
      </c>
      <c r="B17" s="26">
        <v>137076.22276</v>
      </c>
      <c r="C17" s="26" t="s">
        <v>349</v>
      </c>
      <c r="D17" s="26">
        <f>IF(38237.26138="","-",38237.26138/4403044.02622*100)</f>
        <v>0.86842786836330077</v>
      </c>
      <c r="E17" s="26">
        <f>IF(137076.22276="","-",137076.22276/5891753.11111*100)</f>
        <v>2.3265778483065969</v>
      </c>
    </row>
    <row r="18" spans="1:6" x14ac:dyDescent="0.2">
      <c r="A18" s="91" t="s">
        <v>106</v>
      </c>
      <c r="B18" s="26">
        <v>148946.32983</v>
      </c>
      <c r="C18" s="26" t="s">
        <v>100</v>
      </c>
      <c r="D18" s="26">
        <f>IF(76994.82795="","-",76994.82795/4403044.02622*100)</f>
        <v>1.7486726794349099</v>
      </c>
      <c r="E18" s="26">
        <f>IF(148946.32983="","-",148946.32983/5891753.11111*100)</f>
        <v>2.5280477138312856</v>
      </c>
    </row>
    <row r="19" spans="1:6" x14ac:dyDescent="0.2">
      <c r="A19" s="91" t="s">
        <v>107</v>
      </c>
      <c r="B19" s="26">
        <v>2373889.6081099999</v>
      </c>
      <c r="C19" s="26">
        <v>125.82477194766149</v>
      </c>
      <c r="D19" s="26">
        <f>IF(1886663.15175="","-",1886663.15175/4403044.02622*100)</f>
        <v>42.849063977443222</v>
      </c>
      <c r="E19" s="26">
        <f>IF(2373889.60811="","-",2373889.60811/5891753.11111*100)</f>
        <v>40.29173597979841</v>
      </c>
    </row>
    <row r="20" spans="1:6" x14ac:dyDescent="0.2">
      <c r="A20" s="91" t="s">
        <v>108</v>
      </c>
      <c r="B20" s="26">
        <v>22586.830750000001</v>
      </c>
      <c r="C20" s="26">
        <v>93.17221430990395</v>
      </c>
      <c r="D20" s="26">
        <f>IF(24242.02421="","-",24242.02421/4403044.02622*100)</f>
        <v>0.55057419516224326</v>
      </c>
      <c r="E20" s="26">
        <f>IF(22586.83075="","-",22586.83075/5891753.11111*100)</f>
        <v>0.38336349680722903</v>
      </c>
    </row>
    <row r="21" spans="1:6" x14ac:dyDescent="0.2">
      <c r="A21" s="91" t="s">
        <v>109</v>
      </c>
      <c r="B21" s="26">
        <v>4167.8074100000003</v>
      </c>
      <c r="C21" s="26">
        <v>103.63879751547127</v>
      </c>
      <c r="D21" s="26">
        <f>IF(4021.47411="","-",4021.47411/4403044.02622*100)</f>
        <v>9.1333951830875129E-2</v>
      </c>
      <c r="E21" s="26">
        <f>IF(4167.80741="","-",4167.80741/5891753.11111*100)</f>
        <v>7.0739681914722838E-2</v>
      </c>
    </row>
    <row r="22" spans="1:6" x14ac:dyDescent="0.2">
      <c r="A22" s="91" t="s">
        <v>111</v>
      </c>
      <c r="B22" s="26">
        <v>30994.842079999999</v>
      </c>
      <c r="C22" s="26">
        <v>158.89800068513352</v>
      </c>
      <c r="D22" s="26">
        <f>IF(19506.12465="","-",19506.12465/4403044.02622*100)</f>
        <v>0.44301452662843233</v>
      </c>
      <c r="E22" s="26">
        <f>IF(30994.84208="","-",30994.84208/5891753.11111*100)</f>
        <v>0.52607163768545284</v>
      </c>
      <c r="F22" s="94"/>
    </row>
    <row r="23" spans="1:6" x14ac:dyDescent="0.2">
      <c r="A23" s="24" t="s">
        <v>197</v>
      </c>
      <c r="B23" s="93">
        <v>1494256.7149100001</v>
      </c>
      <c r="C23" s="95">
        <v>142.15326127137374</v>
      </c>
      <c r="D23" s="20">
        <f>IF(1051158.94039="","-",1051158.94039/4403044.02622*100)</f>
        <v>23.873459682219362</v>
      </c>
      <c r="E23" s="20">
        <f>IF(1494256.71491="","-",1494256.71491/5891753.11111*100)</f>
        <v>25.361835208136952</v>
      </c>
      <c r="F23" s="94"/>
    </row>
    <row r="24" spans="1:6" x14ac:dyDescent="0.2">
      <c r="A24" s="91" t="s">
        <v>119</v>
      </c>
      <c r="B24" s="32"/>
      <c r="C24" s="32"/>
      <c r="D24" s="20"/>
      <c r="E24" s="20"/>
      <c r="F24" s="34"/>
    </row>
    <row r="25" spans="1:6" x14ac:dyDescent="0.2">
      <c r="A25" s="91" t="s">
        <v>105</v>
      </c>
      <c r="B25" s="26">
        <v>117250.04018</v>
      </c>
      <c r="C25" s="32">
        <v>162.32160330298512</v>
      </c>
      <c r="D25" s="26">
        <f>IF(72233.17032="","-",72233.17032/4403044.02622*100)</f>
        <v>1.6405280049405266</v>
      </c>
      <c r="E25" s="26">
        <f>IF(117250.04018="","-",117250.04018/5891753.11111*100)</f>
        <v>1.9900704929217614</v>
      </c>
      <c r="F25" s="34"/>
    </row>
    <row r="26" spans="1:6" x14ac:dyDescent="0.2">
      <c r="A26" s="91" t="s">
        <v>106</v>
      </c>
      <c r="B26" s="26">
        <v>132946.55773</v>
      </c>
      <c r="C26" s="32">
        <v>97.332594596491546</v>
      </c>
      <c r="D26" s="26">
        <f>IF(136589.96586="","-",136589.96586/4403044.02622*100)</f>
        <v>3.102171248949833</v>
      </c>
      <c r="E26" s="26">
        <f>IF(132946.55773="","-",132946.55773/5891753.11111*100)</f>
        <v>2.2564855523104739</v>
      </c>
      <c r="F26" s="34"/>
    </row>
    <row r="27" spans="1:6" x14ac:dyDescent="0.2">
      <c r="A27" s="91" t="s">
        <v>107</v>
      </c>
      <c r="B27" s="26">
        <v>717158.32738000003</v>
      </c>
      <c r="C27" s="32">
        <v>105.85937004948353</v>
      </c>
      <c r="D27" s="26">
        <f>IF(677463.24869="","-",677463.24869/4403044.02622*100)</f>
        <v>15.386247438266023</v>
      </c>
      <c r="E27" s="26">
        <f>IF(717158.32738="","-",717158.32738/5891753.11111*100)</f>
        <v>12.172239974340815</v>
      </c>
      <c r="F27" s="34"/>
    </row>
    <row r="28" spans="1:6" x14ac:dyDescent="0.2">
      <c r="A28" s="91" t="s">
        <v>108</v>
      </c>
      <c r="B28" s="26">
        <v>11321.401030000001</v>
      </c>
      <c r="C28" s="32">
        <v>63.511605371809679</v>
      </c>
      <c r="D28" s="26">
        <f>IF(17825.72014="","-",17825.72014/4403044.02622*100)</f>
        <v>0.40484991823493816</v>
      </c>
      <c r="E28" s="26">
        <f>IF(11321.40103="","-",11321.40103/5891753.11111*100)</f>
        <v>0.1921567454795651</v>
      </c>
      <c r="F28" s="34"/>
    </row>
    <row r="29" spans="1:6" x14ac:dyDescent="0.2">
      <c r="A29" s="91" t="s">
        <v>109</v>
      </c>
      <c r="B29" s="26">
        <v>242.50068999999999</v>
      </c>
      <c r="C29" s="32">
        <v>111.77449971374287</v>
      </c>
      <c r="D29" s="26">
        <f>IF(216.95529="","-",216.95529/4403044.02622*100)</f>
        <v>4.927393155917531E-3</v>
      </c>
      <c r="E29" s="26">
        <f>IF(242.50069="","-",242.50069/5891753.11111*100)</f>
        <v>4.1159343480078906E-3</v>
      </c>
      <c r="F29" s="34"/>
    </row>
    <row r="30" spans="1:6" x14ac:dyDescent="0.2">
      <c r="A30" s="91" t="s">
        <v>110</v>
      </c>
      <c r="B30" s="26">
        <v>514694.98842000001</v>
      </c>
      <c r="C30" s="32" t="s">
        <v>315</v>
      </c>
      <c r="D30" s="26">
        <f>IF(145268.79351="","-",145268.79351/4403044.02622*100)</f>
        <v>3.2992809666432699</v>
      </c>
      <c r="E30" s="26">
        <f>IF(514694.98842="","-",514694.98842/5891753.11111*100)</f>
        <v>8.735854655033771</v>
      </c>
    </row>
    <row r="31" spans="1:6" x14ac:dyDescent="0.2">
      <c r="A31" s="91" t="s">
        <v>111</v>
      </c>
      <c r="B31" s="26">
        <v>642.89948000000004</v>
      </c>
      <c r="C31" s="96">
        <v>41.182820237939659</v>
      </c>
      <c r="D31" s="26">
        <f>IF(1561.08658="","-",1561.08658/4403044.02622*100)</f>
        <v>3.5454712028854904E-2</v>
      </c>
      <c r="E31" s="26">
        <f>IF(642.89948="","-",642.89948/5891753.11111*100)</f>
        <v>1.0911853702554051E-2</v>
      </c>
    </row>
    <row r="32" spans="1:6" x14ac:dyDescent="0.2">
      <c r="A32" s="24" t="s">
        <v>198</v>
      </c>
      <c r="B32" s="93">
        <v>1679834.75526</v>
      </c>
      <c r="C32" s="20">
        <v>128.9977476285724</v>
      </c>
      <c r="D32" s="20">
        <f>IF(1302220.22178="","-",1302220.22178/4403044.02622*100)</f>
        <v>29.575453118917643</v>
      </c>
      <c r="E32" s="20">
        <f>IF(1679834.75526="","-",1679834.75526/5891753.11111*100)</f>
        <v>28.511628433519355</v>
      </c>
    </row>
    <row r="33" spans="1:5" x14ac:dyDescent="0.2">
      <c r="A33" s="91" t="s">
        <v>119</v>
      </c>
      <c r="B33" s="32"/>
      <c r="C33" s="20"/>
      <c r="D33" s="20"/>
      <c r="E33" s="20"/>
    </row>
    <row r="34" spans="1:5" x14ac:dyDescent="0.2">
      <c r="A34" s="91" t="s">
        <v>105</v>
      </c>
      <c r="B34" s="26">
        <v>180965.09716999999</v>
      </c>
      <c r="C34" s="26" t="s">
        <v>395</v>
      </c>
      <c r="D34" s="26">
        <f>IF(12210.96855="","-",12210.96855/4403044.02622*100)</f>
        <v>0.27733014880805268</v>
      </c>
      <c r="E34" s="26">
        <f>IF(180965.09717="","-",180965.09717/5891753.11111*100)</f>
        <v>3.0714983088608472</v>
      </c>
    </row>
    <row r="35" spans="1:5" x14ac:dyDescent="0.2">
      <c r="A35" s="91" t="s">
        <v>106</v>
      </c>
      <c r="B35" s="26">
        <v>1158.7858000000001</v>
      </c>
      <c r="C35" s="26" t="s">
        <v>396</v>
      </c>
      <c r="D35" s="26">
        <f>IF(50.56074="","-",50.56074/4403044.02622*100)</f>
        <v>1.1483132964129419E-3</v>
      </c>
      <c r="E35" s="26">
        <f>IF(1158.7858="","-",1158.7858/5891753.11111*100)</f>
        <v>1.9667928681785619E-2</v>
      </c>
    </row>
    <row r="36" spans="1:5" x14ac:dyDescent="0.2">
      <c r="A36" s="91" t="s">
        <v>107</v>
      </c>
      <c r="B36" s="26">
        <v>1431784.76193</v>
      </c>
      <c r="C36" s="26">
        <v>117.5669913157146</v>
      </c>
      <c r="D36" s="26">
        <f>IF(1217845.88166="","-",1217845.88166/4403044.02622*100)</f>
        <v>27.65918020369006</v>
      </c>
      <c r="E36" s="26">
        <f>IF(1431784.76193="","-",1431784.76193/5891753.11111*100)</f>
        <v>24.301506443474398</v>
      </c>
    </row>
    <row r="37" spans="1:5" x14ac:dyDescent="0.2">
      <c r="A37" s="91" t="s">
        <v>108</v>
      </c>
      <c r="B37" s="26">
        <v>61333.244120000003</v>
      </c>
      <c r="C37" s="26">
        <v>96.224843604979867</v>
      </c>
      <c r="D37" s="26">
        <f>IF(63739.51032="","-",63739.51032/4403044.02622*100)</f>
        <v>1.4476237334996664</v>
      </c>
      <c r="E37" s="26">
        <f>IF(61333.24412="","-",61333.24412/5891753.11111*100)</f>
        <v>1.0410015994109585</v>
      </c>
    </row>
    <row r="38" spans="1:5" x14ac:dyDescent="0.2">
      <c r="A38" s="91" t="s">
        <v>109</v>
      </c>
      <c r="B38" s="26">
        <v>2145.9396400000001</v>
      </c>
      <c r="C38" s="26">
        <v>54.264241319292154</v>
      </c>
      <c r="D38" s="26">
        <f>IF(3954.61097="","-",3954.61097/4403044.02622*100)</f>
        <v>8.9815385593475919E-2</v>
      </c>
      <c r="E38" s="26">
        <f>IF(2145.93964="","-",2145.93964/5891753.11111*100)</f>
        <v>3.6422769242543965E-2</v>
      </c>
    </row>
    <row r="39" spans="1:5" x14ac:dyDescent="0.2">
      <c r="A39" s="97" t="s">
        <v>111</v>
      </c>
      <c r="B39" s="37">
        <v>2446.9265999999998</v>
      </c>
      <c r="C39" s="37">
        <v>55.376748645708197</v>
      </c>
      <c r="D39" s="37">
        <f>IF(4418.68954="","-",4418.68954/4403044.02622*100)</f>
        <v>0.10035533402997633</v>
      </c>
      <c r="E39" s="37">
        <f>IF(2446.9266="","-",2446.9266/5891753.11111*100)</f>
        <v>4.1531383848821893E-2</v>
      </c>
    </row>
    <row r="40" spans="1:5" x14ac:dyDescent="0.2">
      <c r="A40" s="98" t="s">
        <v>19</v>
      </c>
    </row>
    <row r="41" spans="1:5" x14ac:dyDescent="0.2">
      <c r="B41" s="18"/>
      <c r="C41" s="18"/>
      <c r="D41" s="18"/>
      <c r="E41" s="18"/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84"/>
  <sheetViews>
    <sheetView zoomScaleNormal="100" workbookViewId="0">
      <selection sqref="A1:XFD1048576"/>
    </sheetView>
  </sheetViews>
  <sheetFormatPr defaultRowHeight="12" x14ac:dyDescent="0.2"/>
  <cols>
    <col min="1" max="1" width="4.875" style="3" customWidth="1"/>
    <col min="2" max="2" width="26.125" style="3" customWidth="1"/>
    <col min="3" max="3" width="12" style="3" customWidth="1"/>
    <col min="4" max="4" width="10.75" style="3" customWidth="1"/>
    <col min="5" max="6" width="7.875" style="3" customWidth="1"/>
    <col min="7" max="7" width="8.75" style="3" customWidth="1"/>
    <col min="8" max="8" width="8.375" style="3" customWidth="1"/>
    <col min="9" max="9" width="9" style="3"/>
    <col min="10" max="10" width="9.125" style="3" customWidth="1"/>
    <col min="11" max="16384" width="9" style="3"/>
  </cols>
  <sheetData>
    <row r="1" spans="1:11" x14ac:dyDescent="0.2">
      <c r="B1" s="41" t="s">
        <v>413</v>
      </c>
      <c r="C1" s="41"/>
      <c r="D1" s="41"/>
      <c r="E1" s="41"/>
      <c r="F1" s="41"/>
      <c r="G1" s="41"/>
      <c r="H1" s="41"/>
    </row>
    <row r="2" spans="1:11" x14ac:dyDescent="0.2">
      <c r="B2" s="41" t="s">
        <v>276</v>
      </c>
      <c r="C2" s="41"/>
      <c r="D2" s="41"/>
      <c r="E2" s="41"/>
      <c r="F2" s="41"/>
      <c r="G2" s="41"/>
      <c r="H2" s="41"/>
    </row>
    <row r="3" spans="1:11" x14ac:dyDescent="0.2">
      <c r="B3" s="80"/>
    </row>
    <row r="4" spans="1:11" ht="57" customHeight="1" x14ac:dyDescent="0.2">
      <c r="A4" s="65" t="s">
        <v>202</v>
      </c>
      <c r="B4" s="66"/>
      <c r="C4" s="67" t="s">
        <v>364</v>
      </c>
      <c r="D4" s="45"/>
      <c r="E4" s="67" t="s">
        <v>0</v>
      </c>
      <c r="F4" s="45"/>
      <c r="G4" s="46" t="s">
        <v>101</v>
      </c>
      <c r="H4" s="68"/>
    </row>
    <row r="5" spans="1:11" ht="19.5" customHeight="1" x14ac:dyDescent="0.2">
      <c r="A5" s="69"/>
      <c r="B5" s="70"/>
      <c r="C5" s="71" t="s">
        <v>104</v>
      </c>
      <c r="D5" s="43" t="s">
        <v>365</v>
      </c>
      <c r="E5" s="72" t="s">
        <v>366</v>
      </c>
      <c r="F5" s="72"/>
      <c r="G5" s="72" t="s">
        <v>412</v>
      </c>
      <c r="H5" s="67"/>
    </row>
    <row r="6" spans="1:11" ht="33" customHeight="1" x14ac:dyDescent="0.2">
      <c r="A6" s="73"/>
      <c r="B6" s="74"/>
      <c r="C6" s="75"/>
      <c r="D6" s="47"/>
      <c r="E6" s="76" t="s">
        <v>297</v>
      </c>
      <c r="F6" s="76" t="s">
        <v>298</v>
      </c>
      <c r="G6" s="76" t="s">
        <v>297</v>
      </c>
      <c r="H6" s="49" t="s">
        <v>298</v>
      </c>
      <c r="I6" s="18"/>
    </row>
    <row r="7" spans="1:11" ht="16.5" customHeight="1" x14ac:dyDescent="0.2">
      <c r="A7" s="77"/>
      <c r="B7" s="52" t="s">
        <v>96</v>
      </c>
      <c r="C7" s="21">
        <v>2959137.7240300002</v>
      </c>
      <c r="D7" s="21">
        <f>IF(1808523.91457="","-",2959137.72403/1808523.91457*100)</f>
        <v>163.62170829980835</v>
      </c>
      <c r="E7" s="21">
        <v>100</v>
      </c>
      <c r="F7" s="21">
        <v>100</v>
      </c>
      <c r="G7" s="21">
        <f>IF(1525216.45469="","-",(1808523.91457-1525216.45469)/1525216.45469*100)</f>
        <v>18.574901877621176</v>
      </c>
      <c r="H7" s="21">
        <f>IF(1808523.91457="","-",(2959137.72403-1808523.91457)/1808523.91457*100)</f>
        <v>63.621708299808319</v>
      </c>
    </row>
    <row r="8" spans="1:11" x14ac:dyDescent="0.2">
      <c r="A8" s="54" t="s">
        <v>203</v>
      </c>
      <c r="B8" s="55" t="s">
        <v>172</v>
      </c>
      <c r="C8" s="20">
        <v>703005.35551999998</v>
      </c>
      <c r="D8" s="20" t="s">
        <v>100</v>
      </c>
      <c r="E8" s="20">
        <f>IF(370617.30668="","-",370617.30668/1808523.91457*100)</f>
        <v>20.492806519957966</v>
      </c>
      <c r="F8" s="20">
        <f>IF(703005.35552="","-",703005.35552/2959137.72403*100)</f>
        <v>23.757101597913756</v>
      </c>
      <c r="G8" s="20">
        <f>IF(1525216.45469="","-",(370617.30668-375315.37087)/1525216.45469*100)</f>
        <v>-0.30802606250106879</v>
      </c>
      <c r="H8" s="20">
        <f>IF(1808523.91457="","-",(703005.35552-370617.30668)/1808523.91457*100)</f>
        <v>18.378968957069585</v>
      </c>
    </row>
    <row r="9" spans="1:11" ht="13.5" customHeight="1" x14ac:dyDescent="0.2">
      <c r="A9" s="57" t="s">
        <v>204</v>
      </c>
      <c r="B9" s="58" t="s">
        <v>21</v>
      </c>
      <c r="C9" s="26">
        <v>4044.1605599999998</v>
      </c>
      <c r="D9" s="26">
        <f>IF(OR(6461.95654="",4044.16056=""),"-",4044.16056/6461.95654*100)</f>
        <v>62.584149784455214</v>
      </c>
      <c r="E9" s="26">
        <f>IF(6461.95654="","-",6461.95654/1808523.91457*100)</f>
        <v>0.35730556217369203</v>
      </c>
      <c r="F9" s="26">
        <f>IF(4044.16056="","-",4044.16056/2959137.72403*100)</f>
        <v>0.13666685829317621</v>
      </c>
      <c r="G9" s="26">
        <f>IF(OR(1525216.45469="",7626.76778="",6461.95654=""),"-",(6461.95654-7626.76778)/1525216.45469*100)</f>
        <v>-7.6370225119079746E-2</v>
      </c>
      <c r="H9" s="26">
        <f>IF(OR(1808523.91457="",4044.16056="",6461.95654=""),"-",(4044.16056-6461.95654)/1808523.91457*100)</f>
        <v>-0.13368891395471885</v>
      </c>
      <c r="I9" s="81"/>
      <c r="J9" s="82"/>
      <c r="K9" s="83"/>
    </row>
    <row r="10" spans="1:11" x14ac:dyDescent="0.2">
      <c r="A10" s="57" t="s">
        <v>205</v>
      </c>
      <c r="B10" s="58" t="s">
        <v>173</v>
      </c>
      <c r="C10" s="26">
        <v>2411.6686100000002</v>
      </c>
      <c r="D10" s="26">
        <f>IF(OR(4711.27935="",2411.66861=""),"-",2411.66861/4711.27935*100)</f>
        <v>51.189250962161694</v>
      </c>
      <c r="E10" s="26">
        <f>IF(4711.27935="","-",4711.27935/1808523.91457*100)</f>
        <v>0.2605041222869407</v>
      </c>
      <c r="F10" s="26">
        <f>IF(2411.66861="","-",2411.66861/2959137.72403*100)</f>
        <v>8.1499032316602993E-2</v>
      </c>
      <c r="G10" s="26">
        <f>IF(OR(1525216.45469="",2570.63147="",4711.27935=""),"-",(4711.27935-2570.63147)/1525216.45469*100)</f>
        <v>0.14035043179724194</v>
      </c>
      <c r="H10" s="26">
        <f>IF(OR(1808523.91457="",2411.66861="",4711.27935=""),"-",(2411.66861-4711.27935)/1808523.91457*100)</f>
        <v>-0.12715401336270202</v>
      </c>
      <c r="I10" s="84"/>
      <c r="J10" s="85"/>
      <c r="K10" s="86"/>
    </row>
    <row r="11" spans="1:11" s="29" customFormat="1" x14ac:dyDescent="0.2">
      <c r="A11" s="57" t="s">
        <v>206</v>
      </c>
      <c r="B11" s="58" t="s">
        <v>174</v>
      </c>
      <c r="C11" s="26">
        <v>10992.80221</v>
      </c>
      <c r="D11" s="26">
        <f>IF(OR(7748.23593="",10992.80221=""),"-",10992.80221/7748.23593*100)</f>
        <v>141.87490300130807</v>
      </c>
      <c r="E11" s="26">
        <f>IF(7748.23593="","-",7748.23593/1808523.91457*100)</f>
        <v>0.42842872397638404</v>
      </c>
      <c r="F11" s="26">
        <f>IF(10992.80221="","-",10992.80221/2959137.72403*100)</f>
        <v>0.37148667061798957</v>
      </c>
      <c r="G11" s="26">
        <f>IF(OR(1525216.45469="",7113.12361="",7748.23593=""),"-",(7748.23593-7113.12361)/1525216.45469*100)</f>
        <v>4.1640799117203774E-2</v>
      </c>
      <c r="H11" s="26">
        <f>IF(OR(1808523.91457="",10992.80221="",7748.23593=""),"-",(10992.80221-7748.23593)/1808523.91457*100)</f>
        <v>0.17940411259485267</v>
      </c>
      <c r="I11" s="84"/>
      <c r="J11" s="85"/>
      <c r="K11" s="86"/>
    </row>
    <row r="12" spans="1:11" s="29" customFormat="1" x14ac:dyDescent="0.2">
      <c r="A12" s="57" t="s">
        <v>207</v>
      </c>
      <c r="B12" s="58" t="s">
        <v>175</v>
      </c>
      <c r="C12" s="26">
        <v>56.987340000000003</v>
      </c>
      <c r="D12" s="26">
        <f>IF(OR(39.54038="",56.98734=""),"-",56.98734/39.54038*100)</f>
        <v>144.12441155092591</v>
      </c>
      <c r="E12" s="26">
        <f>IF(39.54038="","-",39.54038/1808523.91457*100)</f>
        <v>2.1863343736541765E-3</v>
      </c>
      <c r="F12" s="26">
        <f>IF(56.98734="","-",56.98734/2959137.72403*100)</f>
        <v>1.9258089793262442E-3</v>
      </c>
      <c r="G12" s="26">
        <f>IF(OR(1525216.45469="",2.95359="",39.54038=""),"-",(39.54038-2.95359)/1525216.45469*100)</f>
        <v>2.3987932917650208E-3</v>
      </c>
      <c r="H12" s="26">
        <f>IF(OR(1808523.91457="",56.98734="",39.54038=""),"-",(56.98734-39.54038)/1808523.91457*100)</f>
        <v>9.6470717691052722E-4</v>
      </c>
      <c r="I12" s="84"/>
      <c r="J12" s="85"/>
      <c r="K12" s="86"/>
    </row>
    <row r="13" spans="1:11" s="29" customFormat="1" ht="15.75" customHeight="1" x14ac:dyDescent="0.2">
      <c r="A13" s="57" t="s">
        <v>208</v>
      </c>
      <c r="B13" s="58" t="s">
        <v>176</v>
      </c>
      <c r="C13" s="26">
        <v>384047.74034000002</v>
      </c>
      <c r="D13" s="26" t="s">
        <v>336</v>
      </c>
      <c r="E13" s="26">
        <f>IF(147338.79637="","-",147338.79637/1808523.91457*100)</f>
        <v>8.1469089340204661</v>
      </c>
      <c r="F13" s="26">
        <f>IF(384047.74034="","-",384047.74034/2959137.72403*100)</f>
        <v>12.9783665431081</v>
      </c>
      <c r="G13" s="26">
        <f>IF(OR(1525216.45469="",122321.37499="",147338.79637=""),"-",(147338.79637-122321.37499)/1525216.45469*100)</f>
        <v>1.6402538343375521</v>
      </c>
      <c r="H13" s="26">
        <f>IF(OR(1808523.91457="",384047.74034="",147338.79637=""),"-",(384047.74034-147338.79637)/1808523.91457*100)</f>
        <v>13.088516113223786</v>
      </c>
      <c r="I13" s="84"/>
      <c r="J13" s="85"/>
      <c r="K13" s="86"/>
    </row>
    <row r="14" spans="1:11" s="29" customFormat="1" ht="15.75" customHeight="1" x14ac:dyDescent="0.2">
      <c r="A14" s="57" t="s">
        <v>209</v>
      </c>
      <c r="B14" s="58" t="s">
        <v>177</v>
      </c>
      <c r="C14" s="26">
        <v>234028.70006999999</v>
      </c>
      <c r="D14" s="26">
        <f>IF(OR(172537.58392="",234028.70007=""),"-",234028.70007/172537.58392*100)</f>
        <v>135.63925885186347</v>
      </c>
      <c r="E14" s="26">
        <f>IF(172537.58392="","-",172537.58392/1808523.91457*100)</f>
        <v>9.5402434289083242</v>
      </c>
      <c r="F14" s="26">
        <f>IF(234028.70007="","-",234028.70007/2959137.72403*100)</f>
        <v>7.9086788752528978</v>
      </c>
      <c r="G14" s="26">
        <f>IF(OR(1525216.45469="",198780.64648="",172537.58392=""),"-",(172537.58392-198780.64648)/1525216.45469*100)</f>
        <v>-1.7206123418943766</v>
      </c>
      <c r="H14" s="26">
        <f>IF(OR(1808523.91457="",234028.70007="",172537.58392=""),"-",(234028.70007-172537.58392)/1808523.91457*100)</f>
        <v>3.4000720507265338</v>
      </c>
      <c r="I14" s="84"/>
      <c r="J14" s="85"/>
      <c r="K14" s="86"/>
    </row>
    <row r="15" spans="1:11" s="29" customFormat="1" ht="24" x14ac:dyDescent="0.2">
      <c r="A15" s="57" t="s">
        <v>210</v>
      </c>
      <c r="B15" s="58" t="s">
        <v>135</v>
      </c>
      <c r="C15" s="26">
        <v>15275.39985</v>
      </c>
      <c r="D15" s="26">
        <f>IF(OR(10522.9307="",15275.39985=""),"-",15275.39985/10522.9307*100)</f>
        <v>145.16298059436997</v>
      </c>
      <c r="E15" s="26">
        <f>IF(10522.9307="","-",10522.9307/1808523.91457*100)</f>
        <v>0.5818518967443107</v>
      </c>
      <c r="F15" s="26">
        <f>IF(15275.39985="","-",15275.39985/2959137.72403*100)</f>
        <v>0.51621118293868007</v>
      </c>
      <c r="G15" s="26">
        <f>IF(OR(1525216.45469="",12258.45615="",10522.9307=""),"-",(10522.9307-12258.45615)/1525216.45469*100)</f>
        <v>-0.11378879664347342</v>
      </c>
      <c r="H15" s="26">
        <f>IF(OR(1808523.91457="",15275.39985="",10522.9307=""),"-",(15275.39985-10522.9307)/1808523.91457*100)</f>
        <v>0.2627816592146065</v>
      </c>
      <c r="I15" s="84"/>
      <c r="J15" s="85"/>
      <c r="K15" s="86"/>
    </row>
    <row r="16" spans="1:11" s="29" customFormat="1" ht="24" x14ac:dyDescent="0.2">
      <c r="A16" s="57" t="s">
        <v>211</v>
      </c>
      <c r="B16" s="58" t="s">
        <v>178</v>
      </c>
      <c r="C16" s="26">
        <v>7083.1087399999997</v>
      </c>
      <c r="D16" s="26">
        <f>IF(OR(6211.4466="",7083.10874=""),"-",7083.10874/6211.4466*100)</f>
        <v>114.03315839501865</v>
      </c>
      <c r="E16" s="26">
        <f>IF(6211.4466="","-",6211.4466/1808523.91457*100)</f>
        <v>0.34345393776431493</v>
      </c>
      <c r="F16" s="26">
        <f>IF(7083.10874="","-",7083.10874/2959137.72403*100)</f>
        <v>0.23936394316766146</v>
      </c>
      <c r="G16" s="26">
        <f>IF(OR(1525216.45469="",4950.3525="",6211.4466=""),"-",(6211.4466-4950.3525)/1525216.45469*100)</f>
        <v>8.2682959269300402E-2</v>
      </c>
      <c r="H16" s="26">
        <f>IF(OR(1808523.91457="",7083.10874="",6211.4466=""),"-",(7083.10874-6211.4466)/1808523.91457*100)</f>
        <v>4.8197435100395036E-2</v>
      </c>
      <c r="I16" s="84"/>
      <c r="J16" s="85"/>
      <c r="K16" s="86"/>
    </row>
    <row r="17" spans="1:11" s="29" customFormat="1" ht="24" x14ac:dyDescent="0.2">
      <c r="A17" s="57" t="s">
        <v>212</v>
      </c>
      <c r="B17" s="58" t="s">
        <v>136</v>
      </c>
      <c r="C17" s="26">
        <v>39526.389009999999</v>
      </c>
      <c r="D17" s="26" t="s">
        <v>385</v>
      </c>
      <c r="E17" s="26">
        <f>IF(11490.7167="","-",11490.7167/1808523.91457*100)</f>
        <v>0.63536437685050284</v>
      </c>
      <c r="F17" s="26">
        <f>IF(39526.38901="","-",39526.38901/2959137.72403*100)</f>
        <v>1.3357400937787267</v>
      </c>
      <c r="G17" s="26">
        <f>IF(OR(1525216.45469="",17519.96717="",11490.7167=""),"-",(11490.7167-17519.96717)/1525216.45469*100)</f>
        <v>-0.39530457801318719</v>
      </c>
      <c r="H17" s="26">
        <f>IF(OR(1808523.91457="",39526.38901="",11490.7167=""),"-",(39526.38901-11490.7167)/1808523.91457*100)</f>
        <v>1.5501963830357113</v>
      </c>
      <c r="I17" s="84"/>
      <c r="J17" s="85"/>
      <c r="K17" s="86"/>
    </row>
    <row r="18" spans="1:11" s="29" customFormat="1" ht="24" x14ac:dyDescent="0.2">
      <c r="A18" s="57" t="s">
        <v>213</v>
      </c>
      <c r="B18" s="58" t="s">
        <v>179</v>
      </c>
      <c r="C18" s="26">
        <v>5538.3987900000002</v>
      </c>
      <c r="D18" s="26">
        <f>IF(OR(3554.82019="",5538.39879=""),"-",5538.39879/3554.82019*100)</f>
        <v>155.79968870380475</v>
      </c>
      <c r="E18" s="26">
        <f>IF(3554.82019="","-",3554.82019/1808523.91457*100)</f>
        <v>0.19655920285937739</v>
      </c>
      <c r="F18" s="26">
        <f>IF(5538.39879="","-",5538.39879/2959137.72403*100)</f>
        <v>0.1871625894605996</v>
      </c>
      <c r="G18" s="26">
        <f>IF(OR(1525216.45469="",2171.09713="",3554.82019=""),"-",(3554.82019-2171.09713)/1525216.45469*100)</f>
        <v>9.072306135598579E-2</v>
      </c>
      <c r="H18" s="26">
        <f>IF(OR(1808523.91457="",5538.39879="",3554.82019=""),"-",(5538.39879-3554.82019)/1808523.91457*100)</f>
        <v>0.10967942331421268</v>
      </c>
      <c r="I18" s="84"/>
      <c r="J18" s="85"/>
      <c r="K18" s="86"/>
    </row>
    <row r="19" spans="1:11" s="29" customFormat="1" x14ac:dyDescent="0.2">
      <c r="A19" s="54" t="s">
        <v>214</v>
      </c>
      <c r="B19" s="55" t="s">
        <v>180</v>
      </c>
      <c r="C19" s="20">
        <v>114068.83811</v>
      </c>
      <c r="D19" s="20">
        <f>IF(131077.36676="","-",114068.83811/131077.36676*100)</f>
        <v>87.02405375510611</v>
      </c>
      <c r="E19" s="20">
        <f>IF(131077.36676="","-",131077.36676/1808523.91457*100)</f>
        <v>7.2477541327489359</v>
      </c>
      <c r="F19" s="20">
        <f>IF(114068.83811="","-",114068.83811/2959137.72403*100)</f>
        <v>3.8547999028126188</v>
      </c>
      <c r="G19" s="20">
        <f>IF(1525216.45469="","-",(131077.36676-114131.32955)/1525216.45469*100)</f>
        <v>1.1110578539781284</v>
      </c>
      <c r="H19" s="20">
        <f>IF(1808523.91457="","-",(114068.83811-131077.36676)/1808523.91457*100)</f>
        <v>-0.9404646802275769</v>
      </c>
      <c r="I19" s="84"/>
      <c r="J19" s="85"/>
      <c r="K19" s="86"/>
    </row>
    <row r="20" spans="1:11" s="29" customFormat="1" x14ac:dyDescent="0.2">
      <c r="A20" s="57" t="s">
        <v>215</v>
      </c>
      <c r="B20" s="58" t="s">
        <v>181</v>
      </c>
      <c r="C20" s="26">
        <v>107557.42333000001</v>
      </c>
      <c r="D20" s="26">
        <f>IF(OR(123162.38996="",107557.42333=""),"-",107557.42333/123162.38996*100)</f>
        <v>87.329763059105886</v>
      </c>
      <c r="E20" s="26">
        <f>IF(123162.38996="","-",123162.38996/1808523.91457*100)</f>
        <v>6.8101056871721521</v>
      </c>
      <c r="F20" s="26">
        <f>IF(107557.42333="","-",107557.42333/2959137.72403*100)</f>
        <v>3.6347555727659526</v>
      </c>
      <c r="G20" s="26">
        <f>IF(OR(1525216.45469="",108521.85306="",123162.38996=""),"-",(123162.38996-108521.85306)/1525216.45469*100)</f>
        <v>0.95989896089704141</v>
      </c>
      <c r="H20" s="26">
        <f>IF(OR(1808523.91457="",107557.42333="",123162.38996=""),"-",(107557.42333-123162.38996)/1808523.91457*100)</f>
        <v>-0.86285652649001765</v>
      </c>
      <c r="I20" s="81"/>
      <c r="J20" s="82"/>
      <c r="K20" s="83"/>
    </row>
    <row r="21" spans="1:11" s="29" customFormat="1" x14ac:dyDescent="0.2">
      <c r="A21" s="57" t="s">
        <v>216</v>
      </c>
      <c r="B21" s="58" t="s">
        <v>182</v>
      </c>
      <c r="C21" s="26">
        <v>6511.4147800000001</v>
      </c>
      <c r="D21" s="26">
        <f>IF(OR(7914.9768="",6511.41478=""),"-",6511.41478/7914.9768*100)</f>
        <v>82.267010308861543</v>
      </c>
      <c r="E21" s="26">
        <f>IF(7914.9768="","-",7914.9768/1808523.91457*100)</f>
        <v>0.43764844557678351</v>
      </c>
      <c r="F21" s="26">
        <f>IF(6511.41478="","-",6511.41478/2959137.72403*100)</f>
        <v>0.22004433004666688</v>
      </c>
      <c r="G21" s="26">
        <f>IF(OR(1525216.45469="",5609.47649="",7914.9768=""),"-",(7914.9768-5609.47649)/1525216.45469*100)</f>
        <v>0.15115889308108685</v>
      </c>
      <c r="H21" s="26">
        <f>IF(OR(1808523.91457="",6511.41478="",7914.9768=""),"-",(6511.41478-7914.9768)/1808523.91457*100)</f>
        <v>-7.7608153737558694E-2</v>
      </c>
      <c r="I21" s="84"/>
      <c r="J21" s="85"/>
      <c r="K21" s="86"/>
    </row>
    <row r="22" spans="1:11" s="29" customFormat="1" ht="24" x14ac:dyDescent="0.2">
      <c r="A22" s="54" t="s">
        <v>217</v>
      </c>
      <c r="B22" s="55" t="s">
        <v>22</v>
      </c>
      <c r="C22" s="20">
        <v>363306.79061999999</v>
      </c>
      <c r="D22" s="20" t="s">
        <v>100</v>
      </c>
      <c r="E22" s="20">
        <f>IF(187153.82726="","-",187153.82726/1808523.91457*100)</f>
        <v>10.348429774814354</v>
      </c>
      <c r="F22" s="20">
        <f>IF(363306.79062="","-",363306.79062/2959137.72403*100)</f>
        <v>12.277454600025123</v>
      </c>
      <c r="G22" s="20">
        <f>IF(1525216.45469="","-",(187153.82726-128618.68518)/1525216.45469*100)</f>
        <v>3.8378252411325606</v>
      </c>
      <c r="H22" s="20">
        <f>IF(1808523.91457="","-",(363306.79062-187153.82726)/1808523.91457*100)</f>
        <v>9.7401511774801524</v>
      </c>
      <c r="I22" s="84"/>
      <c r="J22" s="85"/>
      <c r="K22" s="86"/>
    </row>
    <row r="23" spans="1:11" s="29" customFormat="1" ht="15" customHeight="1" x14ac:dyDescent="0.2">
      <c r="A23" s="57" t="s">
        <v>218</v>
      </c>
      <c r="B23" s="58" t="s">
        <v>189</v>
      </c>
      <c r="C23" s="26">
        <v>847.87945000000002</v>
      </c>
      <c r="D23" s="26">
        <f>IF(OR(881.74865="",847.87945=""),"-",847.87945/881.74865*100)</f>
        <v>96.158860010729825</v>
      </c>
      <c r="E23" s="26">
        <f>IF(881.74865="","-",881.74865/1808523.91457*100)</f>
        <v>4.8755155676757922E-2</v>
      </c>
      <c r="F23" s="26">
        <f>IF(847.87945="","-",847.87945/2959137.72403*100)</f>
        <v>2.8652922880699424E-2</v>
      </c>
      <c r="G23" s="26">
        <f>IF(OR(1525216.45469="",805.19316="",881.74865=""),"-",(881.74865-805.19316)/1525216.45469*100)</f>
        <v>5.0193197014491856E-3</v>
      </c>
      <c r="H23" s="26">
        <f>IF(OR(1808523.91457="",847.87945="",881.74865=""),"-",(847.87945-881.74865)/1808523.91457*100)</f>
        <v>-1.8727537815308799E-3</v>
      </c>
      <c r="I23" s="81"/>
      <c r="J23" s="82"/>
      <c r="K23" s="83"/>
    </row>
    <row r="24" spans="1:11" s="29" customFormat="1" ht="15" customHeight="1" x14ac:dyDescent="0.2">
      <c r="A24" s="57" t="s">
        <v>219</v>
      </c>
      <c r="B24" s="58" t="s">
        <v>183</v>
      </c>
      <c r="C24" s="26">
        <v>296812.72528000001</v>
      </c>
      <c r="D24" s="26" t="s">
        <v>340</v>
      </c>
      <c r="E24" s="26">
        <f>IF(116753.47548="","-",116753.47548/1808523.91457*100)</f>
        <v>6.4557330173739862</v>
      </c>
      <c r="F24" s="26">
        <f>IF(296812.72528="","-",296812.72528/2959137.72403*100)</f>
        <v>10.030378879282974</v>
      </c>
      <c r="G24" s="26">
        <f>IF(OR(1525216.45469="",104836.63834="",116753.47548=""),"-",(116753.47548-104836.63834)/1525216.45469*100)</f>
        <v>0.78132104484947251</v>
      </c>
      <c r="H24" s="26">
        <f>IF(OR(1808523.91457="",296812.72528="",116753.47548=""),"-",(296812.72528-116753.47548)/1808523.91457*100)</f>
        <v>9.9561442538519849</v>
      </c>
      <c r="I24" s="84"/>
      <c r="J24" s="85"/>
      <c r="K24" s="86"/>
    </row>
    <row r="25" spans="1:11" s="29" customFormat="1" ht="15" customHeight="1" x14ac:dyDescent="0.2">
      <c r="A25" s="57" t="s">
        <v>272</v>
      </c>
      <c r="B25" s="58" t="s">
        <v>184</v>
      </c>
      <c r="C25" s="26">
        <v>50.69014</v>
      </c>
      <c r="D25" s="26" t="s">
        <v>397</v>
      </c>
      <c r="E25" s="26">
        <f>IF(0.54018="","-",0.54018/1808523.91457*100)</f>
        <v>2.986855720558358E-5</v>
      </c>
      <c r="F25" s="26">
        <f>IF(50.69014="","-",50.69014/2959137.72403*100)</f>
        <v>1.7130037439070578E-3</v>
      </c>
      <c r="G25" s="26">
        <f>IF(OR(1525216.45469="",0.14712="",0.54018=""),"-",(0.54018-0.14712)/1525216.45469*100)</f>
        <v>2.5770768391027444E-5</v>
      </c>
      <c r="H25" s="26">
        <f>IF(OR(1808523.91457="",50.69014="",0.54018=""),"-",(50.69014-0.54018)/1808523.91457*100)</f>
        <v>2.7729774318148181E-3</v>
      </c>
      <c r="I25" s="84"/>
      <c r="J25" s="85"/>
      <c r="K25" s="86"/>
    </row>
    <row r="26" spans="1:11" s="29" customFormat="1" x14ac:dyDescent="0.2">
      <c r="A26" s="57" t="s">
        <v>220</v>
      </c>
      <c r="B26" s="58" t="s">
        <v>185</v>
      </c>
      <c r="C26" s="26">
        <v>2299.7831700000002</v>
      </c>
      <c r="D26" s="26">
        <f>IF(OR(1584.99115="",2299.78317=""),"-",2299.78317/1584.99115*100)</f>
        <v>145.09754013453008</v>
      </c>
      <c r="E26" s="26">
        <f>IF(1584.99115="","-",1584.99115/1808523.91457*100)</f>
        <v>8.7640043752302388E-2</v>
      </c>
      <c r="F26" s="26">
        <f>IF(2299.78317="","-",2299.78317/2959137.72403*100)</f>
        <v>7.7718017357703922E-2</v>
      </c>
      <c r="G26" s="26">
        <f>IF(OR(1525216.45469="",995.91827="",1584.99115=""),"-",(1584.99115-995.91827)/1525216.45469*100)</f>
        <v>3.8622247890692275E-2</v>
      </c>
      <c r="H26" s="26">
        <f>IF(OR(1808523.91457="",2299.78317="",1584.99115=""),"-",(2299.78317-1584.99115)/1808523.91457*100)</f>
        <v>3.9523503905114311E-2</v>
      </c>
      <c r="I26" s="84"/>
      <c r="J26" s="85"/>
      <c r="K26" s="86"/>
    </row>
    <row r="27" spans="1:11" s="29" customFormat="1" ht="14.25" customHeight="1" x14ac:dyDescent="0.2">
      <c r="A27" s="57" t="s">
        <v>221</v>
      </c>
      <c r="B27" s="58" t="s">
        <v>137</v>
      </c>
      <c r="C27" s="26">
        <v>3550.02927</v>
      </c>
      <c r="D27" s="26">
        <f>IF(OR(3344.7414="",3550.02927=""),"-",3550.02927/3344.7414*100)</f>
        <v>106.13763055045153</v>
      </c>
      <c r="E27" s="26">
        <f>IF(3344.7414="","-",3344.7414/1808523.91457*100)</f>
        <v>0.18494316680325765</v>
      </c>
      <c r="F27" s="26">
        <f>IF(3550.02927="","-",3550.02927/2959137.72403*100)</f>
        <v>0.11996836920335274</v>
      </c>
      <c r="G27" s="26">
        <f>IF(OR(1525216.45469="",1221.62514="",3344.7414=""),"-",(3344.7414-1221.62514)/1525216.45469*100)</f>
        <v>0.13920098052125479</v>
      </c>
      <c r="H27" s="26">
        <f>IF(OR(1808523.91457="",3550.02927="",3344.7414=""),"-",(3550.02927-3344.7414)/1808523.91457*100)</f>
        <v>1.1351128306689268E-2</v>
      </c>
      <c r="I27" s="84"/>
      <c r="J27" s="85"/>
      <c r="K27" s="86"/>
    </row>
    <row r="28" spans="1:11" s="29" customFormat="1" ht="36" x14ac:dyDescent="0.2">
      <c r="A28" s="57" t="s">
        <v>222</v>
      </c>
      <c r="B28" s="58" t="s">
        <v>138</v>
      </c>
      <c r="C28" s="26">
        <v>69.694929999999999</v>
      </c>
      <c r="D28" s="26">
        <f>IF(OR(154.55913="",69.69493=""),"-",69.69493/154.55913*100)</f>
        <v>45.09272923573004</v>
      </c>
      <c r="E28" s="26">
        <f>IF(154.55913="","-",154.55913/1808523.91457*100)</f>
        <v>8.5461479803958483E-3</v>
      </c>
      <c r="F28" s="26">
        <f>IF(69.69493="","-",69.69493/2959137.72403*100)</f>
        <v>2.3552445509391041E-3</v>
      </c>
      <c r="G28" s="26">
        <f>IF(OR(1525216.45469="",106.70396="",154.55913=""),"-",(154.55913-106.70396)/1525216.45469*100)</f>
        <v>3.1375985915210033E-3</v>
      </c>
      <c r="H28" s="26">
        <f>IF(OR(1808523.91457="",69.69493="",154.55913=""),"-",(69.69493-154.55913)/1808523.91457*100)</f>
        <v>-4.692456611511138E-3</v>
      </c>
      <c r="I28" s="84"/>
      <c r="J28" s="85"/>
      <c r="K28" s="86"/>
    </row>
    <row r="29" spans="1:11" s="29" customFormat="1" ht="36" x14ac:dyDescent="0.2">
      <c r="A29" s="57" t="s">
        <v>223</v>
      </c>
      <c r="B29" s="58" t="s">
        <v>139</v>
      </c>
      <c r="C29" s="26">
        <v>12488.059069999999</v>
      </c>
      <c r="D29" s="26" t="s">
        <v>346</v>
      </c>
      <c r="E29" s="26">
        <f>IF(5336.47085="","-",5336.47085/1808523.91457*100)</f>
        <v>0.29507328086777412</v>
      </c>
      <c r="F29" s="26">
        <f>IF(12488.05907="","-",12488.05907/2959137.72403*100)</f>
        <v>0.42201682498889304</v>
      </c>
      <c r="G29" s="26">
        <f>IF(OR(1525216.45469="",5807.75496="",5336.47085=""),"-",(5336.47085-5807.75496)/1525216.45469*100)</f>
        <v>-3.0899490269123073E-2</v>
      </c>
      <c r="H29" s="26">
        <f>IF(OR(1808523.91457="",12488.05907="",5336.47085=""),"-",(12488.05907-5336.47085)/1808523.91457*100)</f>
        <v>0.39543785749166516</v>
      </c>
      <c r="I29" s="84"/>
      <c r="J29" s="85"/>
      <c r="K29" s="86"/>
    </row>
    <row r="30" spans="1:11" s="29" customFormat="1" ht="24" x14ac:dyDescent="0.2">
      <c r="A30" s="57" t="s">
        <v>224</v>
      </c>
      <c r="B30" s="58" t="s">
        <v>140</v>
      </c>
      <c r="C30" s="26">
        <v>44813.578710000002</v>
      </c>
      <c r="D30" s="26">
        <f>IF(OR(56766.26735="",44813.57871=""),"-",44813.57871/56766.26735*100)</f>
        <v>78.944029266000342</v>
      </c>
      <c r="E30" s="26">
        <f>IF(56766.26735="","-",56766.26735/1808523.91457*100)</f>
        <v>3.1388176231828768</v>
      </c>
      <c r="F30" s="26">
        <f>IF(44813.57871="","-",44813.57871/2959137.72403*100)</f>
        <v>1.5144134166546712</v>
      </c>
      <c r="G30" s="26">
        <f>IF(OR(1525216.45469="",12077.09906="",56766.26735=""),"-",(56766.26735-12077.09906)/1525216.45469*100)</f>
        <v>2.9300213850028953</v>
      </c>
      <c r="H30" s="26">
        <f>IF(OR(1808523.91457="",44813.57871="",56766.26735=""),"-",(44813.57871-56766.26735)/1808523.91457*100)</f>
        <v>-0.66090852013101009</v>
      </c>
      <c r="I30" s="84"/>
      <c r="J30" s="85"/>
      <c r="K30" s="86"/>
    </row>
    <row r="31" spans="1:11" s="29" customFormat="1" ht="24" x14ac:dyDescent="0.2">
      <c r="A31" s="57" t="s">
        <v>225</v>
      </c>
      <c r="B31" s="58" t="s">
        <v>141</v>
      </c>
      <c r="C31" s="26">
        <v>2374.3506000000002</v>
      </c>
      <c r="D31" s="26">
        <f>IF(OR(2331.03307="",2374.3506=""),"-",2374.3506/2331.03307*100)</f>
        <v>101.85829753157472</v>
      </c>
      <c r="E31" s="26">
        <f>IF(2331.03307="","-",2331.03307/1808523.91457*100)</f>
        <v>0.1288914706197973</v>
      </c>
      <c r="F31" s="26">
        <f>IF(2374.3506="","-",2374.3506/2959137.72403*100)</f>
        <v>8.0237921361984182E-2</v>
      </c>
      <c r="G31" s="26">
        <f>IF(OR(1525216.45469="",2767.60517="",2331.03307=""),"-",(2331.03307-2767.60517)/1525216.45469*100)</f>
        <v>-2.8623615923992447E-2</v>
      </c>
      <c r="H31" s="26">
        <f>IF(OR(1808523.91457="",2374.3506="",2331.03307=""),"-",(2374.3506-2331.03307)/1808523.91457*100)</f>
        <v>2.3951870169380404E-3</v>
      </c>
      <c r="I31" s="84"/>
      <c r="J31" s="85"/>
      <c r="K31" s="86"/>
    </row>
    <row r="32" spans="1:11" s="29" customFormat="1" ht="24" x14ac:dyDescent="0.2">
      <c r="A32" s="54" t="s">
        <v>226</v>
      </c>
      <c r="B32" s="55" t="s">
        <v>142</v>
      </c>
      <c r="C32" s="20">
        <v>337486.94611000002</v>
      </c>
      <c r="D32" s="20" t="s">
        <v>398</v>
      </c>
      <c r="E32" s="20">
        <f>IF(14005.74533="","-",14005.74533/1808523.91457*100)</f>
        <v>0.77442964492565458</v>
      </c>
      <c r="F32" s="20">
        <f>IF(337486.94611="","-",337486.94611/2959137.72403*100)</f>
        <v>11.40490837480799</v>
      </c>
      <c r="G32" s="20">
        <f>IF(1525216.45469="","-",(14005.74533-5138.29062)/1525216.45469*100)</f>
        <v>0.58138991896742342</v>
      </c>
      <c r="H32" s="20">
        <f>IF(1808523.91457="","-",(337486.94611-14005.74533)/1808523.91457*100)</f>
        <v>17.886476267963083</v>
      </c>
      <c r="I32" s="84"/>
      <c r="J32" s="85"/>
      <c r="K32" s="86"/>
    </row>
    <row r="33" spans="1:11" s="29" customFormat="1" x14ac:dyDescent="0.2">
      <c r="A33" s="57" t="s">
        <v>227</v>
      </c>
      <c r="B33" s="58" t="s">
        <v>186</v>
      </c>
      <c r="C33" s="26">
        <v>687.53272000000004</v>
      </c>
      <c r="D33" s="26" t="s">
        <v>194</v>
      </c>
      <c r="E33" s="26">
        <f>IF(379.90658="","-",379.90658/1808523.91457*100)</f>
        <v>2.1006444921151498E-2</v>
      </c>
      <c r="F33" s="26">
        <f>IF(687.53272="","-",687.53272/2959137.72403*100)</f>
        <v>2.3234225106077883E-2</v>
      </c>
      <c r="G33" s="26">
        <f>IF(OR(1525216.45469="",56.85568="",379.90658=""),"-",(379.90658-56.85568)/1525216.45469*100)</f>
        <v>2.1180659243914334E-2</v>
      </c>
      <c r="H33" s="26">
        <f>IF(OR(1808523.91457="",687.53272="",379.90658=""),"-",(687.53272-379.90658)/1808523.91457*100)</f>
        <v>1.7009791107636091E-2</v>
      </c>
      <c r="I33" s="81"/>
      <c r="J33" s="82"/>
      <c r="K33" s="83"/>
    </row>
    <row r="34" spans="1:11" s="29" customFormat="1" ht="24" x14ac:dyDescent="0.2">
      <c r="A34" s="57" t="s">
        <v>228</v>
      </c>
      <c r="B34" s="58" t="s">
        <v>143</v>
      </c>
      <c r="C34" s="26">
        <v>322560.32283000002</v>
      </c>
      <c r="D34" s="26" t="s">
        <v>399</v>
      </c>
      <c r="E34" s="26">
        <f>IF(13621.97171="","-",13621.97171/1808523.91457*100)</f>
        <v>0.75320937700947133</v>
      </c>
      <c r="F34" s="26">
        <f>IF(322560.32283="","-",322560.32283/2959137.72403*100)</f>
        <v>10.900483617596226</v>
      </c>
      <c r="G34" s="26">
        <f>IF(OR(1525216.45469="",4551.07657="",13621.97171=""),"-",(13621.97171-4551.07657)/1525216.45469*100)</f>
        <v>0.59472838180490639</v>
      </c>
      <c r="H34" s="26">
        <f>IF(OR(1808523.91457="",322560.32283="",13621.97171=""),"-",(322560.32283-13621.97171)/1808523.91457*100)</f>
        <v>17.08234813104222</v>
      </c>
      <c r="I34" s="84"/>
      <c r="J34" s="85"/>
      <c r="K34" s="86"/>
    </row>
    <row r="35" spans="1:11" s="29" customFormat="1" ht="24" x14ac:dyDescent="0.2">
      <c r="A35" s="87" t="s">
        <v>273</v>
      </c>
      <c r="B35" s="58" t="s">
        <v>328</v>
      </c>
      <c r="C35" s="26">
        <v>5603.1826499999997</v>
      </c>
      <c r="D35" s="26" t="str">
        <f>IF(OR(""="",5603.18265=""),"-",5603.18265/""*100)</f>
        <v>-</v>
      </c>
      <c r="E35" s="26" t="str">
        <f>IF(""="","-",""/1808523.91457*100)</f>
        <v>-</v>
      </c>
      <c r="F35" s="26">
        <f>IF(5603.18265="","-",5603.18265/2959137.72403*100)</f>
        <v>0.18935187113795834</v>
      </c>
      <c r="G35" s="26" t="str">
        <f>IF(OR(1525216.45469="",525.37764="",""=""),"-",(""-525.37764)/1525216.45469*100)</f>
        <v>-</v>
      </c>
      <c r="H35" s="26" t="str">
        <f>IF(OR(1808523.91457="",5603.18265="",""=""),"-",(5603.18265-"")/1808523.91457*100)</f>
        <v>-</v>
      </c>
      <c r="I35" s="84"/>
      <c r="J35" s="85"/>
      <c r="K35" s="86"/>
    </row>
    <row r="36" spans="1:11" s="29" customFormat="1" x14ac:dyDescent="0.2">
      <c r="A36" s="57" t="s">
        <v>279</v>
      </c>
      <c r="B36" s="58" t="s">
        <v>280</v>
      </c>
      <c r="C36" s="26">
        <v>8635.9079099999999</v>
      </c>
      <c r="D36" s="26" t="s">
        <v>392</v>
      </c>
      <c r="E36" s="26">
        <f>IF(3.86704="","-",3.86704/1808523.91457*100)</f>
        <v>2.1382299503180406E-4</v>
      </c>
      <c r="F36" s="26">
        <f>IF(8635.90791="","-",8635.90791/2959137.72403*100)</f>
        <v>0.29183866096772615</v>
      </c>
      <c r="G36" s="26">
        <f>IF(OR(1525216.45469="",4.98073="",3.86704=""),"-",(3.86704-4.98073)/1525216.45469*100)</f>
        <v>-7.3018488397199851E-5</v>
      </c>
      <c r="H36" s="26">
        <f>IF(OR(1808523.91457="",8635.90791="",3.86704=""),"-",(8635.90791-3.86704)/1808523.91457*100)</f>
        <v>0.47729757955964774</v>
      </c>
      <c r="I36" s="84"/>
      <c r="J36" s="85"/>
      <c r="K36" s="86"/>
    </row>
    <row r="37" spans="1:11" s="29" customFormat="1" ht="24" x14ac:dyDescent="0.2">
      <c r="A37" s="54" t="s">
        <v>229</v>
      </c>
      <c r="B37" s="55" t="s">
        <v>144</v>
      </c>
      <c r="C37" s="20">
        <v>281122.60210999998</v>
      </c>
      <c r="D37" s="20" t="s">
        <v>361</v>
      </c>
      <c r="E37" s="20">
        <f>IF(45042.77722="","-",45042.77722/1808523.91457*100)</f>
        <v>2.4905823393941411</v>
      </c>
      <c r="F37" s="20">
        <f>IF(281122.60211="","-",281122.60211/2959137.72403*100)</f>
        <v>9.5001526906677327</v>
      </c>
      <c r="G37" s="20">
        <f>IF(1525216.45469="","-",(45042.77722-69837.71057)/1525216.45469*100)</f>
        <v>-1.6256665258072864</v>
      </c>
      <c r="H37" s="20">
        <f>IF(1808523.91457="","-",(281122.60211-45042.77722)/1808523.91457*100)</f>
        <v>13.05372978416661</v>
      </c>
      <c r="I37" s="84"/>
      <c r="J37" s="85"/>
      <c r="K37" s="86"/>
    </row>
    <row r="38" spans="1:11" s="29" customFormat="1" ht="24" x14ac:dyDescent="0.2">
      <c r="A38" s="57" t="s">
        <v>230</v>
      </c>
      <c r="B38" s="58" t="s">
        <v>190</v>
      </c>
      <c r="C38" s="26">
        <v>1.5959399999999999</v>
      </c>
      <c r="D38" s="26">
        <f>IF(OR(8.48682="",1.59594=""),"-",1.59594/8.48682*100)</f>
        <v>18.804923398870248</v>
      </c>
      <c r="E38" s="26">
        <f>IF(8.48682="","-",8.48682/1808523.91457*100)</f>
        <v>4.6926777863580811E-4</v>
      </c>
      <c r="F38" s="26">
        <f>IF(1.59594="","-",1.59594/2959137.72403*100)</f>
        <v>5.3932602968763343E-5</v>
      </c>
      <c r="G38" s="26">
        <f>IF(OR(1525216.45469="",3.3692="",8.48682=""),"-",(8.48682-3.3692)/1525216.45469*100)</f>
        <v>3.3553401448453127E-4</v>
      </c>
      <c r="H38" s="26">
        <f>IF(OR(1808523.91457="",1.59594="",8.48682=""),"-",(1.59594-8.48682)/1808523.91457*100)</f>
        <v>-3.8102233232776444E-4</v>
      </c>
      <c r="I38" s="81"/>
      <c r="J38" s="82"/>
      <c r="K38" s="83"/>
    </row>
    <row r="39" spans="1:11" s="29" customFormat="1" ht="24" x14ac:dyDescent="0.2">
      <c r="A39" s="57" t="s">
        <v>231</v>
      </c>
      <c r="B39" s="58" t="s">
        <v>145</v>
      </c>
      <c r="C39" s="26">
        <v>281108.8885</v>
      </c>
      <c r="D39" s="26" t="s">
        <v>361</v>
      </c>
      <c r="E39" s="26">
        <f>IF(45030.72807="","-",45030.72807/1808523.91457*100)</f>
        <v>2.4899160971673764</v>
      </c>
      <c r="F39" s="26">
        <f>IF(281108.8885="","-",281108.8885/2959137.72403*100)</f>
        <v>9.4996892580302923</v>
      </c>
      <c r="G39" s="26">
        <f>IF(OR(1525216.45469="",69809.39303="",45030.72807=""),"-",(45030.72807-69809.39303)/1525216.45469*100)</f>
        <v>-1.6245998975297093</v>
      </c>
      <c r="H39" s="26">
        <f>IF(OR(1808523.91457="",281108.8885="",45030.72807=""),"-",(281108.8885-45030.72807)/1808523.91457*100)</f>
        <v>13.053637749995172</v>
      </c>
      <c r="I39" s="84"/>
      <c r="J39" s="85"/>
      <c r="K39" s="86"/>
    </row>
    <row r="40" spans="1:11" s="29" customFormat="1" ht="72" x14ac:dyDescent="0.2">
      <c r="A40" s="57" t="s">
        <v>232</v>
      </c>
      <c r="B40" s="58" t="s">
        <v>188</v>
      </c>
      <c r="C40" s="26">
        <v>12.11767</v>
      </c>
      <c r="D40" s="26" t="s">
        <v>385</v>
      </c>
      <c r="E40" s="26">
        <f>IF(3.56233="","-",3.56233/1808523.91457*100)</f>
        <v>1.9697444812870999E-4</v>
      </c>
      <c r="F40" s="26">
        <f>IF(12.11767="","-",12.11767/2959137.72403*100)</f>
        <v>4.0950003447278376E-4</v>
      </c>
      <c r="G40" s="26">
        <f>IF(OR(1525216.45469="",24.94834="",3.56233=""),"-",(3.56233-24.94834)/1525216.45469*100)</f>
        <v>-1.4021622920627817E-3</v>
      </c>
      <c r="H40" s="26">
        <f>IF(OR(1808523.91457="",12.11767="",3.56233=""),"-",(12.11767-3.56233)/1808523.91457*100)</f>
        <v>4.7305650376396286E-4</v>
      </c>
      <c r="I40" s="81"/>
      <c r="J40" s="82"/>
      <c r="K40" s="83"/>
    </row>
    <row r="41" spans="1:11" s="29" customFormat="1" ht="24" x14ac:dyDescent="0.2">
      <c r="A41" s="54" t="s">
        <v>233</v>
      </c>
      <c r="B41" s="55" t="s">
        <v>146</v>
      </c>
      <c r="C41" s="20">
        <v>92180.149290000001</v>
      </c>
      <c r="D41" s="20">
        <f>IF(91112.70188="","-",92180.14929/91112.70188*100)</f>
        <v>101.17156816555159</v>
      </c>
      <c r="E41" s="20">
        <f>IF(91112.70188="","-",91112.70188/1808523.91457*100)</f>
        <v>5.0379594732460706</v>
      </c>
      <c r="F41" s="20">
        <f>IF(92180.14929="","-",92180.14929/2959137.72403*100)</f>
        <v>3.1151016913285603</v>
      </c>
      <c r="G41" s="20">
        <f>IF(1525216.45469="","-",(91112.70188-80495.97585)/1525216.45469*100)</f>
        <v>0.69607995621564667</v>
      </c>
      <c r="H41" s="20">
        <f>IF(1808523.91457="","-",(92180.14929-91112.70188)/1808523.91457*100)</f>
        <v>5.9023129381941701E-2</v>
      </c>
      <c r="I41" s="84"/>
      <c r="J41" s="85"/>
      <c r="K41" s="86"/>
    </row>
    <row r="42" spans="1:11" s="29" customFormat="1" x14ac:dyDescent="0.2">
      <c r="A42" s="57" t="s">
        <v>234</v>
      </c>
      <c r="B42" s="58" t="s">
        <v>23</v>
      </c>
      <c r="C42" s="26">
        <v>31319.177060000002</v>
      </c>
      <c r="D42" s="26">
        <f>IF(OR(20999.82815="",31319.17706=""),"-",31319.17706/20999.82815*100)</f>
        <v>149.14015884458561</v>
      </c>
      <c r="E42" s="26">
        <f>IF(20999.82815="","-",20999.82815/1808523.91457*100)</f>
        <v>1.1611584442328473</v>
      </c>
      <c r="F42" s="26">
        <f>IF(31319.17706="","-",31319.17706/2959137.72403*100)</f>
        <v>1.0583886246885101</v>
      </c>
      <c r="G42" s="26">
        <f>IF(OR(1525216.45469="",31619.87301="",20999.82815=""),"-",(20999.82815-31619.87301)/1525216.45469*100)</f>
        <v>-0.69629755352714973</v>
      </c>
      <c r="H42" s="26">
        <f>IF(OR(1808523.91457="",31319.17706="",20999.82815=""),"-",(31319.17706-20999.82815)/1808523.91457*100)</f>
        <v>0.57059510393334001</v>
      </c>
      <c r="I42" s="84"/>
      <c r="J42" s="85"/>
      <c r="K42" s="86"/>
    </row>
    <row r="43" spans="1:11" s="29" customFormat="1" x14ac:dyDescent="0.2">
      <c r="A43" s="57" t="s">
        <v>235</v>
      </c>
      <c r="B43" s="58" t="s">
        <v>24</v>
      </c>
      <c r="C43" s="26">
        <v>4692.3639000000003</v>
      </c>
      <c r="D43" s="26" t="s">
        <v>335</v>
      </c>
      <c r="E43" s="26">
        <f>IF(695.07845="","-",695.07845/1808523.91457*100)</f>
        <v>3.843346744824571E-2</v>
      </c>
      <c r="F43" s="26">
        <f>IF(4692.3639="","-",4692.3639/2959137.72403*100)</f>
        <v>0.1585720009547088</v>
      </c>
      <c r="G43" s="26">
        <f>IF(OR(1525216.45469="",1032.65807="",695.07845=""),"-",(695.07845-1032.65807)/1525216.45469*100)</f>
        <v>-2.2133226989648036E-2</v>
      </c>
      <c r="H43" s="26">
        <f>IF(OR(1808523.91457="",4692.3639="",695.07845=""),"-",(4692.3639-695.07845)/1808523.91457*100)</f>
        <v>0.22102474939903718</v>
      </c>
      <c r="I43" s="84"/>
      <c r="J43" s="85"/>
      <c r="K43" s="86"/>
    </row>
    <row r="44" spans="1:11" s="29" customFormat="1" ht="16.5" customHeight="1" x14ac:dyDescent="0.2">
      <c r="A44" s="57" t="s">
        <v>236</v>
      </c>
      <c r="B44" s="58" t="s">
        <v>147</v>
      </c>
      <c r="C44" s="26">
        <v>1823.5895800000001</v>
      </c>
      <c r="D44" s="26">
        <f>IF(OR(1691.14722="",1823.58958=""),"-",1823.58958/1691.14722*100)</f>
        <v>107.83150978422802</v>
      </c>
      <c r="E44" s="26">
        <f>IF(1691.14722="","-",1691.14722/1808523.91457*100)</f>
        <v>9.3509806885915148E-2</v>
      </c>
      <c r="F44" s="26">
        <f>IF(1823.58958="","-",1823.58958/2959137.72403*100)</f>
        <v>6.1625708232210426E-2</v>
      </c>
      <c r="G44" s="26">
        <f>IF(OR(1525216.45469="",551.15302="",1691.14722=""),"-",(1691.14722-551.15302)/1525216.45469*100)</f>
        <v>7.4743109182604753E-2</v>
      </c>
      <c r="H44" s="26">
        <f>IF(OR(1808523.91457="",1823.58958="",1691.14722=""),"-",(1823.58958-1691.14722)/1808523.91457*100)</f>
        <v>7.3232296754831621E-3</v>
      </c>
      <c r="I44" s="84"/>
      <c r="J44" s="85"/>
      <c r="K44" s="86"/>
    </row>
    <row r="45" spans="1:11" s="29" customFormat="1" x14ac:dyDescent="0.2">
      <c r="A45" s="57" t="s">
        <v>237</v>
      </c>
      <c r="B45" s="58" t="s">
        <v>148</v>
      </c>
      <c r="C45" s="26">
        <v>32229.379120000001</v>
      </c>
      <c r="D45" s="26">
        <f>IF(OR(51820.58415="",32229.37912=""),"-",32229.37912/51820.58415*100)</f>
        <v>62.194164054015197</v>
      </c>
      <c r="E45" s="26">
        <f>IF(51820.58415="","-",51820.58415/1808523.91457*100)</f>
        <v>2.8653524419842142</v>
      </c>
      <c r="F45" s="26">
        <f>IF(32229.37912="","-",32229.37912/2959137.72403*100)</f>
        <v>1.0891476546791932</v>
      </c>
      <c r="G45" s="26">
        <f>IF(OR(1525216.45469="",35140.24841="",51820.58415=""),"-",(51820.58415-35140.24841)/1525216.45469*100)</f>
        <v>1.0936372793978462</v>
      </c>
      <c r="H45" s="26">
        <f>IF(OR(1808523.91457="",32229.37912="",51820.58415=""),"-",(32229.37912-51820.58415)/1808523.91457*100)</f>
        <v>-1.0832704434908211</v>
      </c>
      <c r="I45" s="84"/>
      <c r="J45" s="85"/>
      <c r="K45" s="86"/>
    </row>
    <row r="46" spans="1:11" ht="39.75" customHeight="1" x14ac:dyDescent="0.2">
      <c r="A46" s="57" t="s">
        <v>238</v>
      </c>
      <c r="B46" s="58" t="s">
        <v>149</v>
      </c>
      <c r="C46" s="26">
        <v>12047.434359999999</v>
      </c>
      <c r="D46" s="26">
        <v>162.31431622709906</v>
      </c>
      <c r="E46" s="26">
        <f>IF(7422.28698="","-",7422.28698/1808523.91457*100)</f>
        <v>0.41040579669441335</v>
      </c>
      <c r="F46" s="26">
        <f>IF(12047.43436="","-",12047.43436/2959137.72403*100)</f>
        <v>0.40712651736914762</v>
      </c>
      <c r="G46" s="26">
        <f>IF(OR(1525216.45469="",7808.15673="",7422.28698=""),"-",(7422.28698-7808.15673)/1525216.45469*100)</f>
        <v>-2.5299343500619905E-2</v>
      </c>
      <c r="H46" s="26">
        <f>IF(OR(1808523.91457="",12047.43436="",7422.28698=""),"-",(12047.43436-7422.28698)/1808523.91457*100)</f>
        <v>0.25574156596650194</v>
      </c>
      <c r="I46" s="84"/>
      <c r="J46" s="85"/>
      <c r="K46" s="86"/>
    </row>
    <row r="47" spans="1:11" x14ac:dyDescent="0.2">
      <c r="A47" s="57" t="s">
        <v>239</v>
      </c>
      <c r="B47" s="58" t="s">
        <v>150</v>
      </c>
      <c r="C47" s="26">
        <v>71.217960000000005</v>
      </c>
      <c r="D47" s="26">
        <f>IF(OR(146.43214="",71.21796=""),"-",71.21796/146.43214*100)</f>
        <v>48.635470327757282</v>
      </c>
      <c r="E47" s="26">
        <f>IF(146.43214="","-",146.43214/1808523.91457*100)</f>
        <v>8.0967765380540267E-3</v>
      </c>
      <c r="F47" s="26">
        <f>IF(71.21796="","-",71.21796/2959137.72403*100)</f>
        <v>2.406713260476753E-3</v>
      </c>
      <c r="G47" s="26">
        <f>IF(OR(1525216.45469="",0.59332="",146.43214=""),"-",(146.43214-0.59332)/1525216.45469*100)</f>
        <v>9.5618441272089273E-3</v>
      </c>
      <c r="H47" s="26">
        <f>IF(OR(1808523.91457="",71.21796="",146.43214=""),"-",(71.21796-146.43214)/1808523.91457*100)</f>
        <v>-4.1588711873839466E-3</v>
      </c>
      <c r="I47" s="84"/>
      <c r="J47" s="85"/>
      <c r="K47" s="86"/>
    </row>
    <row r="48" spans="1:11" ht="24" x14ac:dyDescent="0.2">
      <c r="A48" s="57" t="s">
        <v>240</v>
      </c>
      <c r="B48" s="58" t="s">
        <v>25</v>
      </c>
      <c r="C48" s="26">
        <v>3221.3319700000002</v>
      </c>
      <c r="D48" s="26" t="s">
        <v>18</v>
      </c>
      <c r="E48" s="26">
        <f>IF(1632.89165="","-",1632.89165/1808523.91457*100)</f>
        <v>9.0288640191315425E-2</v>
      </c>
      <c r="F48" s="26">
        <f>IF(3221.33197="","-",3221.33197/2959137.72403*100)</f>
        <v>0.10886049486108142</v>
      </c>
      <c r="G48" s="26">
        <f>IF(OR(1525216.45469="",1316.94945="",1632.89165=""),"-",(1632.89165-1316.94945)/1525216.45469*100)</f>
        <v>2.0714581135581514E-2</v>
      </c>
      <c r="H48" s="26">
        <f>IF(OR(1808523.91457="",3221.33197="",1632.89165=""),"-",(3221.33197-1632.89165)/1808523.91457*100)</f>
        <v>8.7830761164011062E-2</v>
      </c>
      <c r="I48" s="84"/>
      <c r="J48" s="85"/>
      <c r="K48" s="86"/>
    </row>
    <row r="49" spans="1:11" x14ac:dyDescent="0.2">
      <c r="A49" s="57" t="s">
        <v>241</v>
      </c>
      <c r="B49" s="58" t="s">
        <v>26</v>
      </c>
      <c r="C49" s="26">
        <v>3569.06702</v>
      </c>
      <c r="D49" s="26">
        <f>IF(OR(2641.62103="",3569.06702=""),"-",3569.06702/2641.62103*100)</f>
        <v>135.10897208446286</v>
      </c>
      <c r="E49" s="26">
        <f>IF(2641.62103="","-",2641.62103/1808523.91457*100)</f>
        <v>0.14606503174872748</v>
      </c>
      <c r="F49" s="26">
        <f>IF(3569.06702="","-",3569.06702/2959137.72403*100)</f>
        <v>0.12061172384836984</v>
      </c>
      <c r="G49" s="26">
        <f>IF(OR(1525216.45469="",1456.62653="",2641.62103=""),"-",(2641.62103-1456.62653)/1525216.45469*100)</f>
        <v>7.7693529751542686E-2</v>
      </c>
      <c r="H49" s="26">
        <f>IF(OR(1808523.91457="",3569.06702="",2641.62103=""),"-",(3569.06702-2641.62103)/1808523.91457*100)</f>
        <v>5.1281931221822542E-2</v>
      </c>
      <c r="I49" s="84"/>
      <c r="J49" s="85"/>
      <c r="K49" s="86"/>
    </row>
    <row r="50" spans="1:11" x14ac:dyDescent="0.2">
      <c r="A50" s="57" t="s">
        <v>242</v>
      </c>
      <c r="B50" s="58" t="s">
        <v>151</v>
      </c>
      <c r="C50" s="26">
        <v>3206.5883199999998</v>
      </c>
      <c r="D50" s="26">
        <f>IF(OR(4062.83211="",3206.58832=""),"-",3206.58832/4062.83211*100)</f>
        <v>78.924952672976673</v>
      </c>
      <c r="E50" s="26">
        <f>IF(4062.83211="","-",4062.83211/1808523.91457*100)</f>
        <v>0.22464906752233857</v>
      </c>
      <c r="F50" s="26">
        <f>IF(3206.58832="","-",3206.58832/2959137.72403*100)</f>
        <v>0.10836225343486214</v>
      </c>
      <c r="G50" s="26">
        <f>IF(OR(1525216.45469="",1569.71731="",4062.83211=""),"-",(4062.83211-1569.71731)/1525216.45469*100)</f>
        <v>0.16345973663828095</v>
      </c>
      <c r="H50" s="26">
        <f>IF(OR(1808523.91457="",3206.58832="",4062.83211=""),"-",(3206.58832-4062.83211)/1808523.91457*100)</f>
        <v>-4.734489730004942E-2</v>
      </c>
      <c r="I50" s="81"/>
      <c r="J50" s="82"/>
      <c r="K50" s="83"/>
    </row>
    <row r="51" spans="1:11" ht="24" x14ac:dyDescent="0.2">
      <c r="A51" s="54" t="s">
        <v>243</v>
      </c>
      <c r="B51" s="55" t="s">
        <v>329</v>
      </c>
      <c r="C51" s="20">
        <v>191331.11160999999</v>
      </c>
      <c r="D51" s="20">
        <f>IF(156714.88391="","-",191331.11161/156714.88391*100)</f>
        <v>122.08866626853374</v>
      </c>
      <c r="E51" s="20">
        <f>IF(156714.88391="","-",156714.88391/1808523.91457*100)</f>
        <v>8.6653476156692673</v>
      </c>
      <c r="F51" s="20">
        <f>IF(191331.11161="","-",191331.11161/2959137.72403*100)</f>
        <v>6.4657724463540474</v>
      </c>
      <c r="G51" s="20">
        <f>IF(1525216.45469="","-",(156714.88391-106392.9418)/1525216.45469*100)</f>
        <v>3.299331183797642</v>
      </c>
      <c r="H51" s="20">
        <f>IF(1808523.91457="","-",(191331.11161-156714.88391)/1808523.91457*100)</f>
        <v>1.9140597158335309</v>
      </c>
      <c r="I51" s="84"/>
      <c r="J51" s="85"/>
      <c r="K51" s="86"/>
    </row>
    <row r="52" spans="1:11" x14ac:dyDescent="0.2">
      <c r="A52" s="57" t="s">
        <v>244</v>
      </c>
      <c r="B52" s="58" t="s">
        <v>152</v>
      </c>
      <c r="C52" s="26">
        <v>1595.3472099999999</v>
      </c>
      <c r="D52" s="26" t="s">
        <v>91</v>
      </c>
      <c r="E52" s="26">
        <f>IF(774.23618="","-",774.23618/1808523.91457*100)</f>
        <v>4.2810392152546381E-2</v>
      </c>
      <c r="F52" s="26">
        <f>IF(1595.34721="","-",1595.34721/2959137.72403*100)</f>
        <v>5.3912570443910374E-2</v>
      </c>
      <c r="G52" s="26">
        <f>IF(OR(1525216.45469="",426.28706="",774.23618=""),"-",(774.23618-426.28706)/1525216.45469*100)</f>
        <v>2.2813097703612211E-2</v>
      </c>
      <c r="H52" s="26">
        <f>IF(OR(1808523.91457="",1595.34721="",774.23618=""),"-",(1595.34721-774.23618)/1808523.91457*100)</f>
        <v>4.5402276596117321E-2</v>
      </c>
      <c r="I52" s="84"/>
      <c r="J52" s="85"/>
      <c r="K52" s="86"/>
    </row>
    <row r="53" spans="1:11" x14ac:dyDescent="0.2">
      <c r="A53" s="57" t="s">
        <v>245</v>
      </c>
      <c r="B53" s="58" t="s">
        <v>27</v>
      </c>
      <c r="C53" s="26">
        <v>729.20511999999997</v>
      </c>
      <c r="D53" s="26">
        <f>IF(OR(964.04093="",729.20512=""),"-",729.20512/964.04093*100)</f>
        <v>75.640473065806447</v>
      </c>
      <c r="E53" s="26">
        <f>IF(964.04093="","-",964.04093/1808523.91457*100)</f>
        <v>5.330540128518086E-2</v>
      </c>
      <c r="F53" s="26">
        <f>IF(729.20512="","-",729.20512/2959137.72403*100)</f>
        <v>2.464248669733789E-2</v>
      </c>
      <c r="G53" s="26">
        <f>IF(OR(1525216.45469="",753.54046="",964.04093=""),"-",(964.04093-753.54046)/1525216.45469*100)</f>
        <v>1.3801350578976289E-2</v>
      </c>
      <c r="H53" s="26">
        <f>IF(OR(1808523.91457="",729.20512="",964.04093=""),"-",(729.20512-964.04093)/1808523.91457*100)</f>
        <v>-1.2984943583443589E-2</v>
      </c>
      <c r="I53" s="84"/>
      <c r="J53" s="85"/>
      <c r="K53" s="86"/>
    </row>
    <row r="54" spans="1:11" ht="16.5" customHeight="1" x14ac:dyDescent="0.2">
      <c r="A54" s="57" t="s">
        <v>246</v>
      </c>
      <c r="B54" s="58" t="s">
        <v>153</v>
      </c>
      <c r="C54" s="26">
        <v>18809.579969999999</v>
      </c>
      <c r="D54" s="26">
        <f>IF(OR(16520.24337="",18809.57997=""),"-",18809.57997/16520.24337*100)</f>
        <v>113.85776558326815</v>
      </c>
      <c r="E54" s="26">
        <f>IF(16520.24337="","-",16520.24337/1808523.91457*100)</f>
        <v>0.91346557471029632</v>
      </c>
      <c r="F54" s="26">
        <f>IF(18809.57997="","-",18809.57997/2959137.72403*100)</f>
        <v>0.63564395185985278</v>
      </c>
      <c r="G54" s="26">
        <f>IF(OR(1525216.45469="",12143.89107="",16520.24337=""),"-",(16520.24337-12143.89107)/1525216.45469*100)</f>
        <v>0.28693319473067797</v>
      </c>
      <c r="H54" s="26">
        <f>IF(OR(1808523.91457="",18809.57997="",16520.24337=""),"-",(18809.57997-16520.24337)/1808523.91457*100)</f>
        <v>0.12658591802720609</v>
      </c>
      <c r="I54" s="84"/>
      <c r="J54" s="85"/>
      <c r="K54" s="86"/>
    </row>
    <row r="55" spans="1:11" ht="14.25" customHeight="1" x14ac:dyDescent="0.2">
      <c r="A55" s="57" t="s">
        <v>247</v>
      </c>
      <c r="B55" s="58" t="s">
        <v>154</v>
      </c>
      <c r="C55" s="26">
        <v>13034.039989999999</v>
      </c>
      <c r="D55" s="26" t="s">
        <v>100</v>
      </c>
      <c r="E55" s="26">
        <f>IF(6998.69097="","-",6998.69097/1808523.91457*100)</f>
        <v>0.38698360102492918</v>
      </c>
      <c r="F55" s="26">
        <f>IF(13034.03999="","-",13034.03999/2959137.72403*100)</f>
        <v>0.44046750119657013</v>
      </c>
      <c r="G55" s="26">
        <f>IF(OR(1525216.45469="",5956.86906="",6998.69097=""),"-",(6998.69097-5956.86906)/1525216.45469*100)</f>
        <v>6.8306495566345687E-2</v>
      </c>
      <c r="H55" s="26">
        <f>IF(OR(1808523.91457="",13034.03999="",6998.69097=""),"-",(13034.03999-6998.69097)/1808523.91457*100)</f>
        <v>0.33371684893837761</v>
      </c>
      <c r="I55" s="84"/>
      <c r="J55" s="85"/>
      <c r="K55" s="86"/>
    </row>
    <row r="56" spans="1:11" ht="15.75" customHeight="1" x14ac:dyDescent="0.2">
      <c r="A56" s="57" t="s">
        <v>248</v>
      </c>
      <c r="B56" s="58" t="s">
        <v>155</v>
      </c>
      <c r="C56" s="26">
        <v>60356.489220000003</v>
      </c>
      <c r="D56" s="26">
        <f>IF(OR(52703.87993="",60356.48922=""),"-",60356.48922/52703.87993*100)</f>
        <v>114.52001124047035</v>
      </c>
      <c r="E56" s="26">
        <f>IF(52703.87993="","-",52703.87993/1808523.91457*100)</f>
        <v>2.9141931442212106</v>
      </c>
      <c r="F56" s="26">
        <f>IF(60356.48922="","-",60356.48922/2959137.72403*100)</f>
        <v>2.0396647553734506</v>
      </c>
      <c r="G56" s="26">
        <f>IF(OR(1525216.45469="",37006.94155="",52703.87993=""),"-",(52703.87993-37006.94155)/1525216.45469*100)</f>
        <v>1.0291613581621371</v>
      </c>
      <c r="H56" s="26">
        <f>IF(OR(1808523.91457="",60356.48922="",52703.87993=""),"-",(60356.48922-52703.87993)/1808523.91457*100)</f>
        <v>0.42314117210993624</v>
      </c>
      <c r="I56" s="84"/>
      <c r="J56" s="85"/>
      <c r="K56" s="86"/>
    </row>
    <row r="57" spans="1:11" x14ac:dyDescent="0.2">
      <c r="A57" s="57" t="s">
        <v>249</v>
      </c>
      <c r="B57" s="58" t="s">
        <v>28</v>
      </c>
      <c r="C57" s="26">
        <v>60179.42555</v>
      </c>
      <c r="D57" s="26">
        <f>IF(OR(42434.76279="",60179.42555=""),"-",60179.42555/42434.76279*100)</f>
        <v>141.8163354601846</v>
      </c>
      <c r="E57" s="26">
        <f>IF(42434.76279="","-",42434.76279/1808523.91457*100)</f>
        <v>2.3463755412982423</v>
      </c>
      <c r="F57" s="26">
        <f>IF(60179.42555="","-",60179.42555/2959137.72403*100)</f>
        <v>2.0336811315440446</v>
      </c>
      <c r="G57" s="26">
        <f>IF(OR(1525216.45469="",31176.71949="",42434.76279=""),"-",(42434.76279-31176.71949)/1525216.45469*100)</f>
        <v>0.73812757955645036</v>
      </c>
      <c r="H57" s="26">
        <f>IF(OR(1808523.91457="",60179.42555="",42434.76279=""),"-",(60179.42555-42434.76279)/1808523.91457*100)</f>
        <v>0.98116826750499575</v>
      </c>
      <c r="I57" s="84"/>
      <c r="J57" s="85"/>
      <c r="K57" s="86"/>
    </row>
    <row r="58" spans="1:11" x14ac:dyDescent="0.2">
      <c r="A58" s="57" t="s">
        <v>250</v>
      </c>
      <c r="B58" s="58" t="s">
        <v>156</v>
      </c>
      <c r="C58" s="26">
        <v>6816.9005900000002</v>
      </c>
      <c r="D58" s="26">
        <f>IF(OR(7684.26306="",6816.90059=""),"-",6816.90059/7684.26306*100)</f>
        <v>88.712483380286571</v>
      </c>
      <c r="E58" s="26">
        <f>IF(7684.26306="","-",7684.26306/1808523.91457*100)</f>
        <v>0.42489142654367573</v>
      </c>
      <c r="F58" s="26">
        <f>IF(6816.90059="","-",6816.90059/2959137.72403*100)</f>
        <v>0.23036780392621192</v>
      </c>
      <c r="G58" s="26">
        <f>IF(OR(1525216.45469="",963.49493="",7684.26306=""),"-",(7684.26306-963.49493)/1525216.45469*100)</f>
        <v>0.44064356303879471</v>
      </c>
      <c r="H58" s="26">
        <f>IF(OR(1808523.91457="",6816.90059="",7684.26306=""),"-",(6816.90059-7684.26306)/1808523.91457*100)</f>
        <v>-4.7959690386854888E-2</v>
      </c>
      <c r="I58" s="84"/>
      <c r="J58" s="85"/>
      <c r="K58" s="86"/>
    </row>
    <row r="59" spans="1:11" x14ac:dyDescent="0.2">
      <c r="A59" s="57" t="s">
        <v>251</v>
      </c>
      <c r="B59" s="58" t="s">
        <v>29</v>
      </c>
      <c r="C59" s="26">
        <v>1298.18155</v>
      </c>
      <c r="D59" s="26">
        <f>IF(OR(1319.53958="",1298.18155=""),"-",1298.18155/1319.53958*100)</f>
        <v>98.381402852652599</v>
      </c>
      <c r="E59" s="26">
        <f>IF(1319.53958="","-",1319.53958/1808523.91457*100)</f>
        <v>7.2962241160838479E-2</v>
      </c>
      <c r="F59" s="26">
        <f>IF(1298.18155="","-",1298.18155/2959137.72403*100)</f>
        <v>4.3870264619925436E-2</v>
      </c>
      <c r="G59" s="26">
        <f>IF(OR(1525216.45469="",1422.10985="",1319.53958=""),"-",(1319.53958-1422.10985)/1525216.45469*100)</f>
        <v>-6.724964819557205E-3</v>
      </c>
      <c r="H59" s="26">
        <f>IF(OR(1808523.91457="",1298.18155="",1319.53958=""),"-",(1298.18155-1319.53958)/1808523.91457*100)</f>
        <v>-1.1809647540700627E-3</v>
      </c>
      <c r="I59" s="84"/>
      <c r="J59" s="85"/>
      <c r="K59" s="86"/>
    </row>
    <row r="60" spans="1:11" x14ac:dyDescent="0.2">
      <c r="A60" s="57" t="s">
        <v>252</v>
      </c>
      <c r="B60" s="58" t="s">
        <v>30</v>
      </c>
      <c r="C60" s="26">
        <v>28511.94241</v>
      </c>
      <c r="D60" s="26">
        <f>IF(OR(27315.2271="",28511.94241=""),"-",28511.94241/27315.2271*100)</f>
        <v>104.38112890520321</v>
      </c>
      <c r="E60" s="26">
        <f>IF(27315.2271="","-",27315.2271/1808523.91457*100)</f>
        <v>1.5103602932723479</v>
      </c>
      <c r="F60" s="26">
        <f>IF(28511.94241="","-",28511.94241/2959137.72403*100)</f>
        <v>0.96352198069274264</v>
      </c>
      <c r="G60" s="26">
        <f>IF(OR(1525216.45469="",16543.08833="",27315.2271=""),"-",(27315.2271-16543.08833)/1525216.45469*100)</f>
        <v>0.70626950928020493</v>
      </c>
      <c r="H60" s="26">
        <f>IF(OR(1808523.91457="",28511.94241="",27315.2271=""),"-",(28511.94241-27315.2271)/1808523.91457*100)</f>
        <v>6.6170831381266754E-2</v>
      </c>
      <c r="I60" s="81"/>
      <c r="J60" s="82"/>
      <c r="K60" s="83"/>
    </row>
    <row r="61" spans="1:11" ht="24" x14ac:dyDescent="0.2">
      <c r="A61" s="54" t="s">
        <v>253</v>
      </c>
      <c r="B61" s="55" t="s">
        <v>157</v>
      </c>
      <c r="C61" s="20">
        <v>459135.82034999999</v>
      </c>
      <c r="D61" s="20">
        <f>IF(427138.78521="","-",459135.82035/427138.78521*100)</f>
        <v>107.49101609311103</v>
      </c>
      <c r="E61" s="20">
        <f>IF(427138.78521="","-",427138.78521/1808523.91457*100)</f>
        <v>23.618088860691554</v>
      </c>
      <c r="F61" s="20">
        <f>IF(459135.82035="","-",459135.82035/2959137.72403*100)</f>
        <v>15.515865200241866</v>
      </c>
      <c r="G61" s="20">
        <f>IF(1525216.45469="","-",(427138.78521-326552.19455)/1525216.45469*100)</f>
        <v>6.5949059460182786</v>
      </c>
      <c r="H61" s="20">
        <f>IF(1808523.91457="","-",(459135.82035-427138.78521)/1808523.91457*100)</f>
        <v>1.7692348374396643</v>
      </c>
      <c r="I61" s="84"/>
      <c r="J61" s="85"/>
      <c r="K61" s="86"/>
    </row>
    <row r="62" spans="1:11" ht="24" x14ac:dyDescent="0.2">
      <c r="A62" s="57" t="s">
        <v>254</v>
      </c>
      <c r="B62" s="58" t="s">
        <v>158</v>
      </c>
      <c r="C62" s="26">
        <v>3004.7702399999998</v>
      </c>
      <c r="D62" s="26" t="s">
        <v>18</v>
      </c>
      <c r="E62" s="26">
        <f>IF(1516.41894="","-",1516.41894/1808523.91457*100)</f>
        <v>8.3848431739457996E-2</v>
      </c>
      <c r="F62" s="26">
        <f>IF(3004.77024="","-",3004.77024/2959137.72403*100)</f>
        <v>0.10154208827792759</v>
      </c>
      <c r="G62" s="26">
        <f>IF(OR(1525216.45469="",1236.55286="",1516.41894=""),"-",(1516.41894-1236.55286)/1525216.45469*100)</f>
        <v>1.8349269648869789E-2</v>
      </c>
      <c r="H62" s="26">
        <f>IF(OR(1808523.91457="",3004.77024="",1516.41894=""),"-",(3004.77024-1516.41894)/1808523.91457*100)</f>
        <v>8.2296467744186544E-2</v>
      </c>
      <c r="I62" s="84"/>
      <c r="J62" s="85"/>
      <c r="K62" s="86"/>
    </row>
    <row r="63" spans="1:11" ht="24" x14ac:dyDescent="0.2">
      <c r="A63" s="57" t="s">
        <v>255</v>
      </c>
      <c r="B63" s="58" t="s">
        <v>159</v>
      </c>
      <c r="C63" s="26">
        <v>8892.6387799999993</v>
      </c>
      <c r="D63" s="26">
        <f>IF(OR(9367.30129="",8892.63878=""),"-",8892.63878/9367.30129*100)</f>
        <v>94.932772040686658</v>
      </c>
      <c r="E63" s="26">
        <f>IF(9367.30129="","-",9367.30129/1808523.91457*100)</f>
        <v>0.51795285727406026</v>
      </c>
      <c r="F63" s="26">
        <f>IF(8892.63878="","-",8892.63878/2959137.72403*100)</f>
        <v>0.30051452853263161</v>
      </c>
      <c r="G63" s="26">
        <f>IF(OR(1525216.45469="",7763.75116="",9367.30129=""),"-",(9367.30129-7763.75116)/1525216.45469*100)</f>
        <v>0.10513590546896642</v>
      </c>
      <c r="H63" s="26">
        <f>IF(OR(1808523.91457="",8892.63878="",9367.30129=""),"-",(8892.63878-9367.30129)/1808523.91457*100)</f>
        <v>-2.6245851999853551E-2</v>
      </c>
      <c r="I63" s="84"/>
      <c r="J63" s="85"/>
      <c r="K63" s="86"/>
    </row>
    <row r="64" spans="1:11" ht="26.25" customHeight="1" x14ac:dyDescent="0.2">
      <c r="A64" s="57" t="s">
        <v>256</v>
      </c>
      <c r="B64" s="58" t="s">
        <v>160</v>
      </c>
      <c r="C64" s="26">
        <v>3704.00297</v>
      </c>
      <c r="D64" s="26">
        <f>IF(OR(3246.8622="",3704.00297=""),"-",3704.00297/3246.8622*100)</f>
        <v>114.07946324300428</v>
      </c>
      <c r="E64" s="26">
        <f>IF(3246.8622="","-",3246.8622/1808523.91457*100)</f>
        <v>0.17953106253350173</v>
      </c>
      <c r="F64" s="26">
        <f>IF(3704.00297="","-",3704.00297/2959137.72403*100)</f>
        <v>0.12517169917172968</v>
      </c>
      <c r="G64" s="26">
        <f>IF(OR(1525216.45469="",2005.79162="",3246.8622=""),"-",(3246.8622-2005.79162)/1525216.45469*100)</f>
        <v>8.1370127904386358E-2</v>
      </c>
      <c r="H64" s="26">
        <f>IF(OR(1808523.91457="",3704.00297="",3246.8622=""),"-",(3704.00297-3246.8622)/1808523.91457*100)</f>
        <v>2.5277009959179395E-2</v>
      </c>
      <c r="I64" s="84"/>
      <c r="J64" s="85"/>
      <c r="K64" s="86"/>
    </row>
    <row r="65" spans="1:11" ht="28.5" customHeight="1" x14ac:dyDescent="0.2">
      <c r="A65" s="57" t="s">
        <v>257</v>
      </c>
      <c r="B65" s="58" t="s">
        <v>161</v>
      </c>
      <c r="C65" s="26">
        <v>18055.90119</v>
      </c>
      <c r="D65" s="26">
        <f>IF(OR(16578.55053="",18055.90119=""),"-",18055.90119/16578.55053*100)</f>
        <v>108.91121728239533</v>
      </c>
      <c r="E65" s="26">
        <f>IF(16578.55053="","-",16578.55053/1808523.91457*100)</f>
        <v>0.91668959400748462</v>
      </c>
      <c r="F65" s="26">
        <f>IF(18055.90119="","-",18055.90119/2959137.72403*100)</f>
        <v>0.61017441139609985</v>
      </c>
      <c r="G65" s="26">
        <f>IF(OR(1525216.45469="",13260.5344="",16578.55053=""),"-",(16578.55053-13260.5344)/1525216.45469*100)</f>
        <v>0.21754395055188319</v>
      </c>
      <c r="H65" s="26">
        <f>IF(OR(1808523.91457="",18055.90119="",16578.55053=""),"-",(18055.90119-16578.55053)/1808523.91457*100)</f>
        <v>8.168820152711441E-2</v>
      </c>
      <c r="I65" s="84"/>
      <c r="J65" s="85"/>
      <c r="K65" s="86"/>
    </row>
    <row r="66" spans="1:11" ht="29.25" customHeight="1" x14ac:dyDescent="0.2">
      <c r="A66" s="57" t="s">
        <v>258</v>
      </c>
      <c r="B66" s="58" t="s">
        <v>162</v>
      </c>
      <c r="C66" s="26">
        <v>4505.4211299999997</v>
      </c>
      <c r="D66" s="26" t="s">
        <v>351</v>
      </c>
      <c r="E66" s="26">
        <f>IF(1382.39928="","-",1382.39928/1808523.91457*100)</f>
        <v>7.6437987292453546E-2</v>
      </c>
      <c r="F66" s="26">
        <f>IF(4505.42113="","-",4505.42113/2959137.72403*100)</f>
        <v>0.15225452649308063</v>
      </c>
      <c r="G66" s="26">
        <f>IF(OR(1525216.45469="",1242.26536="",1382.39928=""),"-",(1382.39928-1242.26536)/1525216.45469*100)</f>
        <v>9.1878054140507003E-3</v>
      </c>
      <c r="H66" s="26">
        <f>IF(OR(1808523.91457="",4505.42113="",1382.39928=""),"-",(4505.42113-1382.39928)/1808523.91457*100)</f>
        <v>0.17268346991930922</v>
      </c>
      <c r="I66" s="84"/>
      <c r="J66" s="85"/>
      <c r="K66" s="86"/>
    </row>
    <row r="67" spans="1:11" ht="40.5" customHeight="1" x14ac:dyDescent="0.2">
      <c r="A67" s="57" t="s">
        <v>259</v>
      </c>
      <c r="B67" s="58" t="s">
        <v>163</v>
      </c>
      <c r="C67" s="26">
        <v>1962.27673</v>
      </c>
      <c r="D67" s="26">
        <f>IF(OR(1907.08327="",1962.27673=""),"-",1962.27673/1907.08327*100)</f>
        <v>102.89412952587016</v>
      </c>
      <c r="E67" s="26">
        <f>IF(1907.08327="","-",1907.08327/1808523.91457*100)</f>
        <v>0.10544971258803808</v>
      </c>
      <c r="F67" s="26">
        <f>IF(1962.27673="","-",1962.27673/2959137.72403*100)</f>
        <v>6.6312450213625349E-2</v>
      </c>
      <c r="G67" s="26">
        <f>IF(OR(1525216.45469="",1684.57922="",1907.08327=""),"-",(1907.08327-1684.57922)/1525216.45469*100)</f>
        <v>1.458835887298527E-2</v>
      </c>
      <c r="H67" s="26">
        <f>IF(OR(1808523.91457="",1962.27673="",1907.08327=""),"-",(1962.27673-1907.08327)/1808523.91457*100)</f>
        <v>3.0518512669556225E-3</v>
      </c>
      <c r="I67" s="84"/>
      <c r="J67" s="85"/>
      <c r="K67" s="86"/>
    </row>
    <row r="68" spans="1:11" ht="48" x14ac:dyDescent="0.2">
      <c r="A68" s="57" t="s">
        <v>260</v>
      </c>
      <c r="B68" s="58" t="s">
        <v>164</v>
      </c>
      <c r="C68" s="26">
        <v>355216.00793000002</v>
      </c>
      <c r="D68" s="26">
        <f>IF(OR(355143.93206="",355216.00793=""),"-",355216.00793/355143.93206*100)</f>
        <v>100.02029483358534</v>
      </c>
      <c r="E68" s="26">
        <f>IF(355143.93206="","-",355143.93206/1808523.91457*100)</f>
        <v>19.637226204135658</v>
      </c>
      <c r="F68" s="26">
        <f>IF(355216.00793="","-",355216.00793/2959137.72403*100)</f>
        <v>12.004037698057436</v>
      </c>
      <c r="G68" s="26">
        <f>IF(OR(1525216.45469="",284280.22974="",355143.93206=""),"-",(355143.93206-284280.22974)/1525216.45469*100)</f>
        <v>4.646140690529271</v>
      </c>
      <c r="H68" s="26">
        <f>IF(OR(1808523.91457="",355216.00793="",355143.93206=""),"-",(355216.00793-355143.93206)/1808523.91457*100)</f>
        <v>3.985342378905592E-3</v>
      </c>
      <c r="I68" s="84"/>
      <c r="J68" s="85"/>
      <c r="K68" s="86"/>
    </row>
    <row r="69" spans="1:11" ht="24" x14ac:dyDescent="0.2">
      <c r="A69" s="57" t="s">
        <v>261</v>
      </c>
      <c r="B69" s="58" t="s">
        <v>165</v>
      </c>
      <c r="C69" s="26">
        <v>61390.612730000001</v>
      </c>
      <c r="D69" s="26" t="s">
        <v>99</v>
      </c>
      <c r="E69" s="26">
        <f>IF(37153.40174="","-",37153.40174/1808523.91457*100)</f>
        <v>2.0543494858255</v>
      </c>
      <c r="F69" s="26">
        <f>IF(61390.61273="","-",61390.61273/2959137.72403*100)</f>
        <v>2.0746115407698276</v>
      </c>
      <c r="G69" s="26">
        <f>IF(OR(1525216.45469="",14683.53175="",37153.40174=""),"-",(37153.40174-14683.53175)/1525216.45469*100)</f>
        <v>1.4732249918302249</v>
      </c>
      <c r="H69" s="26">
        <f>IF(OR(1808523.91457="",61390.61273="",37153.40174=""),"-",(61390.61273-37153.40174)/1808523.91457*100)</f>
        <v>1.3401653577670667</v>
      </c>
      <c r="I69" s="84"/>
      <c r="J69" s="85"/>
      <c r="K69" s="86"/>
    </row>
    <row r="70" spans="1:11" x14ac:dyDescent="0.2">
      <c r="A70" s="57" t="s">
        <v>262</v>
      </c>
      <c r="B70" s="58" t="s">
        <v>31</v>
      </c>
      <c r="C70" s="26">
        <v>2404.1886500000001</v>
      </c>
      <c r="D70" s="26" t="s">
        <v>357</v>
      </c>
      <c r="E70" s="26">
        <f>IF(842.8359="","-",842.8359/1808523.91457*100)</f>
        <v>4.6603525295400655E-2</v>
      </c>
      <c r="F70" s="26">
        <f>IF(2404.18865="","-",2404.18865/2959137.72403*100)</f>
        <v>8.1246257329509353E-2</v>
      </c>
      <c r="G70" s="26">
        <f>IF(OR(1525216.45469="",394.95844="",842.8359=""),"-",(842.8359-394.95844)/1525216.45469*100)</f>
        <v>2.9364845797643264E-2</v>
      </c>
      <c r="H70" s="26">
        <f>IF(OR(1808523.91457="",2404.18865="",842.8359=""),"-",(2404.18865-842.8359)/1808523.91457*100)</f>
        <v>8.633298887680077E-2</v>
      </c>
      <c r="I70" s="81"/>
      <c r="J70" s="82"/>
      <c r="K70" s="83"/>
    </row>
    <row r="71" spans="1:11" x14ac:dyDescent="0.2">
      <c r="A71" s="54" t="s">
        <v>263</v>
      </c>
      <c r="B71" s="55" t="s">
        <v>32</v>
      </c>
      <c r="C71" s="20">
        <v>415141.15551999997</v>
      </c>
      <c r="D71" s="20">
        <f>IF(385271.34257="","-",415141.15552/385271.34257*100)</f>
        <v>107.75292881914073</v>
      </c>
      <c r="E71" s="20">
        <f>IF(385271.34257="","-",385271.34257/1808523.91457*100)</f>
        <v>21.303082556229466</v>
      </c>
      <c r="F71" s="20">
        <f>IF(415141.15552="","-",415141.15552/2959137.72403*100)</f>
        <v>14.029125854765089</v>
      </c>
      <c r="G71" s="20">
        <f>IF(1525216.45469="","-",(385271.34257-318325.5599)/1525216.45469*100)</f>
        <v>4.3892643869755981</v>
      </c>
      <c r="H71" s="20">
        <f>IF(1808523.91457="","-",(415141.15552-385271.34257)/1808523.91457*100)</f>
        <v>1.6516128268672592</v>
      </c>
      <c r="I71" s="84"/>
      <c r="J71" s="85"/>
      <c r="K71" s="86"/>
    </row>
    <row r="72" spans="1:11" ht="48" x14ac:dyDescent="0.2">
      <c r="A72" s="57" t="s">
        <v>264</v>
      </c>
      <c r="B72" s="58" t="s">
        <v>191</v>
      </c>
      <c r="C72" s="26">
        <v>11873.733899999999</v>
      </c>
      <c r="D72" s="26">
        <f>IF(OR(10575.91183="",11873.7339=""),"-",11873.7339/10575.91183*100)</f>
        <v>112.27149101525747</v>
      </c>
      <c r="E72" s="26">
        <f>IF(10575.91183="","-",10575.91183/1808523.91457*100)</f>
        <v>0.58478142007398104</v>
      </c>
      <c r="F72" s="26">
        <f>IF(11873.7339="","-",11873.7339/2959137.72403*100)</f>
        <v>0.40125654860799653</v>
      </c>
      <c r="G72" s="26">
        <f>IF(OR(1525216.45469="",6783.20623="",10575.91183=""),"-",(10575.91183-6783.20623)/1525216.45469*100)</f>
        <v>0.24866671142561636</v>
      </c>
      <c r="H72" s="26">
        <f>IF(OR(1808523.91457="",11873.7339="",10575.91183=""),"-",(11873.7339-10575.91183)/1808523.91457*100)</f>
        <v>7.1761399423273545E-2</v>
      </c>
      <c r="I72" s="84"/>
      <c r="J72" s="85"/>
      <c r="K72" s="86"/>
    </row>
    <row r="73" spans="1:11" x14ac:dyDescent="0.2">
      <c r="A73" s="57" t="s">
        <v>265</v>
      </c>
      <c r="B73" s="58" t="s">
        <v>166</v>
      </c>
      <c r="C73" s="26">
        <v>97745.409199999995</v>
      </c>
      <c r="D73" s="26">
        <f>IF(OR(103234.55896="",97745.4092=""),"-",97745.4092/103234.55896*100)</f>
        <v>94.682837011850978</v>
      </c>
      <c r="E73" s="26">
        <f>IF(103234.55896="","-",103234.55896/1808523.91457*100)</f>
        <v>5.70822194433328</v>
      </c>
      <c r="F73" s="26">
        <f>IF(97745.4092="","-",97745.4092/2959137.72403*100)</f>
        <v>3.3031720154911266</v>
      </c>
      <c r="G73" s="26">
        <f>IF(OR(1525216.45469="",77330.63962="",103234.55896=""),"-",(103234.55896-77330.63962)/1525216.45469*100)</f>
        <v>1.6983765983081371</v>
      </c>
      <c r="H73" s="26">
        <f>IF(OR(1808523.91457="",97745.4092="",103234.55896=""),"-",(97745.4092-103234.55896)/1808523.91457*100)</f>
        <v>-0.30351546450548966</v>
      </c>
      <c r="I73" s="84"/>
      <c r="J73" s="85"/>
      <c r="K73" s="86"/>
    </row>
    <row r="74" spans="1:11" x14ac:dyDescent="0.2">
      <c r="A74" s="57" t="s">
        <v>266</v>
      </c>
      <c r="B74" s="58" t="s">
        <v>167</v>
      </c>
      <c r="C74" s="26">
        <v>10264.72356</v>
      </c>
      <c r="D74" s="26">
        <f>IF(OR(9822.09539="",10264.72356=""),"-",10264.72356/9822.09539*100)</f>
        <v>104.50645358678399</v>
      </c>
      <c r="E74" s="26">
        <f>IF(9822.09539="","-",9822.09539/1808523.91457*100)</f>
        <v>0.54310011113872003</v>
      </c>
      <c r="F74" s="26">
        <f>IF(10264.72356="","-",10264.72356/2959137.72403*100)</f>
        <v>0.34688225142899554</v>
      </c>
      <c r="G74" s="26">
        <f>IF(OR(1525216.45469="",8188.11986="",9822.09539=""),"-",(9822.09539-8188.11986)/1525216.45469*100)</f>
        <v>0.10713073052520312</v>
      </c>
      <c r="H74" s="26">
        <f>IF(OR(1808523.91457="",10264.72356="",9822.09539=""),"-",(10264.72356-9822.09539)/1808523.91457*100)</f>
        <v>2.4474554438238687E-2</v>
      </c>
      <c r="I74" s="84"/>
      <c r="J74" s="85"/>
      <c r="K74" s="86"/>
    </row>
    <row r="75" spans="1:11" x14ac:dyDescent="0.2">
      <c r="A75" s="57" t="s">
        <v>267</v>
      </c>
      <c r="B75" s="58" t="s">
        <v>168</v>
      </c>
      <c r="C75" s="26">
        <v>198345.16120999999</v>
      </c>
      <c r="D75" s="26">
        <f>IF(OR(180932.14341="",198345.16121=""),"-",198345.16121/180932.14341*100)</f>
        <v>109.62405986676526</v>
      </c>
      <c r="E75" s="26">
        <f>IF(180932.14341="","-",180932.14341/1808523.91457*100)</f>
        <v>10.00440978149957</v>
      </c>
      <c r="F75" s="26">
        <f>IF(198345.16121="","-",198345.16121/2959137.72403*100)</f>
        <v>6.7028026306216333</v>
      </c>
      <c r="G75" s="26">
        <f>IF(OR(1525216.45469="",155186.46915="",180932.14341=""),"-",(180932.14341-155186.46915)/1525216.45469*100)</f>
        <v>1.6880013443883808</v>
      </c>
      <c r="H75" s="26">
        <f>IF(OR(1808523.91457="",198345.16121="",180932.14341=""),"-",(198345.16121-180932.14341)/1808523.91457*100)</f>
        <v>0.96283038668803955</v>
      </c>
      <c r="I75" s="84"/>
      <c r="J75" s="85"/>
      <c r="K75" s="86"/>
    </row>
    <row r="76" spans="1:11" x14ac:dyDescent="0.2">
      <c r="A76" s="57" t="s">
        <v>268</v>
      </c>
      <c r="B76" s="58" t="s">
        <v>169</v>
      </c>
      <c r="C76" s="26">
        <v>26057.59619</v>
      </c>
      <c r="D76" s="26">
        <f>IF(OR(24588.07488="",26057.59619=""),"-",26057.59619/24588.07488*100)</f>
        <v>105.97656106536147</v>
      </c>
      <c r="E76" s="26">
        <f>IF(24588.07488="","-",24588.07488/1808523.91457*100)</f>
        <v>1.3595659245593184</v>
      </c>
      <c r="F76" s="26">
        <f>IF(26057.59619="","-",26057.59619/2959137.72403*100)</f>
        <v>0.88058071709188979</v>
      </c>
      <c r="G76" s="26">
        <f>IF(OR(1525216.45469="",21416.34443="",24588.07488=""),"-",(24588.07488-21416.34443)/1525216.45469*100)</f>
        <v>0.20795280828809656</v>
      </c>
      <c r="H76" s="26">
        <f>IF(OR(1808523.91457="",26057.59619="",24588.07488=""),"-",(26057.59619-24588.07488)/1808523.91457*100)</f>
        <v>8.1255287705133711E-2</v>
      </c>
      <c r="I76" s="84"/>
      <c r="J76" s="85"/>
      <c r="K76" s="86"/>
    </row>
    <row r="77" spans="1:11" ht="24" x14ac:dyDescent="0.2">
      <c r="A77" s="57" t="s">
        <v>269</v>
      </c>
      <c r="B77" s="58" t="s">
        <v>192</v>
      </c>
      <c r="C77" s="26">
        <v>14217.955760000001</v>
      </c>
      <c r="D77" s="26">
        <f>IF(OR(14602.29613="",14217.95576=""),"-",14217.95576/14602.29613*100)</f>
        <v>97.367945653352521</v>
      </c>
      <c r="E77" s="26">
        <f>IF(14602.29613="","-",14602.29613/1808523.91457*100)</f>
        <v>0.80741515289676924</v>
      </c>
      <c r="F77" s="26">
        <f>IF(14217.95576="","-",14217.95576/2959137.72403*100)</f>
        <v>0.48047631053267786</v>
      </c>
      <c r="G77" s="26">
        <f>IF(OR(1525216.45469="",12825.68085="",14602.29613=""),"-",(14602.29613-12825.68085)/1525216.45469*100)</f>
        <v>0.11648282934117024</v>
      </c>
      <c r="H77" s="26">
        <f>IF(OR(1808523.91457="",14217.95576="",14602.29613=""),"-",(14217.95576-14602.29613)/1808523.91457*100)</f>
        <v>-2.1251605627309704E-2</v>
      </c>
      <c r="I77" s="84"/>
      <c r="J77" s="85"/>
      <c r="K77" s="86"/>
    </row>
    <row r="78" spans="1:11" ht="24" x14ac:dyDescent="0.2">
      <c r="A78" s="57" t="s">
        <v>270</v>
      </c>
      <c r="B78" s="58" t="s">
        <v>170</v>
      </c>
      <c r="C78" s="26">
        <v>3380.9904900000001</v>
      </c>
      <c r="D78" s="26">
        <f>IF(OR(2311.14084="",3380.99049=""),"-",3380.99049/2311.14084*100)</f>
        <v>146.2909759320423</v>
      </c>
      <c r="E78" s="26">
        <f>IF(2311.14084="","-",2311.14084/1808523.91457*100)</f>
        <v>0.12779155538838996</v>
      </c>
      <c r="F78" s="26">
        <f>IF(3380.99049="","-",3380.99049/2959137.72403*100)</f>
        <v>0.11425593552284838</v>
      </c>
      <c r="G78" s="26">
        <f>IF(OR(1525216.45469="",1905.93796="",2311.14084=""),"-",(2311.14084-1905.93796)/1525216.45469*100)</f>
        <v>2.6566909814932298E-2</v>
      </c>
      <c r="H78" s="26">
        <f>IF(OR(1808523.91457="",3380.99049="",2311.14084=""),"-",(3380.99049-2311.14084)/1808523.91457*100)</f>
        <v>5.9155958148022089E-2</v>
      </c>
      <c r="I78" s="84"/>
      <c r="J78" s="85"/>
      <c r="K78" s="86"/>
    </row>
    <row r="79" spans="1:11" x14ac:dyDescent="0.2">
      <c r="A79" s="57" t="s">
        <v>271</v>
      </c>
      <c r="B79" s="58" t="s">
        <v>33</v>
      </c>
      <c r="C79" s="26">
        <v>53255.585209999997</v>
      </c>
      <c r="D79" s="26">
        <f>IF(OR(39205.12113="",53255.58521=""),"-",53255.58521/39205.12113*100)</f>
        <v>135.83833865328501</v>
      </c>
      <c r="E79" s="26">
        <f>IF(39205.12113="","-",39205.12113/1808523.91457*100)</f>
        <v>2.1677966663394397</v>
      </c>
      <c r="F79" s="26">
        <f>IF(53255.58521="","-",53255.58521/2959137.72403*100)</f>
        <v>1.799699445467922</v>
      </c>
      <c r="G79" s="26">
        <f>IF(OR(1525216.45469="",34689.1618="",39205.12113=""),"-",(39205.12113-34689.1618)/1525216.45469*100)</f>
        <v>0.29608645488406204</v>
      </c>
      <c r="H79" s="26">
        <f>IF(OR(1808523.91457="",53255.58521="",39205.12113=""),"-",(53255.58521-39205.12113)/1808523.91457*100)</f>
        <v>0.77690231059735126</v>
      </c>
      <c r="I79" s="84"/>
      <c r="J79" s="85"/>
      <c r="K79" s="86"/>
    </row>
    <row r="80" spans="1:11" ht="24" x14ac:dyDescent="0.2">
      <c r="A80" s="54" t="s">
        <v>274</v>
      </c>
      <c r="B80" s="55" t="s">
        <v>171</v>
      </c>
      <c r="C80" s="20">
        <v>2358.9547899999998</v>
      </c>
      <c r="D80" s="20" t="s">
        <v>363</v>
      </c>
      <c r="E80" s="20">
        <f>IF(389.17775="","-",389.17775/1808523.91457*100)</f>
        <v>2.1519082322587483E-2</v>
      </c>
      <c r="F80" s="20">
        <f>IF(2358.95479="","-",2358.95479/2959137.72403*100)</f>
        <v>7.9717641083206461E-2</v>
      </c>
      <c r="G80" s="20">
        <f>IF(1525216.45469="","-",(389.17775-408.3958)/1525216.45469*100)</f>
        <v>-1.260021155745141E-3</v>
      </c>
      <c r="H80" s="20">
        <f>IF(1808523.91457="","-",(2358.95479-389.17775)/1808523.91457*100)</f>
        <v>0.10891628383406474</v>
      </c>
      <c r="I80" s="84"/>
      <c r="J80" s="85"/>
      <c r="K80" s="86"/>
    </row>
    <row r="81" spans="1:11" x14ac:dyDescent="0.2">
      <c r="A81" s="57" t="s">
        <v>304</v>
      </c>
      <c r="B81" s="58" t="s">
        <v>305</v>
      </c>
      <c r="C81" s="26">
        <v>963.23551999999995</v>
      </c>
      <c r="D81" s="26" t="s">
        <v>340</v>
      </c>
      <c r="E81" s="26">
        <f>IF(389.17775="","-",389.17775/1808523.91457*100)</f>
        <v>2.1519082322587483E-2</v>
      </c>
      <c r="F81" s="26">
        <f>IF(963.23552="","-",963.23552/2959137.72403*100)</f>
        <v>3.2551223019393151E-2</v>
      </c>
      <c r="G81" s="26">
        <f>IF(OR(1525216.45469="",408.3958="",389.17775=""),"-",(389.17775-408.3958)/1525216.45469*100)</f>
        <v>-1.260021155745141E-3</v>
      </c>
      <c r="H81" s="26">
        <f>IF(OR(1808523.91457="",963.23552="",389.17775=""),"-",(963.23552-389.17775)/1808523.91457*100)</f>
        <v>3.1741784854224034E-2</v>
      </c>
      <c r="I81" s="84"/>
      <c r="J81" s="85"/>
      <c r="K81" s="86"/>
    </row>
    <row r="82" spans="1:11" ht="24" x14ac:dyDescent="0.2">
      <c r="A82" s="60" t="s">
        <v>306</v>
      </c>
      <c r="B82" s="61" t="s">
        <v>312</v>
      </c>
      <c r="C82" s="37">
        <v>1395.7192700000001</v>
      </c>
      <c r="D82" s="37" t="str">
        <f>IF(OR(""="",1395.71927=""),"-",1395.71927/""*100)</f>
        <v>-</v>
      </c>
      <c r="E82" s="37" t="str">
        <f>IF(""="","-",""/1808523.91457*100)</f>
        <v>-</v>
      </c>
      <c r="F82" s="37">
        <f>IF(1395.71927="","-",1395.71927/2959137.72403*100)</f>
        <v>4.716641806381331E-2</v>
      </c>
      <c r="G82" s="37" t="str">
        <f>IF(OR(1525216.45469="",""="",""=""),"-",(""-"")/1525216.45469*100)</f>
        <v>-</v>
      </c>
      <c r="H82" s="37" t="str">
        <f>IF(OR(1808523.91457="",1395.71927="",""=""),"-",(1395.71927-"")/1808523.91457*100)</f>
        <v>-</v>
      </c>
      <c r="I82" s="84"/>
      <c r="J82" s="85"/>
      <c r="K82" s="86"/>
    </row>
    <row r="83" spans="1:11" x14ac:dyDescent="0.2">
      <c r="A83" s="38" t="s">
        <v>277</v>
      </c>
      <c r="B83" s="39"/>
      <c r="C83" s="79"/>
      <c r="D83" s="88"/>
      <c r="E83" s="88"/>
      <c r="F83" s="88"/>
      <c r="G83" s="88"/>
      <c r="H83" s="88"/>
      <c r="I83" s="18"/>
      <c r="J83" s="18"/>
      <c r="K83" s="18"/>
    </row>
    <row r="84" spans="1:11" ht="13.5" x14ac:dyDescent="0.2">
      <c r="A84" s="39" t="s">
        <v>409</v>
      </c>
      <c r="B84" s="39"/>
      <c r="C84" s="18"/>
      <c r="D84" s="18"/>
      <c r="E84" s="18"/>
      <c r="F84" s="18"/>
      <c r="G84" s="18"/>
      <c r="H84" s="18"/>
    </row>
  </sheetData>
  <mergeCells count="11"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M84"/>
  <sheetViews>
    <sheetView zoomScaleNormal="100" workbookViewId="0">
      <selection sqref="A1:XFD1048576"/>
    </sheetView>
  </sheetViews>
  <sheetFormatPr defaultRowHeight="12" x14ac:dyDescent="0.2"/>
  <cols>
    <col min="1" max="1" width="5.25" style="3" customWidth="1"/>
    <col min="2" max="2" width="26.125" style="3" customWidth="1"/>
    <col min="3" max="3" width="11.75" style="3" customWidth="1"/>
    <col min="4" max="4" width="10.5" style="3" customWidth="1"/>
    <col min="5" max="5" width="7.75" style="3" customWidth="1"/>
    <col min="6" max="6" width="7.875" style="3" customWidth="1"/>
    <col min="7" max="7" width="8.125" style="3" customWidth="1"/>
    <col min="8" max="8" width="9" style="3" customWidth="1"/>
    <col min="9" max="16384" width="9" style="3"/>
  </cols>
  <sheetData>
    <row r="1" spans="1:13" x14ac:dyDescent="0.2">
      <c r="B1" s="41" t="s">
        <v>411</v>
      </c>
      <c r="C1" s="41"/>
      <c r="D1" s="41"/>
      <c r="E1" s="41"/>
      <c r="F1" s="41"/>
      <c r="G1" s="41"/>
      <c r="H1" s="41"/>
    </row>
    <row r="2" spans="1:13" x14ac:dyDescent="0.2">
      <c r="B2" s="41" t="s">
        <v>276</v>
      </c>
      <c r="C2" s="41"/>
      <c r="D2" s="41"/>
      <c r="E2" s="41"/>
      <c r="F2" s="41"/>
      <c r="G2" s="41"/>
      <c r="H2" s="41"/>
    </row>
    <row r="3" spans="1:13" x14ac:dyDescent="0.2">
      <c r="B3" s="42"/>
    </row>
    <row r="4" spans="1:13" ht="57.75" customHeight="1" x14ac:dyDescent="0.2">
      <c r="A4" s="65" t="s">
        <v>202</v>
      </c>
      <c r="B4" s="66"/>
      <c r="C4" s="67" t="s">
        <v>364</v>
      </c>
      <c r="D4" s="45"/>
      <c r="E4" s="67" t="s">
        <v>0</v>
      </c>
      <c r="F4" s="45"/>
      <c r="G4" s="46" t="s">
        <v>112</v>
      </c>
      <c r="H4" s="68"/>
    </row>
    <row r="5" spans="1:13" ht="19.5" customHeight="1" x14ac:dyDescent="0.2">
      <c r="A5" s="69"/>
      <c r="B5" s="70"/>
      <c r="C5" s="71" t="s">
        <v>104</v>
      </c>
      <c r="D5" s="43" t="s">
        <v>365</v>
      </c>
      <c r="E5" s="72" t="s">
        <v>366</v>
      </c>
      <c r="F5" s="72"/>
      <c r="G5" s="72" t="s">
        <v>412</v>
      </c>
      <c r="H5" s="67"/>
    </row>
    <row r="6" spans="1:13" ht="33" customHeight="1" x14ac:dyDescent="0.2">
      <c r="A6" s="73"/>
      <c r="B6" s="74"/>
      <c r="C6" s="75"/>
      <c r="D6" s="47"/>
      <c r="E6" s="76" t="s">
        <v>297</v>
      </c>
      <c r="F6" s="76" t="s">
        <v>298</v>
      </c>
      <c r="G6" s="76" t="s">
        <v>297</v>
      </c>
      <c r="H6" s="49" t="s">
        <v>298</v>
      </c>
    </row>
    <row r="7" spans="1:13" x14ac:dyDescent="0.2">
      <c r="A7" s="77"/>
      <c r="B7" s="52" t="s">
        <v>116</v>
      </c>
      <c r="C7" s="21">
        <v>5891753.1111099999</v>
      </c>
      <c r="D7" s="21">
        <f>IF(4403044.02622="","-",5891753.11111/4403044.02622*100)</f>
        <v>133.81090618274038</v>
      </c>
      <c r="E7" s="21">
        <v>100</v>
      </c>
      <c r="F7" s="21">
        <v>100</v>
      </c>
      <c r="G7" s="21">
        <f>IF(3323881.41153="","-",(4403044.02622-3323881.41153)/3323881.41153*100)</f>
        <v>32.466940936778364</v>
      </c>
      <c r="H7" s="21">
        <f>IF(4403044.02622="","-",(5891753.11111-4403044.02622)/4403044.02622*100)</f>
        <v>33.810906182740389</v>
      </c>
      <c r="I7" s="78"/>
      <c r="J7" s="78"/>
      <c r="K7" s="78"/>
      <c r="L7" s="78"/>
      <c r="M7" s="78"/>
    </row>
    <row r="8" spans="1:13" ht="12" customHeight="1" x14ac:dyDescent="0.2">
      <c r="A8" s="54" t="s">
        <v>203</v>
      </c>
      <c r="B8" s="55" t="s">
        <v>172</v>
      </c>
      <c r="C8" s="20">
        <v>599792.97583999997</v>
      </c>
      <c r="D8" s="20">
        <f>IF(485548.9984="","-",599792.97584/485548.9984*100)</f>
        <v>123.52882568318773</v>
      </c>
      <c r="E8" s="20">
        <f>IF(485548.9984="","-",485548.9984/4403044.02622*100)</f>
        <v>11.027575366236851</v>
      </c>
      <c r="F8" s="20">
        <f>IF(599792.97584="","-",599792.97584/5891753.11111*100)</f>
        <v>10.180212315906083</v>
      </c>
      <c r="G8" s="20">
        <f>IF(3323881.41153="","-",(485548.9984-411265.60593)/3323881.41153*100)</f>
        <v>2.2348388306611371</v>
      </c>
      <c r="H8" s="20">
        <f>IF(4403044.02622="","-",(599792.97584-485548.9984)/4403044.02622*100)</f>
        <v>2.5946589850040196</v>
      </c>
    </row>
    <row r="9" spans="1:13" x14ac:dyDescent="0.2">
      <c r="A9" s="57" t="s">
        <v>204</v>
      </c>
      <c r="B9" s="58" t="s">
        <v>21</v>
      </c>
      <c r="C9" s="26">
        <v>6420.6115200000004</v>
      </c>
      <c r="D9" s="26" t="s">
        <v>194</v>
      </c>
      <c r="E9" s="26">
        <f>IF(3556.98507="","-",3556.98507/4403044.02622*100)</f>
        <v>8.0784680980209522E-2</v>
      </c>
      <c r="F9" s="26">
        <f>IF(6420.61152="","-",6420.61152/5891753.11111*100)</f>
        <v>0.10897624864648078</v>
      </c>
      <c r="G9" s="26">
        <f>IF(OR(3323881.41153="",4700.48708="",3556.98507=""),"-",(3556.98507-4700.48708)/3323881.41153*100)</f>
        <v>-3.4402611538226921E-2</v>
      </c>
      <c r="H9" s="26">
        <f>IF(OR(4403044.02622="",6420.61152="",3556.98507=""),"-",(6420.61152-3556.98507)/4403044.02622*100)</f>
        <v>6.5037424857602777E-2</v>
      </c>
    </row>
    <row r="10" spans="1:13" ht="14.25" customHeight="1" x14ac:dyDescent="0.2">
      <c r="A10" s="57" t="s">
        <v>205</v>
      </c>
      <c r="B10" s="58" t="s">
        <v>173</v>
      </c>
      <c r="C10" s="26">
        <v>54927.670409999999</v>
      </c>
      <c r="D10" s="26">
        <f>IF(OR(40602.58128="",54927.67041=""),"-",54927.67041/40602.58128*100)</f>
        <v>135.28122764218503</v>
      </c>
      <c r="E10" s="26">
        <f>IF(40602.58128="","-",40602.58128/4403044.02622*100)</f>
        <v>0.92214797395194759</v>
      </c>
      <c r="F10" s="26">
        <f>IF(54927.67041="","-",54927.67041/5891753.11111*100)</f>
        <v>0.93228058566173833</v>
      </c>
      <c r="G10" s="26">
        <f>IF(OR(3323881.41153="",25379.85181="",40602.58128=""),"-",(40602.58128-25379.85181)/3323881.41153*100)</f>
        <v>0.45798052292704672</v>
      </c>
      <c r="H10" s="26">
        <f>IF(OR(4403044.02622="",54927.67041="",40602.58128=""),"-",(54927.67041-40602.58128)/4403044.02622*100)</f>
        <v>0.32534512588778375</v>
      </c>
    </row>
    <row r="11" spans="1:13" s="29" customFormat="1" x14ac:dyDescent="0.2">
      <c r="A11" s="57" t="s">
        <v>206</v>
      </c>
      <c r="B11" s="58" t="s">
        <v>174</v>
      </c>
      <c r="C11" s="26">
        <v>78502.168319999997</v>
      </c>
      <c r="D11" s="26">
        <f>IF(OR(59635.72364="",78502.16832=""),"-",78502.16832/59635.72364*100)</f>
        <v>131.63614613598071</v>
      </c>
      <c r="E11" s="26">
        <f>IF(59635.72364="","-",59635.72364/4403044.02622*100)</f>
        <v>1.3544203347700132</v>
      </c>
      <c r="F11" s="26">
        <f>IF(78502.16832="","-",78502.16832/5891753.11111*100)</f>
        <v>1.3324076355468717</v>
      </c>
      <c r="G11" s="26">
        <f>IF(OR(3323881.41153="",52836.07844="",59635.72364=""),"-",(59635.72364-52836.07844)/3323881.41153*100)</f>
        <v>0.20456942827181329</v>
      </c>
      <c r="H11" s="26">
        <f>IF(OR(4403044.02622="",78502.16832="",59635.72364=""),"-",(78502.16832-59635.72364)/4403044.02622*100)</f>
        <v>0.42848639640328068</v>
      </c>
    </row>
    <row r="12" spans="1:13" s="29" customFormat="1" x14ac:dyDescent="0.2">
      <c r="A12" s="57" t="s">
        <v>207</v>
      </c>
      <c r="B12" s="58" t="s">
        <v>175</v>
      </c>
      <c r="C12" s="26">
        <v>51007.285490000002</v>
      </c>
      <c r="D12" s="26">
        <f>IF(OR(44672.78167="",51007.28549=""),"-",51007.28549/44672.78167*100)</f>
        <v>114.17978371437287</v>
      </c>
      <c r="E12" s="26">
        <f>IF(44672.78167="","-",44672.78167/4403044.02622*100)</f>
        <v>1.0145885756302881</v>
      </c>
      <c r="F12" s="26">
        <f>IF(51007.28549="","-",51007.28549/5891753.11111*100)</f>
        <v>0.86574037520031599</v>
      </c>
      <c r="G12" s="26">
        <f>IF(OR(3323881.41153="",34794.3183399999="",44672.78167=""),"-",(44672.78167-34794.3183399999)/3323881.41153*100)</f>
        <v>0.29719662367415761</v>
      </c>
      <c r="H12" s="26">
        <f>IF(OR(4403044.02622="",51007.28549="",44672.78167=""),"-",(51007.28549-44672.78167)/4403044.02622*100)</f>
        <v>0.14386646561511124</v>
      </c>
    </row>
    <row r="13" spans="1:13" s="29" customFormat="1" ht="15" customHeight="1" x14ac:dyDescent="0.2">
      <c r="A13" s="57" t="s">
        <v>208</v>
      </c>
      <c r="B13" s="58" t="s">
        <v>176</v>
      </c>
      <c r="C13" s="26">
        <v>106217.45311</v>
      </c>
      <c r="D13" s="26">
        <f>IF(OR(67764.09999="",106217.45311=""),"-",106217.45311/67764.09999*100)</f>
        <v>156.7459069413961</v>
      </c>
      <c r="E13" s="26">
        <f>IF(67764.09999="","-",67764.09999/4403044.02622*100)</f>
        <v>1.5390284445594169</v>
      </c>
      <c r="F13" s="26">
        <f>IF(106217.45311="","-",106217.45311/5891753.11111*100)</f>
        <v>1.8028157512185494</v>
      </c>
      <c r="G13" s="26">
        <f>IF(OR(3323881.41153="",62483.1048="",67764.09999=""),"-",(67764.09999-62483.1048)/3323881.41153*100)</f>
        <v>0.1588803731589549</v>
      </c>
      <c r="H13" s="26">
        <f>IF(OR(4403044.02622="",106217.45311="",67764.09999=""),"-",(106217.45311-67764.09999)/4403044.02622*100)</f>
        <v>0.87333564895130245</v>
      </c>
    </row>
    <row r="14" spans="1:13" s="29" customFormat="1" ht="14.25" customHeight="1" x14ac:dyDescent="0.2">
      <c r="A14" s="57" t="s">
        <v>209</v>
      </c>
      <c r="B14" s="58" t="s">
        <v>177</v>
      </c>
      <c r="C14" s="26">
        <v>128374.12668</v>
      </c>
      <c r="D14" s="26">
        <f>IF(OR(118791.56682="",128374.12668=""),"-",128374.12668/118791.56682*100)</f>
        <v>108.06670045401461</v>
      </c>
      <c r="E14" s="26">
        <f>IF(118791.56682="","-",118791.56682/4403044.02622*100)</f>
        <v>2.697941835525596</v>
      </c>
      <c r="F14" s="26">
        <f>IF(128374.12668="","-",128374.12668/5891753.11111*100)</f>
        <v>2.1788782431824347</v>
      </c>
      <c r="G14" s="26">
        <f>IF(OR(3323881.41153="",112006.57879="",118791.56682=""),"-",(118791.56682-112006.57879)/3323881.41153*100)</f>
        <v>0.2041284627804103</v>
      </c>
      <c r="H14" s="26">
        <f>IF(OR(4403044.02622="",128374.12668="",118791.56682=""),"-",(128374.12668-118791.56682)/4403044.02622*100)</f>
        <v>0.21763488629539338</v>
      </c>
    </row>
    <row r="15" spans="1:13" s="29" customFormat="1" ht="24" x14ac:dyDescent="0.2">
      <c r="A15" s="57" t="s">
        <v>210</v>
      </c>
      <c r="B15" s="58" t="s">
        <v>135</v>
      </c>
      <c r="C15" s="26">
        <v>13224.553959999999</v>
      </c>
      <c r="D15" s="26">
        <f>IF(OR(11727.12564="",13224.55396=""),"-",13224.55396/11727.12564*100)</f>
        <v>112.76892877221702</v>
      </c>
      <c r="E15" s="26">
        <f>IF(11727.12564="","-",11727.12564/4403044.02622*100)</f>
        <v>0.2663413213714263</v>
      </c>
      <c r="F15" s="26">
        <f>IF(13224.55396="","-",13224.55396/5891753.11111*100)</f>
        <v>0.22445872579186379</v>
      </c>
      <c r="G15" s="26">
        <f>IF(OR(3323881.41153="",10207.57916="",11727.12564=""),"-",(11727.12564-10207.57916)/3323881.41153*100)</f>
        <v>4.5716025689994326E-2</v>
      </c>
      <c r="H15" s="26">
        <f>IF(OR(4403044.02622="",13224.55396="",11727.12564=""),"-",(13224.55396-11727.12564)/4403044.02622*100)</f>
        <v>3.4008933616899051E-2</v>
      </c>
    </row>
    <row r="16" spans="1:13" s="29" customFormat="1" ht="24" x14ac:dyDescent="0.2">
      <c r="A16" s="57" t="s">
        <v>211</v>
      </c>
      <c r="B16" s="58" t="s">
        <v>178</v>
      </c>
      <c r="C16" s="26">
        <v>43035.547440000002</v>
      </c>
      <c r="D16" s="26">
        <f>IF(OR(39731.53613="",43035.54744=""),"-",43035.54744/39731.53613*100)</f>
        <v>108.31584084539145</v>
      </c>
      <c r="E16" s="26">
        <f>IF(39731.53613="","-",39731.53613/4403044.02622*100)</f>
        <v>0.90236517948491646</v>
      </c>
      <c r="F16" s="26">
        <f>IF(43035.54744="","-",43035.54744/5891753.11111*100)</f>
        <v>0.73043704697755318</v>
      </c>
      <c r="G16" s="26">
        <f>IF(OR(3323881.41153="",32604.28254="",39731.53613=""),"-",(39731.53613-32604.28254)/3323881.41153*100)</f>
        <v>0.2144256279804907</v>
      </c>
      <c r="H16" s="26">
        <f>IF(OR(4403044.02622="",43035.54744="",39731.53613=""),"-",(43035.54744-39731.53613)/4403044.02622*100)</f>
        <v>7.5039252170196566E-2</v>
      </c>
    </row>
    <row r="17" spans="1:8" s="29" customFormat="1" ht="24" x14ac:dyDescent="0.2">
      <c r="A17" s="57" t="s">
        <v>212</v>
      </c>
      <c r="B17" s="58" t="s">
        <v>136</v>
      </c>
      <c r="C17" s="26">
        <v>37197.308380000002</v>
      </c>
      <c r="D17" s="26">
        <f>IF(OR(32344.29734="",37197.30838=""),"-",37197.30838/32344.29734*100)</f>
        <v>115.00422466744489</v>
      </c>
      <c r="E17" s="26">
        <f>IF(32344.29734="","-",32344.29734/4403044.02622*100)</f>
        <v>0.73458946009602999</v>
      </c>
      <c r="F17" s="26">
        <f>IF(37197.30838="","-",37197.30838/5891753.11111*100)</f>
        <v>0.63134533437691975</v>
      </c>
      <c r="G17" s="26">
        <f>IF(OR(3323881.41153="",25593.29712="",32344.29734=""),"-",(32344.29734-25593.29712)/3323881.41153*100)</f>
        <v>0.20310592900763211</v>
      </c>
      <c r="H17" s="26">
        <f>IF(OR(4403044.02622="",37197.30838="",32344.29734=""),"-",(37197.30838-32344.29734)/4403044.02622*100)</f>
        <v>0.11021945297617876</v>
      </c>
    </row>
    <row r="18" spans="1:8" s="29" customFormat="1" ht="24" x14ac:dyDescent="0.2">
      <c r="A18" s="57" t="s">
        <v>213</v>
      </c>
      <c r="B18" s="58" t="s">
        <v>179</v>
      </c>
      <c r="C18" s="26">
        <v>80886.250530000005</v>
      </c>
      <c r="D18" s="26">
        <f>IF(OR(66722.30082="",80886.25053=""),"-",80886.25053/66722.30082*100)</f>
        <v>121.22820936317946</v>
      </c>
      <c r="E18" s="26">
        <f>IF(66722.30082="","-",66722.30082/4403044.02622*100)</f>
        <v>1.5153675598670062</v>
      </c>
      <c r="F18" s="26">
        <f>IF(80886.25053="","-",80886.25053/5891753.11111*100)</f>
        <v>1.3728723693033553</v>
      </c>
      <c r="G18" s="26">
        <f>IF(OR(3323881.41153="",50660.02785="",66722.30082=""),"-",(66722.30082-50660.02785)/3323881.41153*100)</f>
        <v>0.48323844870886823</v>
      </c>
      <c r="H18" s="26">
        <f>IF(OR(4403044.02622="",80886.25053="",66722.30082=""),"-",(80886.25053-66722.30082)/4403044.02622*100)</f>
        <v>0.32168539823027181</v>
      </c>
    </row>
    <row r="19" spans="1:8" s="29" customFormat="1" x14ac:dyDescent="0.2">
      <c r="A19" s="54" t="s">
        <v>214</v>
      </c>
      <c r="B19" s="55" t="s">
        <v>180</v>
      </c>
      <c r="C19" s="20">
        <v>86137.060039999997</v>
      </c>
      <c r="D19" s="20">
        <f>IF(84619.16097="","-",86137.06004/84619.16097*100)</f>
        <v>101.79380066240333</v>
      </c>
      <c r="E19" s="20">
        <f>IF(84619.16097="","-",84619.16097/4403044.02622*100)</f>
        <v>1.921833178730336</v>
      </c>
      <c r="F19" s="20">
        <f>IF(86137.06004="","-",86137.06004/5891753.11111*100)</f>
        <v>1.4619937124923394</v>
      </c>
      <c r="G19" s="20">
        <f>IF(3323881.41153="","-",(84619.16097-66595.8737)/3323881.41153*100)</f>
        <v>0.54223617026408255</v>
      </c>
      <c r="H19" s="20">
        <f>IF(4403044.02622="","-",(86137.06004-84619.16097)/4403044.02622*100)</f>
        <v>3.4473856290351726E-2</v>
      </c>
    </row>
    <row r="20" spans="1:8" s="29" customFormat="1" x14ac:dyDescent="0.2">
      <c r="A20" s="57" t="s">
        <v>215</v>
      </c>
      <c r="B20" s="58" t="s">
        <v>181</v>
      </c>
      <c r="C20" s="26">
        <v>56894.185539999999</v>
      </c>
      <c r="D20" s="26">
        <f>IF(OR(53041.37649="",56894.18554=""),"-",56894.18554/53041.37649*100)</f>
        <v>107.26378028806695</v>
      </c>
      <c r="E20" s="26">
        <f>IF(53041.37649="","-",53041.37649/4403044.02622*100)</f>
        <v>1.2046524216914509</v>
      </c>
      <c r="F20" s="26">
        <f>IF(56894.18554="","-",56894.18554/5891753.11111*100)</f>
        <v>0.96565800479173836</v>
      </c>
      <c r="G20" s="26">
        <f>IF(OR(3323881.41153="",34537.71624="",53041.37649=""),"-",(53041.37649-34537.71624)/3323881.41153*100)</f>
        <v>0.55668833989726096</v>
      </c>
      <c r="H20" s="26">
        <f>IF(OR(4403044.02622="",56894.18554="",53041.37649=""),"-",(56894.18554-53041.37649)/4403044.02622*100)</f>
        <v>8.7503305146544738E-2</v>
      </c>
    </row>
    <row r="21" spans="1:8" s="29" customFormat="1" x14ac:dyDescent="0.2">
      <c r="A21" s="57" t="s">
        <v>216</v>
      </c>
      <c r="B21" s="58" t="s">
        <v>182</v>
      </c>
      <c r="C21" s="26">
        <v>29242.874500000002</v>
      </c>
      <c r="D21" s="26">
        <f>IF(OR(31577.78448="",29242.8745=""),"-",29242.8745/31577.78448*100)</f>
        <v>92.605846108428452</v>
      </c>
      <c r="E21" s="26">
        <f>IF(31577.78448="","-",31577.78448/4403044.02622*100)</f>
        <v>0.71718075703888495</v>
      </c>
      <c r="F21" s="26">
        <f>IF(29242.8745="","-",29242.8745/5891753.11111*100)</f>
        <v>0.49633570770060109</v>
      </c>
      <c r="G21" s="26">
        <f>IF(OR(3323881.41153="",32058.15746="",31577.78448=""),"-",(31577.78448-32058.15746)/3323881.41153*100)</f>
        <v>-1.4452169633178394E-2</v>
      </c>
      <c r="H21" s="26">
        <f>IF(OR(4403044.02622="",29242.8745="",31577.78448=""),"-",(29242.8745-31577.78448)/4403044.02622*100)</f>
        <v>-5.3029448856193012E-2</v>
      </c>
    </row>
    <row r="22" spans="1:8" s="29" customFormat="1" ht="24" x14ac:dyDescent="0.2">
      <c r="A22" s="54" t="s">
        <v>217</v>
      </c>
      <c r="B22" s="55" t="s">
        <v>22</v>
      </c>
      <c r="C22" s="20">
        <v>208629.03909999999</v>
      </c>
      <c r="D22" s="20">
        <f>IF(132145.56063="","-",208629.0391/132145.56063*100)</f>
        <v>157.87820499256071</v>
      </c>
      <c r="E22" s="20">
        <f>IF(132145.56063="","-",132145.56063/4403044.02622*100)</f>
        <v>3.0012318714752109</v>
      </c>
      <c r="F22" s="20">
        <f>IF(208629.0391="","-",208629.0391/5891753.11111*100)</f>
        <v>3.5410349884924912</v>
      </c>
      <c r="G22" s="20">
        <f>IF(3323881.41153="","-",(132145.56063-94471.87241)/3323881.41153*100)</f>
        <v>1.1334245586896134</v>
      </c>
      <c r="H22" s="20">
        <f>IF(4403044.02622="","-",(208629.0391-132145.56063)/4403044.02622*100)</f>
        <v>1.7370591348744888</v>
      </c>
    </row>
    <row r="23" spans="1:8" s="29" customFormat="1" x14ac:dyDescent="0.2">
      <c r="A23" s="57" t="s">
        <v>219</v>
      </c>
      <c r="B23" s="58" t="s">
        <v>183</v>
      </c>
      <c r="C23" s="26">
        <v>112970.92865</v>
      </c>
      <c r="D23" s="26" t="s">
        <v>339</v>
      </c>
      <c r="E23" s="26">
        <f>IF(42357.10981="","-",42357.10981/4403044.02622*100)</f>
        <v>0.9619960544969488</v>
      </c>
      <c r="F23" s="26">
        <f>IF(112970.92865="","-",112970.92865/5891753.11111*100)</f>
        <v>1.917441659885107</v>
      </c>
      <c r="G23" s="26">
        <f>IF(OR(3323881.41153="",28939.36464="",42357.10981=""),"-",(42357.10981-28939.36464)/3323881.41153*100)</f>
        <v>0.40367701216583851</v>
      </c>
      <c r="H23" s="26">
        <f>IF(OR(4403044.02622="",112970.92865="",42357.10981=""),"-",(112970.92865-42357.10981)/4403044.02622*100)</f>
        <v>1.6037500061206915</v>
      </c>
    </row>
    <row r="24" spans="1:8" s="29" customFormat="1" ht="24" x14ac:dyDescent="0.2">
      <c r="A24" s="57" t="s">
        <v>272</v>
      </c>
      <c r="B24" s="58" t="s">
        <v>184</v>
      </c>
      <c r="C24" s="26">
        <v>3024.6033499999999</v>
      </c>
      <c r="D24" s="26" t="s">
        <v>18</v>
      </c>
      <c r="E24" s="26">
        <f>IF(1535.13221="","-",1535.13221/4403044.02622*100)</f>
        <v>3.4865247788991707E-2</v>
      </c>
      <c r="F24" s="26">
        <f>IF(3024.60335="","-",3024.60335/5891753.11111*100)</f>
        <v>5.1336220187104341E-2</v>
      </c>
      <c r="G24" s="26">
        <f>IF(OR(3323881.41153="",855.04697="",1535.13221=""),"-",(1535.13221-855.04697)/3323881.41153*100)</f>
        <v>2.0460574725707593E-2</v>
      </c>
      <c r="H24" s="26">
        <f>IF(OR(4403044.02622="",3024.60335="",1535.13221=""),"-",(3024.60335-1535.13221)/4403044.02622*100)</f>
        <v>3.3828213643339523E-2</v>
      </c>
    </row>
    <row r="25" spans="1:8" s="29" customFormat="1" ht="14.25" customHeight="1" x14ac:dyDescent="0.2">
      <c r="A25" s="57" t="s">
        <v>220</v>
      </c>
      <c r="B25" s="58" t="s">
        <v>185</v>
      </c>
      <c r="C25" s="26">
        <v>39995.46931</v>
      </c>
      <c r="D25" s="26">
        <f>IF(OR(33026.9073="",39995.46931=""),"-",39995.46931/33026.9073*100)</f>
        <v>121.099650496188</v>
      </c>
      <c r="E25" s="26">
        <f>IF(33026.9073="","-",33026.9073/4403044.02622*100)</f>
        <v>0.75009259737867073</v>
      </c>
      <c r="F25" s="26">
        <f>IF(39995.46931="","-",39995.46931/5891753.11111*100)</f>
        <v>0.67883817525518975</v>
      </c>
      <c r="G25" s="26">
        <f>IF(OR(3323881.41153="",24203.28045="",33026.9073=""),"-",(33026.9073-24203.28045)/3323881.41153*100)</f>
        <v>0.26546154202109273</v>
      </c>
      <c r="H25" s="26">
        <f>IF(OR(4403044.02622="",39995.46931="",33026.9073=""),"-",(39995.46931-33026.9073)/4403044.02622*100)</f>
        <v>0.15826691644467816</v>
      </c>
    </row>
    <row r="26" spans="1:8" s="29" customFormat="1" x14ac:dyDescent="0.2">
      <c r="A26" s="57" t="s">
        <v>221</v>
      </c>
      <c r="B26" s="58" t="s">
        <v>137</v>
      </c>
      <c r="C26" s="26">
        <v>513.14948000000004</v>
      </c>
      <c r="D26" s="26">
        <f>IF(OR(388.48929="",513.14948=""),"-",513.14948/388.48929*100)</f>
        <v>132.08844959406733</v>
      </c>
      <c r="E26" s="26">
        <f>IF(388.48929="","-",388.48929/4403044.02622*100)</f>
        <v>8.8231979441167844E-3</v>
      </c>
      <c r="F26" s="26">
        <f>IF(513.14948="","-",513.14948/5891753.11111*100)</f>
        <v>8.7096229309466637E-3</v>
      </c>
      <c r="G26" s="26">
        <f>IF(OR(3323881.41153="",286.51155="",388.48929=""),"-",(388.48929-286.51155)/3323881.41153*100)</f>
        <v>3.0680318391100203E-3</v>
      </c>
      <c r="H26" s="26">
        <f>IF(OR(4403044.02622="",513.14948="",388.48929=""),"-",(513.14948-388.48929)/4403044.02622*100)</f>
        <v>2.8312274248826997E-3</v>
      </c>
    </row>
    <row r="27" spans="1:8" s="29" customFormat="1" ht="36" x14ac:dyDescent="0.2">
      <c r="A27" s="57" t="s">
        <v>222</v>
      </c>
      <c r="B27" s="58" t="s">
        <v>138</v>
      </c>
      <c r="C27" s="26">
        <v>5201.6715700000004</v>
      </c>
      <c r="D27" s="26">
        <f>IF(OR(6554.35286="",5201.67157=""),"-",5201.67157/6554.35286*100)</f>
        <v>79.362092354606617</v>
      </c>
      <c r="E27" s="26">
        <f>IF(6554.35286="","-",6554.35286/4403044.02622*100)</f>
        <v>0.14885958034870916</v>
      </c>
      <c r="F27" s="26">
        <f>IF(5201.67157="","-",5201.67157/5891753.11111*100)</f>
        <v>8.8287330984580428E-2</v>
      </c>
      <c r="G27" s="26">
        <f>IF(OR(3323881.41153="",4537.39974="",6554.35286=""),"-",(6554.35286-4537.39974)/3323881.41153*100)</f>
        <v>6.0680658251029057E-2</v>
      </c>
      <c r="H27" s="26">
        <f>IF(OR(4403044.02622="",5201.67157="",6554.35286=""),"-",(5201.67157-6554.35286)/4403044.02622*100)</f>
        <v>-3.0721502713686746E-2</v>
      </c>
    </row>
    <row r="28" spans="1:8" s="29" customFormat="1" ht="36" x14ac:dyDescent="0.2">
      <c r="A28" s="57" t="s">
        <v>223</v>
      </c>
      <c r="B28" s="58" t="s">
        <v>139</v>
      </c>
      <c r="C28" s="26">
        <v>13349.68362</v>
      </c>
      <c r="D28" s="26">
        <f>IF(OR(12957.04226="",13349.68362=""),"-",13349.68362/12957.04226*100)</f>
        <v>103.03033170781677</v>
      </c>
      <c r="E28" s="26">
        <f>IF(12957.04226="","-",12957.04226/4403044.02622*100)</f>
        <v>0.29427464687705113</v>
      </c>
      <c r="F28" s="26">
        <f>IF(13349.68362="","-",13349.68362/5891753.11111*100)</f>
        <v>0.22658253610163465</v>
      </c>
      <c r="G28" s="26">
        <f>IF(OR(3323881.41153="",10586.40243="",12957.04226=""),"-",(12957.04226-10586.40243)/3323881.41153*100)</f>
        <v>7.1321432280244387E-2</v>
      </c>
      <c r="H28" s="26">
        <f>IF(OR(4403044.02622="",13349.68362="",12957.04226=""),"-",(13349.68362-12957.04226)/4403044.02622*100)</f>
        <v>8.917497932381134E-3</v>
      </c>
    </row>
    <row r="29" spans="1:8" s="29" customFormat="1" ht="24" x14ac:dyDescent="0.2">
      <c r="A29" s="57" t="s">
        <v>224</v>
      </c>
      <c r="B29" s="58" t="s">
        <v>140</v>
      </c>
      <c r="C29" s="26">
        <v>1639.80267</v>
      </c>
      <c r="D29" s="26" t="s">
        <v>194</v>
      </c>
      <c r="E29" s="26">
        <f>IF(924.35249="","-",924.35249/4403044.02622*100)</f>
        <v>2.0993487335023396E-2</v>
      </c>
      <c r="F29" s="26">
        <f>IF(1639.80267="","-",1639.80267/5891753.11111*100)</f>
        <v>2.783216878025398E-2</v>
      </c>
      <c r="G29" s="26">
        <f>IF(OR(3323881.41153="",950.63448="",924.35249=""),"-",(924.35249-950.63448)/3323881.41153*100)</f>
        <v>-7.9070179546214092E-4</v>
      </c>
      <c r="H29" s="26">
        <f>IF(OR(4403044.02622="",1639.80267="",924.35249=""),"-",(1639.80267-924.35249)/4403044.02622*100)</f>
        <v>1.624898992014422E-2</v>
      </c>
    </row>
    <row r="30" spans="1:8" s="29" customFormat="1" ht="24" x14ac:dyDescent="0.2">
      <c r="A30" s="57" t="s">
        <v>225</v>
      </c>
      <c r="B30" s="58" t="s">
        <v>141</v>
      </c>
      <c r="C30" s="26">
        <v>31933.730449999999</v>
      </c>
      <c r="D30" s="26">
        <f>IF(OR(34387.53999="",31933.73045=""),"-",31933.73045/34387.53999*100)</f>
        <v>92.864248094764633</v>
      </c>
      <c r="E30" s="26">
        <f>IF(34387.53999="","-",34387.53999/4403044.02622*100)</f>
        <v>0.7809946887930983</v>
      </c>
      <c r="F30" s="26">
        <f>IF(31933.73045="","-",31933.73045/5891753.11111*100)</f>
        <v>0.54200727436767493</v>
      </c>
      <c r="G30" s="26">
        <f>IF(OR(3323881.41153="",24113.23215="",34387.53999=""),"-",(34387.53999-24113.23215)/3323881.41153*100)</f>
        <v>0.30910572815143489</v>
      </c>
      <c r="H30" s="26">
        <f>IF(OR(4403044.02622="",31933.73045="",34387.53999=""),"-",(31933.73045-34387.53999)/4403044.02622*100)</f>
        <v>-5.5729843385340538E-2</v>
      </c>
    </row>
    <row r="31" spans="1:8" s="29" customFormat="1" ht="24" x14ac:dyDescent="0.2">
      <c r="A31" s="54" t="s">
        <v>226</v>
      </c>
      <c r="B31" s="55" t="s">
        <v>142</v>
      </c>
      <c r="C31" s="20">
        <v>1515047.9606399999</v>
      </c>
      <c r="D31" s="20" t="s">
        <v>339</v>
      </c>
      <c r="E31" s="20">
        <f>IF(551240.53141="","-",551240.53141/4403044.02622*100)</f>
        <v>12.519532580809518</v>
      </c>
      <c r="F31" s="20">
        <f>IF(1515047.96064="","-",1515047.96064/5891753.11111*100)</f>
        <v>25.714722461521582</v>
      </c>
      <c r="G31" s="20">
        <f>IF(3323881.41153="","-",(551240.53141-384179.24239)/3323881.41153*100)</f>
        <v>5.0260905350140286</v>
      </c>
      <c r="H31" s="20">
        <f>IF(4403044.02622="","-",(1515047.96064-551240.53141)/4403044.02622*100)</f>
        <v>21.889570567329201</v>
      </c>
    </row>
    <row r="32" spans="1:8" s="29" customFormat="1" x14ac:dyDescent="0.2">
      <c r="A32" s="57" t="s">
        <v>227</v>
      </c>
      <c r="B32" s="58" t="s">
        <v>186</v>
      </c>
      <c r="C32" s="26">
        <v>21425.784179999999</v>
      </c>
      <c r="D32" s="26" t="s">
        <v>346</v>
      </c>
      <c r="E32" s="26">
        <f>IF(9499.66108="","-",9499.66108/4403044.02622*100)</f>
        <v>0.21575212565283908</v>
      </c>
      <c r="F32" s="26">
        <f>IF(21425.78418="","-",21425.78418/5891753.11111*100)</f>
        <v>0.36365719635464161</v>
      </c>
      <c r="G32" s="26">
        <f>IF(OR(3323881.41153="",10394.43557="",9499.66108=""),"-",(9499.66108-10394.43557)/3323881.41153*100)</f>
        <v>-2.6919567193226981E-2</v>
      </c>
      <c r="H32" s="26">
        <f>IF(OR(4403044.02622="",21425.78418="",9499.66108=""),"-",(21425.78418-9499.66108)/4403044.02622*100)</f>
        <v>0.27086086418805444</v>
      </c>
    </row>
    <row r="33" spans="1:8" s="29" customFormat="1" ht="24" x14ac:dyDescent="0.2">
      <c r="A33" s="57" t="s">
        <v>228</v>
      </c>
      <c r="B33" s="58" t="s">
        <v>143</v>
      </c>
      <c r="C33" s="26">
        <v>944286.15685000003</v>
      </c>
      <c r="D33" s="26" t="s">
        <v>340</v>
      </c>
      <c r="E33" s="26">
        <f>IF(374537.97819="","-",374537.97819/4403044.02622*100)</f>
        <v>8.5063418843790135</v>
      </c>
      <c r="F33" s="26">
        <f>IF(944286.15685="","-",944286.15685/5891753.11111*100)</f>
        <v>16.027252653702888</v>
      </c>
      <c r="G33" s="26">
        <f>IF(OR(3323881.41153="",239009.05863="",374537.97819=""),"-",(374537.97819-239009.05863)/3323881.41153*100)</f>
        <v>4.0774294500962744</v>
      </c>
      <c r="H33" s="26">
        <f>IF(OR(4403044.02622="",944286.15685="",374537.97819=""),"-",(944286.15685-374537.97819)/4403044.02622*100)</f>
        <v>12.939870127738129</v>
      </c>
    </row>
    <row r="34" spans="1:8" s="29" customFormat="1" ht="24" x14ac:dyDescent="0.2">
      <c r="A34" s="57" t="s">
        <v>273</v>
      </c>
      <c r="B34" s="58" t="s">
        <v>187</v>
      </c>
      <c r="C34" s="26">
        <v>512157.37764000002</v>
      </c>
      <c r="D34" s="26" t="s">
        <v>354</v>
      </c>
      <c r="E34" s="26">
        <f>IF(159822.60815="","-",159822.60815/4403044.02622*100)</f>
        <v>3.6298208057484995</v>
      </c>
      <c r="F34" s="26">
        <f>IF(512157.37764="","-",512157.37764/5891753.11111*100)</f>
        <v>8.6927840997653441</v>
      </c>
      <c r="G34" s="26">
        <f>IF(OR(3323881.41153="",126664.5262="",159822.60815=""),"-",(159822.60815-126664.5262)/3323881.41153*100)</f>
        <v>0.99757114784480694</v>
      </c>
      <c r="H34" s="26">
        <f>IF(OR(4403044.02622="",512157.37764="",159822.60815=""),"-",(512157.37764-159822.60815)/4403044.02622*100)</f>
        <v>8.0020723706566788</v>
      </c>
    </row>
    <row r="35" spans="1:8" s="29" customFormat="1" x14ac:dyDescent="0.2">
      <c r="A35" s="57" t="s">
        <v>279</v>
      </c>
      <c r="B35" s="58" t="s">
        <v>281</v>
      </c>
      <c r="C35" s="26">
        <v>37178.641969999997</v>
      </c>
      <c r="D35" s="26" t="s">
        <v>355</v>
      </c>
      <c r="E35" s="26">
        <f>IF(7380.28399="","-",7380.28399/4403044.02622*100)</f>
        <v>0.16761776502916215</v>
      </c>
      <c r="F35" s="26">
        <f>IF(37178.6419699999="","-",37178.6419699999/5891753.11111*100)</f>
        <v>0.63102851169871044</v>
      </c>
      <c r="G35" s="26">
        <f>IF(OR(3323881.41153="",8111.22199="",7380.28399=""),"-",(7380.28399-8111.22199)/3323881.41153*100)</f>
        <v>-2.1990495733827806E-2</v>
      </c>
      <c r="H35" s="26">
        <f>IF(OR(4403044.02622="",37178.6419699999="",7380.28399=""),"-",(37178.6419699999-7380.28399)/4403044.02622*100)</f>
        <v>0.67676720474634222</v>
      </c>
    </row>
    <row r="36" spans="1:8" s="29" customFormat="1" ht="24" x14ac:dyDescent="0.2">
      <c r="A36" s="54" t="s">
        <v>229</v>
      </c>
      <c r="B36" s="55" t="s">
        <v>144</v>
      </c>
      <c r="C36" s="20">
        <v>51553.631170000001</v>
      </c>
      <c r="D36" s="20" t="s">
        <v>350</v>
      </c>
      <c r="E36" s="20">
        <f>IF(9098.97239="","-",9098.97239/4403044.02622*100)</f>
        <v>0.20665186029973542</v>
      </c>
      <c r="F36" s="20">
        <f>IF(51553.63117="","-",51553.63117/5891753.11111*100)</f>
        <v>0.87501343314583235</v>
      </c>
      <c r="G36" s="20">
        <f>IF(3323881.41153="","-",(9098.97239-6517.63761)/3323881.41153*100)</f>
        <v>7.7660254997238276E-2</v>
      </c>
      <c r="H36" s="20">
        <f>IF(4403044.02622="","-",(51553.63117-9098.97239)/4403044.02622*100)</f>
        <v>0.96421154381341012</v>
      </c>
    </row>
    <row r="37" spans="1:8" s="29" customFormat="1" ht="24" x14ac:dyDescent="0.2">
      <c r="A37" s="57" t="s">
        <v>230</v>
      </c>
      <c r="B37" s="58" t="s">
        <v>190</v>
      </c>
      <c r="C37" s="26">
        <v>1621.0817500000001</v>
      </c>
      <c r="D37" s="26">
        <f>IF(OR(1182.66491="",1621.08175=""),"-",1621.08175/1182.66491*100)</f>
        <v>137.07025010152708</v>
      </c>
      <c r="E37" s="26">
        <f>IF(1182.66491="","-",1182.66491/4403044.02622*100)</f>
        <v>2.6860165443662716E-2</v>
      </c>
      <c r="F37" s="26">
        <f>IF(1621.08175="","-",1621.08175/5891753.11111*100)</f>
        <v>2.7514420910529126E-2</v>
      </c>
      <c r="G37" s="26">
        <f>IF(OR(3323881.41153="",1024.59171="",1182.66491=""),"-",(1182.66491-1024.59171)/3323881.41153*100)</f>
        <v>4.7556810977572783E-3</v>
      </c>
      <c r="H37" s="26">
        <f>IF(OR(4403044.02622="",1621.08175="",1182.66491=""),"-",(1621.08175-1182.66491)/4403044.02622*100)</f>
        <v>9.9571305076497172E-3</v>
      </c>
    </row>
    <row r="38" spans="1:8" s="29" customFormat="1" ht="24" x14ac:dyDescent="0.2">
      <c r="A38" s="57" t="s">
        <v>231</v>
      </c>
      <c r="B38" s="58" t="s">
        <v>145</v>
      </c>
      <c r="C38" s="26">
        <v>47509.038</v>
      </c>
      <c r="D38" s="26" t="s">
        <v>400</v>
      </c>
      <c r="E38" s="26">
        <f>IF(6597.87793="","-",6597.87793/4403044.02622*100)</f>
        <v>0.14984810260151449</v>
      </c>
      <c r="F38" s="26">
        <f>IF(47509.038="","-",47509.038/5891753.11111*100)</f>
        <v>0.80636505135309977</v>
      </c>
      <c r="G38" s="26">
        <f>IF(OR(3323881.41153="",4391.06534="",6597.87793=""),"-",(6597.87793-4391.06534)/3323881.41153*100)</f>
        <v>6.6392639109955243E-2</v>
      </c>
      <c r="H38" s="26">
        <f>IF(OR(4403044.02622="",47509.038="",6597.87793=""),"-",(47509.038-6597.87793)/4403044.02622*100)</f>
        <v>0.92915627975498816</v>
      </c>
    </row>
    <row r="39" spans="1:8" s="29" customFormat="1" ht="72" x14ac:dyDescent="0.2">
      <c r="A39" s="57" t="s">
        <v>232</v>
      </c>
      <c r="B39" s="58" t="s">
        <v>188</v>
      </c>
      <c r="C39" s="26">
        <v>2423.5114199999998</v>
      </c>
      <c r="D39" s="26" t="s">
        <v>194</v>
      </c>
      <c r="E39" s="26">
        <f>IF(1318.42955="","-",1318.42955/4403044.02622*100)</f>
        <v>2.9943592254558209E-2</v>
      </c>
      <c r="F39" s="26">
        <f>IF(2423.51142="","-",2423.51142/5891753.11111*100)</f>
        <v>4.1133960882203578E-2</v>
      </c>
      <c r="G39" s="26">
        <f>IF(OR(3323881.41153="",1101.98056="",1318.42955=""),"-",(1318.42955-1101.98056)/3323881.41153*100)</f>
        <v>6.5119347895257031E-3</v>
      </c>
      <c r="H39" s="26">
        <f>IF(OR(4403044.02622="",2423.51142="",1318.42955=""),"-",(2423.51142-1318.42955)/4403044.02622*100)</f>
        <v>2.5098133550772353E-2</v>
      </c>
    </row>
    <row r="40" spans="1:8" s="29" customFormat="1" ht="24" x14ac:dyDescent="0.2">
      <c r="A40" s="54" t="s">
        <v>233</v>
      </c>
      <c r="B40" s="55" t="s">
        <v>146</v>
      </c>
      <c r="C40" s="20">
        <v>729933.27291000006</v>
      </c>
      <c r="D40" s="20">
        <f>IF(669052.78466="","-",729933.27291/669052.78466*100)</f>
        <v>109.09950450037186</v>
      </c>
      <c r="E40" s="20">
        <f>IF(669052.78466="","-",669052.78466/4403044.02622*100)</f>
        <v>15.19523267711633</v>
      </c>
      <c r="F40" s="20">
        <f>IF(729933.27291="","-",729933.27291/5891753.11111*100)</f>
        <v>12.389067551618458</v>
      </c>
      <c r="G40" s="20">
        <f>IF(3323881.41153="","-",(669052.78466-536032.01126)/3323881.41153*100)</f>
        <v>4.0019710973614364</v>
      </c>
      <c r="H40" s="20">
        <f>IF(4403044.02622="","-",(729933.27291-669052.78466)/4403044.02622*100)</f>
        <v>1.3826908812961782</v>
      </c>
    </row>
    <row r="41" spans="1:8" s="29" customFormat="1" x14ac:dyDescent="0.2">
      <c r="A41" s="57" t="s">
        <v>234</v>
      </c>
      <c r="B41" s="58" t="s">
        <v>23</v>
      </c>
      <c r="C41" s="26">
        <v>12253.12437</v>
      </c>
      <c r="D41" s="26">
        <f>IF(OR(8512.59885="",12253.12437=""),"-",12253.12437/8512.59885*100)</f>
        <v>143.94105238495996</v>
      </c>
      <c r="E41" s="26">
        <f>IF(8512.59885="","-",8512.59885/4403044.02622*100)</f>
        <v>0.19333440227505605</v>
      </c>
      <c r="F41" s="26">
        <f>IF(12253.12437="","-",12253.12437/5891753.11111*100)</f>
        <v>0.20797077098995287</v>
      </c>
      <c r="G41" s="26">
        <f>IF(OR(3323881.41153="",7837.86295="",8512.59885=""),"-",(8512.59885-7837.86295)/3323881.41153*100)</f>
        <v>2.0299638177807798E-2</v>
      </c>
      <c r="H41" s="26">
        <f>IF(OR(4403044.02622="",12253.12437="",8512.59885=""),"-",(12253.12437-8512.59885)/4403044.02622*100)</f>
        <v>8.4953170981831611E-2</v>
      </c>
    </row>
    <row r="42" spans="1:8" s="29" customFormat="1" x14ac:dyDescent="0.2">
      <c r="A42" s="57" t="s">
        <v>235</v>
      </c>
      <c r="B42" s="58" t="s">
        <v>24</v>
      </c>
      <c r="C42" s="26">
        <v>20185.17684</v>
      </c>
      <c r="D42" s="26" t="s">
        <v>100</v>
      </c>
      <c r="E42" s="26">
        <f>IF(10778.49844="","-",10778.49844/4403044.02622*100)</f>
        <v>0.24479651749594941</v>
      </c>
      <c r="F42" s="26">
        <f>IF(20185.17684="","-",20185.17684/5891753.11111*100)</f>
        <v>0.34260052075055691</v>
      </c>
      <c r="G42" s="26">
        <f>IF(OR(3323881.41153="",11019.89168="",10778.49844=""),"-",(10778.49844-11019.89168)/3323881.41153*100)</f>
        <v>-7.2623902634626984E-3</v>
      </c>
      <c r="H42" s="26">
        <f>IF(OR(4403044.02622="",20185.17684="",10778.49844=""),"-",(20185.17684-10778.49844)/4403044.02622*100)</f>
        <v>0.21364034390715836</v>
      </c>
    </row>
    <row r="43" spans="1:8" s="29" customFormat="1" ht="17.25" customHeight="1" x14ac:dyDescent="0.2">
      <c r="A43" s="57" t="s">
        <v>236</v>
      </c>
      <c r="B43" s="58" t="s">
        <v>147</v>
      </c>
      <c r="C43" s="26">
        <v>33074.174140000003</v>
      </c>
      <c r="D43" s="26">
        <f>IF(OR(33277.36272="",33074.17414=""),"-",33074.17414/33277.36272*100)</f>
        <v>99.38940900542616</v>
      </c>
      <c r="E43" s="26">
        <f>IF(33277.36272="","-",33277.36272/4403044.02622*100)</f>
        <v>0.7557808307578634</v>
      </c>
      <c r="F43" s="26">
        <f>IF(33074.17414="","-",33074.17414/5891753.11111*100)</f>
        <v>0.56136388467521625</v>
      </c>
      <c r="G43" s="26">
        <f>IF(OR(3323881.41153="",26649.27977="",33277.36272=""),"-",(33277.36272-26649.27977)/3323881.41153*100)</f>
        <v>0.19940792493403234</v>
      </c>
      <c r="H43" s="26">
        <f>IF(OR(4403044.02622="",33074.17414="",33277.36272=""),"-",(33074.17414-33277.36272)/4403044.02622*100)</f>
        <v>-4.6147296913229205E-3</v>
      </c>
    </row>
    <row r="44" spans="1:8" s="29" customFormat="1" x14ac:dyDescent="0.2">
      <c r="A44" s="57" t="s">
        <v>237</v>
      </c>
      <c r="B44" s="58" t="s">
        <v>148</v>
      </c>
      <c r="C44" s="26">
        <v>186249.32699999999</v>
      </c>
      <c r="D44" s="26">
        <f>IF(OR(204223.44698="",186249.327=""),"-",186249.327/204223.44698*100)</f>
        <v>91.198797079475284</v>
      </c>
      <c r="E44" s="26">
        <f>IF(204223.44698="","-",204223.44698/4403044.02622*100)</f>
        <v>4.6382331351641106</v>
      </c>
      <c r="F44" s="26">
        <f>IF(186249.327="","-",186249.327/5891753.11111*100)</f>
        <v>3.1611868910255616</v>
      </c>
      <c r="G44" s="26">
        <f>IF(OR(3323881.41153="",153924.31384="",204223.44698=""),"-",(204223.44698-153924.31384)/3323881.41153*100)</f>
        <v>1.513264972857352</v>
      </c>
      <c r="H44" s="26">
        <f>IF(OR(4403044.02622="",186249.327="",204223.44698=""),"-",(186249.327-204223.44698)/4403044.02622*100)</f>
        <v>-0.40822031015280913</v>
      </c>
    </row>
    <row r="45" spans="1:8" s="29" customFormat="1" ht="41.25" customHeight="1" x14ac:dyDescent="0.2">
      <c r="A45" s="57" t="s">
        <v>238</v>
      </c>
      <c r="B45" s="58" t="s">
        <v>149</v>
      </c>
      <c r="C45" s="26">
        <v>96530.348960000003</v>
      </c>
      <c r="D45" s="26">
        <f>IF(OR(88337.58577="",96530.34896=""),"-",96530.34896/88337.58577*100)</f>
        <v>109.27437977683823</v>
      </c>
      <c r="E45" s="26">
        <f>IF(88337.58577="","-",88337.58577/4403044.02622*100)</f>
        <v>2.0062844078767377</v>
      </c>
      <c r="F45" s="26">
        <f>IF(96530.34896="","-",96530.34896/5891753.11111*100)</f>
        <v>1.6383977254235929</v>
      </c>
      <c r="G45" s="26">
        <f>IF(OR(3323881.41153="",69800.44811="",88337.58577=""),"-",(88337.58577-69800.44811)/3323881.41153*100)</f>
        <v>0.55769551812822549</v>
      </c>
      <c r="H45" s="26">
        <f>IF(OR(4403044.02622="",96530.34896="",88337.58577=""),"-",(96530.34896-88337.58577)/4403044.02622*100)</f>
        <v>0.18607043538997858</v>
      </c>
    </row>
    <row r="46" spans="1:8" s="29" customFormat="1" x14ac:dyDescent="0.2">
      <c r="A46" s="57" t="s">
        <v>239</v>
      </c>
      <c r="B46" s="58" t="s">
        <v>150</v>
      </c>
      <c r="C46" s="26">
        <v>95735.759330000001</v>
      </c>
      <c r="D46" s="26">
        <v>163.8073189877577</v>
      </c>
      <c r="E46" s="26">
        <f>IF(58444.12809="","-",58444.12809/4403044.02622*100)</f>
        <v>1.3273573405572803</v>
      </c>
      <c r="F46" s="26">
        <f>IF(95735.75933="","-",95735.75933/5891753.11111*100)</f>
        <v>1.6249112534853567</v>
      </c>
      <c r="G46" s="26">
        <f>IF(OR(3323881.41153="",60172.97316="",58444.12809=""),"-",(58444.12809-60172.97316)/3323881.41153*100)</f>
        <v>-5.2012838484637947E-2</v>
      </c>
      <c r="H46" s="26">
        <f>IF(OR(4403044.02622="",95735.75933="",58444.12809=""),"-",(95735.75933-58444.12809)/4403044.02622*100)</f>
        <v>0.84695113239680131</v>
      </c>
    </row>
    <row r="47" spans="1:8" s="29" customFormat="1" ht="24" x14ac:dyDescent="0.2">
      <c r="A47" s="57" t="s">
        <v>240</v>
      </c>
      <c r="B47" s="58" t="s">
        <v>25</v>
      </c>
      <c r="C47" s="26">
        <v>52783.262869999999</v>
      </c>
      <c r="D47" s="26">
        <f>IF(OR(44696.59132="",52783.26287=""),"-",52783.26287/44696.59132*100)</f>
        <v>118.09236747407522</v>
      </c>
      <c r="E47" s="26">
        <f>IF(44696.59132="","-",44696.59132/4403044.02622*100)</f>
        <v>1.0151293299324986</v>
      </c>
      <c r="F47" s="26">
        <f>IF(52783.26287="","-",52783.26287/5891753.11111*100)</f>
        <v>0.8958838205638201</v>
      </c>
      <c r="G47" s="26">
        <f>IF(OR(3323881.41153="",29958.09689="",44696.59132=""),"-",(44696.59132-29958.09689)/3323881.41153*100)</f>
        <v>0.44341216202463107</v>
      </c>
      <c r="H47" s="26">
        <f>IF(OR(4403044.02622="",52783.26287="",44696.59132=""),"-",(52783.26287-44696.59132)/4403044.02622*100)</f>
        <v>0.18366092870850492</v>
      </c>
    </row>
    <row r="48" spans="1:8" s="29" customFormat="1" x14ac:dyDescent="0.2">
      <c r="A48" s="57" t="s">
        <v>241</v>
      </c>
      <c r="B48" s="58" t="s">
        <v>26</v>
      </c>
      <c r="C48" s="26">
        <v>99545.322360000006</v>
      </c>
      <c r="D48" s="26">
        <f>IF(OR(101347.87428="",99545.32236=""),"-",99545.32236/101347.87428*100)</f>
        <v>98.221421087708279</v>
      </c>
      <c r="E48" s="26">
        <f>IF(101347.87428="","-",101347.87428/4403044.02622*100)</f>
        <v>2.3017683601725607</v>
      </c>
      <c r="F48" s="26">
        <f>IF(99545.32236="","-",99545.32236/5891753.11111*100)</f>
        <v>1.6895704976552517</v>
      </c>
      <c r="G48" s="26">
        <f>IF(OR(3323881.41153="",72964.43251="",101347.87428=""),"-",(101347.87428-72964.43251)/3323881.41153*100)</f>
        <v>0.85392462172514616</v>
      </c>
      <c r="H48" s="26">
        <f>IF(OR(4403044.02622="",99545.32236="",101347.87428=""),"-",(99545.32236-101347.87428)/4403044.02622*100)</f>
        <v>-4.0938766663831963E-2</v>
      </c>
    </row>
    <row r="49" spans="1:8" s="29" customFormat="1" x14ac:dyDescent="0.2">
      <c r="A49" s="57" t="s">
        <v>242</v>
      </c>
      <c r="B49" s="58" t="s">
        <v>151</v>
      </c>
      <c r="C49" s="26">
        <v>133576.77703999999</v>
      </c>
      <c r="D49" s="26">
        <f>IF(OR(119434.69821="",133576.77704=""),"-",133576.77704/119434.69821*100)</f>
        <v>111.84084612089377</v>
      </c>
      <c r="E49" s="26">
        <f>IF(119434.69821="","-",119434.69821/4403044.02622*100)</f>
        <v>2.7125483528842733</v>
      </c>
      <c r="F49" s="26">
        <f>IF(133576.77704="","-",133576.77704/5891753.11111*100)</f>
        <v>2.2671821870491495</v>
      </c>
      <c r="G49" s="26">
        <f>IF(OR(3323881.41153="",103704.71235="",119434.69821=""),"-",(119434.69821-103704.71235)/3323881.41153*100)</f>
        <v>0.47324148826234463</v>
      </c>
      <c r="H49" s="26">
        <f>IF(OR(4403044.02622="",133576.77704="",119434.69821=""),"-",(133576.77704-119434.69821)/4403044.02622*100)</f>
        <v>0.3211886764198657</v>
      </c>
    </row>
    <row r="50" spans="1:8" s="29" customFormat="1" ht="24" x14ac:dyDescent="0.2">
      <c r="A50" s="54" t="s">
        <v>243</v>
      </c>
      <c r="B50" s="55" t="s">
        <v>329</v>
      </c>
      <c r="C50" s="20">
        <v>871311.90708000003</v>
      </c>
      <c r="D50" s="20">
        <f>IF(834568.37011="","-",871311.90708/834568.37011*100)</f>
        <v>104.40269944152773</v>
      </c>
      <c r="E50" s="20">
        <f>IF(834568.37011="","-",834568.37011/4403044.02622*100)</f>
        <v>18.954349880223077</v>
      </c>
      <c r="F50" s="20">
        <f>IF(871311.90708="","-",871311.90708/5891753.11111*100)</f>
        <v>14.788669698955628</v>
      </c>
      <c r="G50" s="20">
        <f>IF(3323881.41153="","-",(834568.37011-648743.98549)/3323881.41153*100)</f>
        <v>5.5905840676326681</v>
      </c>
      <c r="H50" s="20">
        <f>IF(4403044.02622="","-",(871311.90708-834568.37011)/4403044.02622*100)</f>
        <v>0.83450305632179267</v>
      </c>
    </row>
    <row r="51" spans="1:8" s="29" customFormat="1" x14ac:dyDescent="0.2">
      <c r="A51" s="57" t="s">
        <v>244</v>
      </c>
      <c r="B51" s="58" t="s">
        <v>152</v>
      </c>
      <c r="C51" s="26">
        <v>37314.16635</v>
      </c>
      <c r="D51" s="26">
        <f>IF(OR(37030.39732="",37314.16635=""),"-",37314.16635/37030.39732*100)</f>
        <v>100.76631375987624</v>
      </c>
      <c r="E51" s="26">
        <f>IF(37030.39732="","-",37030.39732/4403044.02622*100)</f>
        <v>0.84101810246468234</v>
      </c>
      <c r="F51" s="26">
        <f>IF(37314.16635="","-",37314.16635/5891753.11111*100)</f>
        <v>0.63332875031095881</v>
      </c>
      <c r="G51" s="26">
        <f>IF(OR(3323881.41153="",27157.87198="",37030.39732=""),"-",(37030.39732-27157.87198)/3323881.41153*100)</f>
        <v>0.2970179774089961</v>
      </c>
      <c r="H51" s="26">
        <f>IF(OR(4403044.02622="",37314.16635="",37030.39732=""),"-",(37314.16635-37030.39732)/4403044.02622*100)</f>
        <v>6.4448374422369321E-3</v>
      </c>
    </row>
    <row r="52" spans="1:8" s="29" customFormat="1" x14ac:dyDescent="0.2">
      <c r="A52" s="57" t="s">
        <v>245</v>
      </c>
      <c r="B52" s="58" t="s">
        <v>27</v>
      </c>
      <c r="C52" s="26">
        <v>56672.927100000001</v>
      </c>
      <c r="D52" s="26">
        <f>IF(OR(42479.08232="",56672.9271=""),"-",56672.9271/42479.08232*100)</f>
        <v>133.41372742724542</v>
      </c>
      <c r="E52" s="26">
        <f>IF(42479.08232="","-",42479.08232/4403044.02622*100)</f>
        <v>0.96476624051538629</v>
      </c>
      <c r="F52" s="26">
        <f>IF(56672.9271="","-",56672.9271/5891753.11111*100)</f>
        <v>0.96190261253704978</v>
      </c>
      <c r="G52" s="26">
        <f>IF(OR(3323881.41153="",34592.12777="",42479.08232=""),"-",(42479.08232-34592.12777)/3323881.41153*100)</f>
        <v>0.23728146625933913</v>
      </c>
      <c r="H52" s="26">
        <f>IF(OR(4403044.02622="",56672.9271="",42479.08232=""),"-",(56672.9271-42479.08232)/4403044.02622*100)</f>
        <v>0.32236436191589418</v>
      </c>
    </row>
    <row r="53" spans="1:8" s="29" customFormat="1" ht="14.25" customHeight="1" x14ac:dyDescent="0.2">
      <c r="A53" s="57" t="s">
        <v>246</v>
      </c>
      <c r="B53" s="58" t="s">
        <v>153</v>
      </c>
      <c r="C53" s="26">
        <v>70485.548169999995</v>
      </c>
      <c r="D53" s="26">
        <f>IF(OR(70226.62663="",70485.54817=""),"-",70485.54817/70226.62663*100)</f>
        <v>100.36869425804001</v>
      </c>
      <c r="E53" s="26">
        <f>IF(70226.62663="","-",70226.62663/4403044.02622*100)</f>
        <v>1.5949562668872368</v>
      </c>
      <c r="F53" s="26">
        <f>IF(70485.54817="","-",70485.54817/5891753.11111*100)</f>
        <v>1.1963425289679288</v>
      </c>
      <c r="G53" s="26">
        <f>IF(OR(3323881.41153="",53561.85495="",70226.62663=""),"-",(70226.62663-53561.85495)/3323881.41153*100)</f>
        <v>0.50136480869000422</v>
      </c>
      <c r="H53" s="26">
        <f>IF(OR(4403044.02622="",70485.54817="",70226.62663=""),"-",(70485.54817-70226.62663)/4403044.02622*100)</f>
        <v>5.8805121742622922E-3</v>
      </c>
    </row>
    <row r="54" spans="1:8" s="29" customFormat="1" ht="16.5" customHeight="1" x14ac:dyDescent="0.2">
      <c r="A54" s="57" t="s">
        <v>247</v>
      </c>
      <c r="B54" s="58" t="s">
        <v>154</v>
      </c>
      <c r="C54" s="26">
        <v>92996.798890000005</v>
      </c>
      <c r="D54" s="26">
        <f>IF(OR(69568.44816="",92996.79889=""),"-",92996.79889/69568.44816*100)</f>
        <v>133.67669015142798</v>
      </c>
      <c r="E54" s="26">
        <f>IF(69568.44816="","-",69568.44816/4403044.02622*100)</f>
        <v>1.5800080068634765</v>
      </c>
      <c r="F54" s="26">
        <f>IF(92996.79889="","-",92996.79889/5891753.11111*100)</f>
        <v>1.5784232152334623</v>
      </c>
      <c r="G54" s="26">
        <f>IF(OR(3323881.41153="",59420.81133="",69568.44816=""),"-",(69568.44816-59420.81133)/3323881.41153*100)</f>
        <v>0.3052947916492903</v>
      </c>
      <c r="H54" s="26">
        <f>IF(OR(4403044.02622="",92996.79889="",69568.44816=""),"-",(92996.79889-69568.44816)/4403044.02622*100)</f>
        <v>0.53209440083916604</v>
      </c>
    </row>
    <row r="55" spans="1:8" s="29" customFormat="1" ht="16.5" customHeight="1" x14ac:dyDescent="0.2">
      <c r="A55" s="57" t="s">
        <v>248</v>
      </c>
      <c r="B55" s="58" t="s">
        <v>155</v>
      </c>
      <c r="C55" s="26">
        <v>221014.87953000001</v>
      </c>
      <c r="D55" s="26">
        <f>IF(OR(209901.39892="",221014.87953=""),"-",221014.87953/209901.39892*100)</f>
        <v>105.29461960100403</v>
      </c>
      <c r="E55" s="26">
        <f>IF(209901.39892="","-",209901.39892/4403044.02622*100)</f>
        <v>4.7671882831523655</v>
      </c>
      <c r="F55" s="26">
        <f>IF(221014.87953="","-",221014.87953/5891753.11111*100)</f>
        <v>3.7512583328251692</v>
      </c>
      <c r="G55" s="26">
        <f>IF(OR(3323881.41153="",160535.99832="",209901.39892=""),"-",(209901.39892-160535.99832)/3323881.41153*100)</f>
        <v>1.4851733406841623</v>
      </c>
      <c r="H55" s="26">
        <f>IF(OR(4403044.02622="",221014.87953="",209901.39892=""),"-",(221014.87953-209901.39892)/4403044.02622*100)</f>
        <v>0.25240448525655301</v>
      </c>
    </row>
    <row r="56" spans="1:8" s="29" customFormat="1" ht="16.5" customHeight="1" x14ac:dyDescent="0.2">
      <c r="A56" s="57" t="s">
        <v>249</v>
      </c>
      <c r="B56" s="58" t="s">
        <v>28</v>
      </c>
      <c r="C56" s="26">
        <v>108012.33905</v>
      </c>
      <c r="D56" s="26">
        <f>IF(OR(105485.62474="",108012.33905=""),"-",108012.33905/105485.62474*100)</f>
        <v>102.39531624923094</v>
      </c>
      <c r="E56" s="26">
        <f>IF(105485.62474="","-",105485.62474/4403044.02622*100)</f>
        <v>2.3957431293404321</v>
      </c>
      <c r="F56" s="26">
        <f>IF(108012.33905="","-",108012.33905/5891753.11111*100)</f>
        <v>1.833280129242391</v>
      </c>
      <c r="G56" s="26">
        <f>IF(OR(3323881.41153="",86836.83034="",105485.62474=""),"-",(105485.62474-86836.83034)/3323881.41153*100)</f>
        <v>0.56105474567505287</v>
      </c>
      <c r="H56" s="26">
        <f>IF(OR(4403044.02622="",108012.33905="",105485.62474=""),"-",(108012.33905-105485.62474)/4403044.02622*100)</f>
        <v>5.7385624466925259E-2</v>
      </c>
    </row>
    <row r="57" spans="1:8" s="29" customFormat="1" ht="15.75" customHeight="1" x14ac:dyDescent="0.2">
      <c r="A57" s="57" t="s">
        <v>250</v>
      </c>
      <c r="B57" s="58" t="s">
        <v>156</v>
      </c>
      <c r="C57" s="26">
        <v>126630.70707999999</v>
      </c>
      <c r="D57" s="26">
        <f>IF(OR(111468.84177="",126630.70708=""),"-",126630.70708/111468.84177*100)</f>
        <v>113.60188647270985</v>
      </c>
      <c r="E57" s="26">
        <f>IF(111468.84177="","-",111468.84177/4403044.02622*100)</f>
        <v>2.5316313238342896</v>
      </c>
      <c r="F57" s="26">
        <f>IF(126630.70708="","-",126630.70708/5891753.11111*100)</f>
        <v>2.1492873970094601</v>
      </c>
      <c r="G57" s="26">
        <f>IF(OR(3323881.41153="",84744.59718="",111468.84177=""),"-",(111468.84177-84744.59718)/3323881.41153*100)</f>
        <v>0.80400716154607621</v>
      </c>
      <c r="H57" s="26">
        <f>IF(OR(4403044.02622="",126630.70708="",111468.84177=""),"-",(126630.70708-111468.84177)/4403044.02622*100)</f>
        <v>0.34434961857550195</v>
      </c>
    </row>
    <row r="58" spans="1:8" s="29" customFormat="1" x14ac:dyDescent="0.2">
      <c r="A58" s="57" t="s">
        <v>251</v>
      </c>
      <c r="B58" s="58" t="s">
        <v>29</v>
      </c>
      <c r="C58" s="26">
        <v>23778.969069999999</v>
      </c>
      <c r="D58" s="26">
        <f>IF(OR(51055.8777="",23778.96907=""),"-",23778.96907/51055.8777*100)</f>
        <v>46.574400717823721</v>
      </c>
      <c r="E58" s="26">
        <f>IF(51055.8777="","-",51055.8777/4403044.02622*100)</f>
        <v>1.1595586461539724</v>
      </c>
      <c r="F58" s="26">
        <f>IF(23778.96907="","-",23778.96907/5891753.11111*100)</f>
        <v>0.40359751370369396</v>
      </c>
      <c r="G58" s="26">
        <f>IF(OR(3323881.41153="",40298.82031="",51055.8777=""),"-",(51055.8777-40298.82031)/3323881.41153*100)</f>
        <v>0.32362939762789145</v>
      </c>
      <c r="H58" s="26">
        <f>IF(OR(4403044.02622="",23778.96907="",51055.8777=""),"-",(23778.96907-51055.8777)/4403044.02622*100)</f>
        <v>-0.61950115573604969</v>
      </c>
    </row>
    <row r="59" spans="1:8" s="29" customFormat="1" x14ac:dyDescent="0.2">
      <c r="A59" s="57" t="s">
        <v>252</v>
      </c>
      <c r="B59" s="58" t="s">
        <v>30</v>
      </c>
      <c r="C59" s="26">
        <v>134405.57183999999</v>
      </c>
      <c r="D59" s="26">
        <f>IF(OR(137352.07255="",134405.57184=""),"-",134405.57184/137352.07255*100)</f>
        <v>97.854782490502714</v>
      </c>
      <c r="E59" s="26">
        <f>IF(137352.07255="","-",137352.07255/4403044.02622*100)</f>
        <v>3.1194798810112361</v>
      </c>
      <c r="F59" s="26">
        <f>IF(134405.57184="","-",134405.57184/5891753.11111*100)</f>
        <v>2.2812492191255132</v>
      </c>
      <c r="G59" s="26">
        <f>IF(OR(3323881.41153="",101595.07331="",137352.07255=""),"-",(137352.07255-101595.07331)/3323881.41153*100)</f>
        <v>1.0757603780918545</v>
      </c>
      <c r="H59" s="26">
        <f>IF(OR(4403044.02622="",134405.57184="",137352.07255=""),"-",(134405.57184-137352.07255)/4403044.02622*100)</f>
        <v>-6.691962861269829E-2</v>
      </c>
    </row>
    <row r="60" spans="1:8" s="29" customFormat="1" ht="24" x14ac:dyDescent="0.2">
      <c r="A60" s="54" t="s">
        <v>253</v>
      </c>
      <c r="B60" s="55" t="s">
        <v>157</v>
      </c>
      <c r="C60" s="20">
        <v>1302019.4392899999</v>
      </c>
      <c r="D60" s="20">
        <f>IF(1126353.12912="","-",1302019.43929/1126353.12912*100)</f>
        <v>115.59602451739491</v>
      </c>
      <c r="E60" s="20">
        <f>IF(1126353.12912="","-",1126353.12912/4403044.02622*100)</f>
        <v>25.581237035391869</v>
      </c>
      <c r="F60" s="20">
        <f>IF(1302019.43929="","-",1302019.43929/5891753.11111*100)</f>
        <v>22.099015602585233</v>
      </c>
      <c r="G60" s="20">
        <f>IF(3323881.41153="","-",(1126353.12912-836043.51562)/3323881.41153*100)</f>
        <v>8.7340544850054957</v>
      </c>
      <c r="H60" s="20">
        <f>IF(4403044.02622="","-",(1302019.43929-1126353.12912)/4403044.02622*100)</f>
        <v>3.9896559998926233</v>
      </c>
    </row>
    <row r="61" spans="1:8" s="29" customFormat="1" ht="27" customHeight="1" x14ac:dyDescent="0.2">
      <c r="A61" s="57" t="s">
        <v>254</v>
      </c>
      <c r="B61" s="58" t="s">
        <v>158</v>
      </c>
      <c r="C61" s="26">
        <v>19196.00794</v>
      </c>
      <c r="D61" s="26">
        <f>IF(OR(18457.41141="",19196.00794=""),"-",19196.00794/18457.41141*100)</f>
        <v>104.00162576210354</v>
      </c>
      <c r="E61" s="26">
        <f>IF(18457.41141="","-",18457.41141/4403044.02622*100)</f>
        <v>0.41919661261814889</v>
      </c>
      <c r="F61" s="26">
        <f>IF(19196.00794="","-",19196.00794/5891753.11111*100)</f>
        <v>0.32581147882456823</v>
      </c>
      <c r="G61" s="26">
        <f>IF(OR(3323881.41153="",10552.89962="",18457.41141=""),"-",(18457.41141-10552.89962)/3323881.41153*100)</f>
        <v>0.23780968125338481</v>
      </c>
      <c r="H61" s="26">
        <f>IF(OR(4403044.02622="",19196.00794="",18457.41141=""),"-",(19196.00794-18457.41141)/4403044.02622*100)</f>
        <v>1.6774679644393237E-2</v>
      </c>
    </row>
    <row r="62" spans="1:8" s="29" customFormat="1" ht="24" x14ac:dyDescent="0.2">
      <c r="A62" s="57" t="s">
        <v>255</v>
      </c>
      <c r="B62" s="58" t="s">
        <v>159</v>
      </c>
      <c r="C62" s="26">
        <v>220388.1349</v>
      </c>
      <c r="D62" s="26">
        <f>IF(OR(148090.37426="",220388.1349=""),"-",220388.1349/148090.37426*100)</f>
        <v>148.82002696074488</v>
      </c>
      <c r="E62" s="26">
        <f>IF(148090.37426="","-",148090.37426/4403044.02622*100)</f>
        <v>3.3633634680490609</v>
      </c>
      <c r="F62" s="26">
        <f>IF(220388.1349="","-",220388.1349/5891753.11111*100)</f>
        <v>3.7406206734022347</v>
      </c>
      <c r="G62" s="26">
        <f>IF(OR(3323881.41153="",106596.05982="",148090.37426=""),"-",(148090.37426-106596.05982)/3323881.41153*100)</f>
        <v>1.2483692798444324</v>
      </c>
      <c r="H62" s="26">
        <f>IF(OR(4403044.02622="",220388.1349="",148090.37426=""),"-",(220388.1349-148090.37426)/4403044.02622*100)</f>
        <v>1.6419949518893955</v>
      </c>
    </row>
    <row r="63" spans="1:8" s="29" customFormat="1" ht="27.75" customHeight="1" x14ac:dyDescent="0.2">
      <c r="A63" s="57" t="s">
        <v>256</v>
      </c>
      <c r="B63" s="58" t="s">
        <v>160</v>
      </c>
      <c r="C63" s="26">
        <v>9095.4965300000003</v>
      </c>
      <c r="D63" s="26">
        <f>IF(OR(12044.96441="",9095.49653=""),"-",9095.49653/12044.96441*100)</f>
        <v>75.512855168328386</v>
      </c>
      <c r="E63" s="26">
        <f>IF(12044.96441="","-",12044.96441/4403044.02622*100)</f>
        <v>0.27355993576881321</v>
      </c>
      <c r="F63" s="26">
        <f>IF(9095.49653="","-",9095.49653/5891753.11111*100)</f>
        <v>0.15437674251571648</v>
      </c>
      <c r="G63" s="26">
        <f>IF(OR(3323881.41153="",9049.23691="",12044.96441=""),"-",(12044.96441-9049.23691)/3323881.41153*100)</f>
        <v>9.0127388107419021E-2</v>
      </c>
      <c r="H63" s="26">
        <f>IF(OR(4403044.02622="",9095.49653="",12044.96441=""),"-",(9095.49653-12044.96441)/4403044.02622*100)</f>
        <v>-6.6987017673137125E-2</v>
      </c>
    </row>
    <row r="64" spans="1:8" s="29" customFormat="1" ht="29.25" customHeight="1" x14ac:dyDescent="0.2">
      <c r="A64" s="57" t="s">
        <v>257</v>
      </c>
      <c r="B64" s="58" t="s">
        <v>161</v>
      </c>
      <c r="C64" s="26">
        <v>165914.50442000001</v>
      </c>
      <c r="D64" s="26">
        <f>IF(OR(160128.01521="",165914.50442=""),"-",165914.50442/160128.01521*100)</f>
        <v>103.61366448114111</v>
      </c>
      <c r="E64" s="26">
        <f>IF(160128.01521="","-",160128.01521/4403044.02622*100)</f>
        <v>3.6367570766143222</v>
      </c>
      <c r="F64" s="26">
        <f>IF(165914.50442="","-",165914.50442/5891753.11111*100)</f>
        <v>2.8160464515584889</v>
      </c>
      <c r="G64" s="26">
        <f>IF(OR(3323881.41153="",129589.23896="",160128.01521=""),"-",(160128.01521-129589.23896)/3323881.41153*100)</f>
        <v>0.91876852597887504</v>
      </c>
      <c r="H64" s="26">
        <f>IF(OR(4403044.02622="",165914.50442="",160128.01521=""),"-",(165914.50442-160128.01521)/4403044.02622*100)</f>
        <v>0.13142019874299743</v>
      </c>
    </row>
    <row r="65" spans="1:8" s="29" customFormat="1" ht="36" x14ac:dyDescent="0.2">
      <c r="A65" s="57" t="s">
        <v>258</v>
      </c>
      <c r="B65" s="58" t="s">
        <v>162</v>
      </c>
      <c r="C65" s="26">
        <v>58390.857550000001</v>
      </c>
      <c r="D65" s="26">
        <f>IF(OR(48701.03643="",58390.85755=""),"-",58390.85755/48701.03643*100)</f>
        <v>119.89653984864897</v>
      </c>
      <c r="E65" s="26">
        <f>IF(48701.03643="","-",48701.03643/4403044.02622*100)</f>
        <v>1.106076526602658</v>
      </c>
      <c r="F65" s="26">
        <f>IF(58390.85755="","-",58390.85755/5891753.11111*100)</f>
        <v>0.99106083450600024</v>
      </c>
      <c r="G65" s="26">
        <f>IF(OR(3323881.41153="",30715.87948="",48701.03643=""),"-",(48701.03643-30715.87948)/3323881.41153*100)</f>
        <v>0.54108900779710245</v>
      </c>
      <c r="H65" s="26">
        <f>IF(OR(4403044.02622="",58390.85755="",48701.03643=""),"-",(58390.85755-48701.03643)/4403044.02622*100)</f>
        <v>0.22007095687205019</v>
      </c>
    </row>
    <row r="66" spans="1:8" s="29" customFormat="1" ht="39" customHeight="1" x14ac:dyDescent="0.2">
      <c r="A66" s="57" t="s">
        <v>259</v>
      </c>
      <c r="B66" s="58" t="s">
        <v>163</v>
      </c>
      <c r="C66" s="26">
        <v>116879.31619</v>
      </c>
      <c r="D66" s="26">
        <f>IF(OR(118237.80205="",116879.31619=""),"-",116879.31619/118237.80205*100)</f>
        <v>98.851056230370787</v>
      </c>
      <c r="E66" s="26">
        <f>IF(118237.80205="","-",118237.80205/4403044.02622*100)</f>
        <v>2.685364973547784</v>
      </c>
      <c r="F66" s="26">
        <f>IF(116879.31619="","-",116879.31619/5891753.11111*100)</f>
        <v>1.9837782402932369</v>
      </c>
      <c r="G66" s="26">
        <f>IF(OR(3323881.41153="",94940.90339="",118237.80205=""),"-",(118237.80205-94940.90339)/3323881.41153*100)</f>
        <v>0.7008943995169884</v>
      </c>
      <c r="H66" s="26">
        <f>IF(OR(4403044.02622="",116879.31619="",118237.80205=""),"-",(116879.31619-118237.80205)/4403044.02622*100)</f>
        <v>-3.0853333555382518E-2</v>
      </c>
    </row>
    <row r="67" spans="1:8" s="29" customFormat="1" ht="48" x14ac:dyDescent="0.2">
      <c r="A67" s="57" t="s">
        <v>260</v>
      </c>
      <c r="B67" s="58" t="s">
        <v>164</v>
      </c>
      <c r="C67" s="26">
        <v>364888.43628000002</v>
      </c>
      <c r="D67" s="26">
        <f>IF(OR(340701.56591="",364888.43628=""),"-",364888.43628/340701.56591*100)</f>
        <v>107.09913683707262</v>
      </c>
      <c r="E67" s="26">
        <f>IF(340701.56591="","-",340701.56591/4403044.02622*100)</f>
        <v>7.7378641658164673</v>
      </c>
      <c r="F67" s="26">
        <f>IF(364888.43628="","-",364888.43628/5891753.11111*100)</f>
        <v>6.1932064938691136</v>
      </c>
      <c r="G67" s="26">
        <f>IF(OR(3323881.41153="",234042.50064="",340701.56591=""),"-",(340701.56591-234042.50064)/3323881.41153*100)</f>
        <v>3.2088709573096432</v>
      </c>
      <c r="H67" s="26">
        <f>IF(OR(4403044.02622="",364888.43628="",340701.56591=""),"-",(364888.43628-340701.56591)/4403044.02622*100)</f>
        <v>0.54932156539811783</v>
      </c>
    </row>
    <row r="68" spans="1:8" s="29" customFormat="1" ht="24" x14ac:dyDescent="0.2">
      <c r="A68" s="57" t="s">
        <v>261</v>
      </c>
      <c r="B68" s="58" t="s">
        <v>165</v>
      </c>
      <c r="C68" s="26">
        <v>341489.20665000001</v>
      </c>
      <c r="D68" s="26">
        <f>IF(OR(277540.47786="",341489.20665=""),"-",341489.20665/277540.47786*100)</f>
        <v>123.04122601614087</v>
      </c>
      <c r="E68" s="26">
        <f>IF(277540.47786="","-",277540.47786/4403044.02622*100)</f>
        <v>6.3033773045932415</v>
      </c>
      <c r="F68" s="26">
        <f>IF(341489.20665="","-",341489.20665/5891753.11111*100)</f>
        <v>5.7960542509165629</v>
      </c>
      <c r="G68" s="26">
        <f>IF(OR(3323881.41153="",168636.889="",277540.47786=""),"-",(277540.47786-168636.889)/3323881.41153*100)</f>
        <v>3.2763981435147258</v>
      </c>
      <c r="H68" s="26">
        <f>IF(OR(4403044.02622="",341489.20665="",277540.47786=""),"-",(341489.20665-277540.47786)/4403044.02622*100)</f>
        <v>1.4523754114014573</v>
      </c>
    </row>
    <row r="69" spans="1:8" s="29" customFormat="1" x14ac:dyDescent="0.2">
      <c r="A69" s="57" t="s">
        <v>262</v>
      </c>
      <c r="B69" s="58" t="s">
        <v>31</v>
      </c>
      <c r="C69" s="26">
        <v>5777.47883</v>
      </c>
      <c r="D69" s="26" t="s">
        <v>278</v>
      </c>
      <c r="E69" s="26">
        <f>IF(2451.48158="","-",2451.48158/4403044.02622*100)</f>
        <v>5.5676971781374381E-2</v>
      </c>
      <c r="F69" s="26">
        <f>IF(5777.47883="","-",5777.47883/5891753.11111*100)</f>
        <v>9.8060436699315953E-2</v>
      </c>
      <c r="G69" s="26">
        <f>IF(OR(3323881.41153="",51919.9078="",2451.48158=""),"-",(2451.48158-51919.9078)/3323881.41153*100)</f>
        <v>-1.4882728983170739</v>
      </c>
      <c r="H69" s="26">
        <f>IF(OR(4403044.02622="",5777.47883="",2451.48158=""),"-",(5777.47883-2451.48158)/4403044.02622*100)</f>
        <v>7.5538587172732818E-2</v>
      </c>
    </row>
    <row r="70" spans="1:8" x14ac:dyDescent="0.2">
      <c r="A70" s="54" t="s">
        <v>263</v>
      </c>
      <c r="B70" s="55" t="s">
        <v>32</v>
      </c>
      <c r="C70" s="20">
        <v>511389.24453999999</v>
      </c>
      <c r="D70" s="20">
        <f>IF(510274.70871="","-",511389.24454/510274.70871*100)</f>
        <v>100.21841878717008</v>
      </c>
      <c r="E70" s="20">
        <f>IF(510274.70871="","-",510274.70871/4403044.02622*100)</f>
        <v>11.589134827435945</v>
      </c>
      <c r="F70" s="20">
        <f>IF(511389.24454="","-",511389.24454/5891753.11111*100)</f>
        <v>8.6797466712527402</v>
      </c>
      <c r="G70" s="20">
        <f>IF(3323881.41153="","-",(510274.70871-339852.78309)/3323881.41153*100)</f>
        <v>5.127196326223741</v>
      </c>
      <c r="H70" s="20">
        <f>IF(4403044.02622="","-",(511389.24454-510274.70871)/4403044.02622*100)</f>
        <v>2.5312847733590202E-2</v>
      </c>
    </row>
    <row r="71" spans="1:8" ht="48" x14ac:dyDescent="0.2">
      <c r="A71" s="57" t="s">
        <v>264</v>
      </c>
      <c r="B71" s="58" t="s">
        <v>191</v>
      </c>
      <c r="C71" s="26">
        <v>40893.64746</v>
      </c>
      <c r="D71" s="26">
        <f>IF(OR(43280.50009="",40893.64746=""),"-",40893.64746/43280.50009*100)</f>
        <v>94.485154688516445</v>
      </c>
      <c r="E71" s="26">
        <f>IF(43280.50009="","-",43280.50009/4403044.02622*100)</f>
        <v>0.98296768854151517</v>
      </c>
      <c r="F71" s="26">
        <f>IF(40893.64746="","-",40893.64746/5891753.11111*100)</f>
        <v>0.69408284238671503</v>
      </c>
      <c r="G71" s="26">
        <f>IF(OR(3323881.41153="",29023.84134="",43280.50009=""),"-",(43280.50009-29023.84134)/3323881.41153*100)</f>
        <v>0.42891598660969033</v>
      </c>
      <c r="H71" s="26">
        <f>IF(OR(4403044.02622="",40893.64746="",43280.50009=""),"-",(40893.64746-43280.50009)/4403044.02622*100)</f>
        <v>-5.4209147484930026E-2</v>
      </c>
    </row>
    <row r="72" spans="1:8" x14ac:dyDescent="0.2">
      <c r="A72" s="57" t="s">
        <v>265</v>
      </c>
      <c r="B72" s="58" t="s">
        <v>166</v>
      </c>
      <c r="C72" s="26">
        <v>47977.18967</v>
      </c>
      <c r="D72" s="26">
        <f>IF(OR(45491.58155="",47977.18967=""),"-",47977.18967/45491.58155*100)</f>
        <v>105.46388592198768</v>
      </c>
      <c r="E72" s="26">
        <f>IF(45491.58155="","-",45491.58155/4403044.02622*100)</f>
        <v>1.0331847984961982</v>
      </c>
      <c r="F72" s="26">
        <f>IF(47977.18967="","-",47977.18967/5891753.11111*100)</f>
        <v>0.81431093199628579</v>
      </c>
      <c r="G72" s="26">
        <f>IF(OR(3323881.41153="",31601.94214="",45491.58155=""),"-",(45491.58155-31601.94214)/3323881.41153*100)</f>
        <v>0.41787409628451605</v>
      </c>
      <c r="H72" s="26">
        <f>IF(OR(4403044.02622="",47977.18967="",45491.58155=""),"-",(47977.18967-45491.58155)/4403044.02622*100)</f>
        <v>5.64520387531506E-2</v>
      </c>
    </row>
    <row r="73" spans="1:8" x14ac:dyDescent="0.2">
      <c r="A73" s="57" t="s">
        <v>266</v>
      </c>
      <c r="B73" s="58" t="s">
        <v>167</v>
      </c>
      <c r="C73" s="26">
        <v>11760.99086</v>
      </c>
      <c r="D73" s="26">
        <f>IF(OR(7948.18382="",11760.99086=""),"-",11760.99086/7948.18382*100)</f>
        <v>147.9707959245462</v>
      </c>
      <c r="E73" s="26">
        <f>IF(7948.18382="","-",7948.18382/4403044.02622*100)</f>
        <v>0.18051565627481339</v>
      </c>
      <c r="F73" s="26">
        <f>IF(11760.99086="","-",11760.99086/5891753.11111*100)</f>
        <v>0.19961784952975131</v>
      </c>
      <c r="G73" s="26">
        <f>IF(OR(3323881.41153="",5333.83659="",7948.18382=""),"-",(7948.18382-5333.83659)/3323881.41153*100)</f>
        <v>7.8653444762838351E-2</v>
      </c>
      <c r="H73" s="26">
        <f>IF(OR(4403044.02622="",11760.99086="",7948.18382=""),"-",(11760.99086-7948.18382)/4403044.02622*100)</f>
        <v>8.6594797083445987E-2</v>
      </c>
    </row>
    <row r="74" spans="1:8" x14ac:dyDescent="0.2">
      <c r="A74" s="57" t="s">
        <v>267</v>
      </c>
      <c r="B74" s="58" t="s">
        <v>168</v>
      </c>
      <c r="C74" s="26">
        <v>124484.82291</v>
      </c>
      <c r="D74" s="26">
        <f>IF(OR(121094.59223="",124484.82291=""),"-",124484.82291/121094.59223*100)</f>
        <v>102.79965489586917</v>
      </c>
      <c r="E74" s="26">
        <f>IF(121094.59223="","-",121094.59223/4403044.02622*100)</f>
        <v>2.750247136046907</v>
      </c>
      <c r="F74" s="26">
        <f>IF(124484.82291="","-",124484.82291/5891753.11111*100)</f>
        <v>2.1128655692523952</v>
      </c>
      <c r="G74" s="26">
        <f>IF(OR(3323881.41153="",76436.12884="",121094.59223=""),"-",(121094.59223-76436.12884)/3323881.41153*100)</f>
        <v>1.3435636793505057</v>
      </c>
      <c r="H74" s="26">
        <f>IF(OR(4403044.02622="",124484.82291="",121094.59223=""),"-",(124484.82291-121094.59223)/4403044.02622*100)</f>
        <v>7.6997428592839007E-2</v>
      </c>
    </row>
    <row r="75" spans="1:8" x14ac:dyDescent="0.2">
      <c r="A75" s="57" t="s">
        <v>268</v>
      </c>
      <c r="B75" s="58" t="s">
        <v>169</v>
      </c>
      <c r="C75" s="26">
        <v>38129.550289999999</v>
      </c>
      <c r="D75" s="26">
        <f>IF(OR(32576.13868="",38129.55029=""),"-",38129.55029/32576.13868*100)</f>
        <v>117.04748271288979</v>
      </c>
      <c r="E75" s="26">
        <f>IF(32576.13868="","-",32576.13868/4403044.02622*100)</f>
        <v>0.73985493867447227</v>
      </c>
      <c r="F75" s="26">
        <f>IF(38129.55029="","-",38129.55029/5891753.11111*100)</f>
        <v>0.64716816151205681</v>
      </c>
      <c r="G75" s="26">
        <f>IF(OR(3323881.41153="",23999.17294="",32576.13868=""),"-",(32576.13868-23999.17294)/3323881.41153*100)</f>
        <v>0.25804066625987043</v>
      </c>
      <c r="H75" s="26">
        <f>IF(OR(4403044.02622="",38129.55029="",32576.13868=""),"-",(38129.55029-32576.13868)/4403044.02622*100)</f>
        <v>0.12612664277099192</v>
      </c>
    </row>
    <row r="76" spans="1:8" ht="24" x14ac:dyDescent="0.2">
      <c r="A76" s="57" t="s">
        <v>269</v>
      </c>
      <c r="B76" s="58" t="s">
        <v>192</v>
      </c>
      <c r="C76" s="26">
        <v>46600.488189999996</v>
      </c>
      <c r="D76" s="26">
        <f>IF(OR(61681.41066="",46600.48819=""),"-",46600.48819/61681.41066*100)</f>
        <v>75.550295772045487</v>
      </c>
      <c r="E76" s="26">
        <f>IF(61681.41066="","-",61681.41066/4403044.02622*100)</f>
        <v>1.4008810789237849</v>
      </c>
      <c r="F76" s="26">
        <f>IF(46600.48819="","-",46600.48819/5891753.11111*100)</f>
        <v>0.79094434731363883</v>
      </c>
      <c r="G76" s="26">
        <f>IF(OR(3323881.41153="",34784.07402="",61681.41066=""),"-",(61681.41066-34784.07402)/3323881.41153*100)</f>
        <v>0.80921468938986651</v>
      </c>
      <c r="H76" s="26">
        <f>IF(OR(4403044.02622="",46600.48819="",61681.41066=""),"-",(46600.48819-61681.41066)/4403044.02622*100)</f>
        <v>-0.34251128038224343</v>
      </c>
    </row>
    <row r="77" spans="1:8" ht="24" x14ac:dyDescent="0.2">
      <c r="A77" s="57" t="s">
        <v>270</v>
      </c>
      <c r="B77" s="58" t="s">
        <v>170</v>
      </c>
      <c r="C77" s="26">
        <v>9359.2986000000001</v>
      </c>
      <c r="D77" s="26">
        <f>IF(OR(11250.96816="",9359.2986=""),"-",9359.2986/11250.96816*100)</f>
        <v>83.186606404901596</v>
      </c>
      <c r="E77" s="26">
        <f>IF(11250.96816="","-",11250.96816/4403044.02622*100)</f>
        <v>0.25552704204184218</v>
      </c>
      <c r="F77" s="26">
        <f>IF(9359.2986="","-",9359.2986/5891753.11111*100)</f>
        <v>0.15885422256325193</v>
      </c>
      <c r="G77" s="26">
        <f>IF(OR(3323881.41153="",6646.50326="",11250.96816=""),"-",(11250.96816-6646.50326)/3323881.41153*100)</f>
        <v>0.13852675020317709</v>
      </c>
      <c r="H77" s="26">
        <f>IF(OR(4403044.02622="",9359.2986="",11250.96816=""),"-",(9359.2986-11250.96816)/4403044.02622*100)</f>
        <v>-4.2962767320407484E-2</v>
      </c>
    </row>
    <row r="78" spans="1:8" x14ac:dyDescent="0.2">
      <c r="A78" s="57" t="s">
        <v>271</v>
      </c>
      <c r="B78" s="58" t="s">
        <v>33</v>
      </c>
      <c r="C78" s="26">
        <v>192183.25656000001</v>
      </c>
      <c r="D78" s="26">
        <f>IF(OR(186951.33352="",192183.25656=""),"-",192183.25656/186951.33352*100)</f>
        <v>102.79854812559563</v>
      </c>
      <c r="E78" s="26">
        <f>IF(186951.33352="","-",186951.33352/4403044.02622*100)</f>
        <v>4.2459564884364127</v>
      </c>
      <c r="F78" s="26">
        <f>IF(192183.25656="","-",192183.25656/5891753.11111*100)</f>
        <v>3.2619027466986457</v>
      </c>
      <c r="G78" s="26">
        <f>IF(OR(3323881.41153="",132027.28396="",186951.33352=""),"-",(186951.33352-132027.28396)/3323881.41153*100)</f>
        <v>1.6524070133632762</v>
      </c>
      <c r="H78" s="26">
        <f>IF(OR(4403044.02622="",192183.25656="",186951.33352=""),"-",(192183.25656-186951.33352)/4403044.02622*100)</f>
        <v>0.11882513572074394</v>
      </c>
    </row>
    <row r="79" spans="1:8" ht="24" x14ac:dyDescent="0.2">
      <c r="A79" s="54" t="s">
        <v>274</v>
      </c>
      <c r="B79" s="55" t="s">
        <v>171</v>
      </c>
      <c r="C79" s="20">
        <v>15938.5805</v>
      </c>
      <c r="D79" s="20" t="s">
        <v>401</v>
      </c>
      <c r="E79" s="20">
        <f>IF(141.80982="","-",141.80982/4403044.02622*100)</f>
        <v>3.2207222811202118E-3</v>
      </c>
      <c r="F79" s="20">
        <f>IF(15938.5805="","-",15938.5805/5891753.11111*100)</f>
        <v>0.27052356402960659</v>
      </c>
      <c r="G79" s="20">
        <f>IF(3323881.41153="","-",(141.80982-178.88403)/3323881.41153*100)</f>
        <v>-1.1153890710840534E-3</v>
      </c>
      <c r="H79" s="20">
        <f>IF(4403044.02622="","-",(15938.5805-141.80982)/4403044.02622*100)</f>
        <v>0.35876931018474234</v>
      </c>
    </row>
    <row r="80" spans="1:8" ht="24" x14ac:dyDescent="0.2">
      <c r="A80" s="57" t="s">
        <v>313</v>
      </c>
      <c r="B80" s="58" t="s">
        <v>314</v>
      </c>
      <c r="C80" s="26">
        <v>333.24464999999998</v>
      </c>
      <c r="D80" s="26" t="s">
        <v>402</v>
      </c>
      <c r="E80" s="26">
        <f>IF(18.89364="","-",18.89364/4403044.02622*100)</f>
        <v>4.2910404455392492E-4</v>
      </c>
      <c r="F80" s="26">
        <f>IF(333.24465="","-",333.24465/5891753.11111*100)</f>
        <v>5.6561204061929375E-3</v>
      </c>
      <c r="G80" s="26" t="str">
        <f>IF(OR(3323881.41153="",""="",18.89364=""),"-",(18.89364-"")/3323881.41153*100)</f>
        <v>-</v>
      </c>
      <c r="H80" s="26">
        <f>IF(OR(4403044.02622="",333.24465="",18.89364=""),"-",(333.24465-18.89364)/4403044.02622*100)</f>
        <v>7.1394019257597415E-3</v>
      </c>
    </row>
    <row r="81" spans="1:11" x14ac:dyDescent="0.2">
      <c r="A81" s="57" t="s">
        <v>304</v>
      </c>
      <c r="B81" s="58" t="s">
        <v>305</v>
      </c>
      <c r="C81" s="26">
        <v>297.17117999999999</v>
      </c>
      <c r="D81" s="26" t="s">
        <v>352</v>
      </c>
      <c r="E81" s="26">
        <f>IF(34.0831="","-",34.0831/4403044.02622*100)</f>
        <v>7.7408038159591699E-4</v>
      </c>
      <c r="F81" s="26">
        <f>IF(297.17118="","-",297.17118/5891753.11111*100)</f>
        <v>5.0438498422418323E-3</v>
      </c>
      <c r="G81" s="26" t="str">
        <f>IF(OR(3323881.41153="",""="",34.0831=""),"-",(34.0831-"")/3323881.41153*100)</f>
        <v>-</v>
      </c>
      <c r="H81" s="26">
        <f>IF(OR(4403044.02622="",297.17118="",34.0831=""),"-",(297.17118-34.0831)/4403044.02622*100)</f>
        <v>5.9751407988046009E-3</v>
      </c>
      <c r="I81" s="18"/>
      <c r="J81" s="18"/>
    </row>
    <row r="82" spans="1:11" ht="24" x14ac:dyDescent="0.2">
      <c r="A82" s="60" t="s">
        <v>306</v>
      </c>
      <c r="B82" s="61" t="s">
        <v>312</v>
      </c>
      <c r="C82" s="37">
        <v>15308.16467</v>
      </c>
      <c r="D82" s="37" t="s">
        <v>403</v>
      </c>
      <c r="E82" s="37">
        <f>IF(88.83308="","-",88.83308/4403044.02622*100)</f>
        <v>2.0175378549703699E-3</v>
      </c>
      <c r="F82" s="37">
        <f>IF(15308.16467="","-",15308.16467/5891753.11111*100)</f>
        <v>0.25982359378117187</v>
      </c>
      <c r="G82" s="37">
        <f>IF(OR(3323881.41153="",178.88403="",88.83308=""),"-",(88.83308-178.88403)/3323881.41153*100)</f>
        <v>-2.7092106742324803E-3</v>
      </c>
      <c r="H82" s="37">
        <f>IF(OR(4403044.02622="",15308.16467="",88.83308=""),"-",(15308.16467-88.83308)/4403044.02622*100)</f>
        <v>0.34565476746017798</v>
      </c>
      <c r="I82" s="18"/>
      <c r="J82" s="18"/>
      <c r="K82" s="18"/>
    </row>
    <row r="83" spans="1:11" x14ac:dyDescent="0.2">
      <c r="A83" s="38" t="s">
        <v>277</v>
      </c>
      <c r="B83" s="39"/>
      <c r="C83" s="79"/>
      <c r="D83" s="18"/>
      <c r="E83" s="18"/>
      <c r="F83" s="18"/>
      <c r="G83" s="18"/>
      <c r="H83" s="18"/>
    </row>
    <row r="84" spans="1:11" ht="13.5" x14ac:dyDescent="0.2">
      <c r="A84" s="39" t="s">
        <v>409</v>
      </c>
      <c r="B84" s="39"/>
      <c r="C84" s="18"/>
    </row>
  </sheetData>
  <mergeCells count="11"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6"/>
  <sheetViews>
    <sheetView zoomScale="99" zoomScaleNormal="99" workbookViewId="0">
      <selection sqref="A1:XFD1048576"/>
    </sheetView>
  </sheetViews>
  <sheetFormatPr defaultRowHeight="12" x14ac:dyDescent="0.2"/>
  <cols>
    <col min="1" max="1" width="7" style="3" customWidth="1"/>
    <col min="2" max="2" width="37.5" style="3" customWidth="1"/>
    <col min="3" max="3" width="13.25" style="3" customWidth="1"/>
    <col min="4" max="4" width="12.75" style="3" customWidth="1"/>
    <col min="5" max="5" width="13.5" style="3" customWidth="1"/>
    <col min="6" max="16384" width="9" style="3"/>
  </cols>
  <sheetData>
    <row r="1" spans="1:5" x14ac:dyDescent="0.2">
      <c r="B1" s="41" t="s">
        <v>410</v>
      </c>
      <c r="C1" s="41"/>
      <c r="D1" s="41"/>
      <c r="E1" s="41"/>
    </row>
    <row r="2" spans="1:5" x14ac:dyDescent="0.2">
      <c r="B2" s="41" t="s">
        <v>276</v>
      </c>
      <c r="C2" s="41"/>
      <c r="D2" s="41"/>
      <c r="E2" s="41"/>
    </row>
    <row r="3" spans="1:5" x14ac:dyDescent="0.2">
      <c r="B3" s="42"/>
    </row>
    <row r="4" spans="1:5" ht="26.25" customHeight="1" x14ac:dyDescent="0.2">
      <c r="A4" s="43" t="s">
        <v>275</v>
      </c>
      <c r="B4" s="43"/>
      <c r="C4" s="44" t="s">
        <v>367</v>
      </c>
      <c r="D4" s="45"/>
      <c r="E4" s="46" t="s">
        <v>369</v>
      </c>
    </row>
    <row r="5" spans="1:5" ht="26.25" customHeight="1" x14ac:dyDescent="0.2">
      <c r="A5" s="47"/>
      <c r="B5" s="47"/>
      <c r="C5" s="48" t="s">
        <v>297</v>
      </c>
      <c r="D5" s="49" t="s">
        <v>298</v>
      </c>
      <c r="E5" s="50"/>
    </row>
    <row r="6" spans="1:5" x14ac:dyDescent="0.2">
      <c r="A6" s="51"/>
      <c r="B6" s="52" t="s">
        <v>282</v>
      </c>
      <c r="C6" s="21">
        <v>-2594520.1116499999</v>
      </c>
      <c r="D6" s="21">
        <v>-2932615.3870799998</v>
      </c>
      <c r="E6" s="21">
        <f>IF(-2594520.11165="","-",-2932615.38708/-2594520.11165*100)</f>
        <v>113.03112949141823</v>
      </c>
    </row>
    <row r="7" spans="1:5" x14ac:dyDescent="0.2">
      <c r="A7" s="51"/>
      <c r="B7" s="22" t="s">
        <v>119</v>
      </c>
      <c r="C7" s="53"/>
      <c r="D7" s="53"/>
      <c r="E7" s="20"/>
    </row>
    <row r="8" spans="1:5" x14ac:dyDescent="0.2">
      <c r="A8" s="54" t="s">
        <v>203</v>
      </c>
      <c r="B8" s="55" t="s">
        <v>172</v>
      </c>
      <c r="C8" s="56">
        <v>-114931.69172</v>
      </c>
      <c r="D8" s="20">
        <v>103212.37968</v>
      </c>
      <c r="E8" s="20" t="s">
        <v>20</v>
      </c>
    </row>
    <row r="9" spans="1:5" x14ac:dyDescent="0.2">
      <c r="A9" s="57" t="s">
        <v>204</v>
      </c>
      <c r="B9" s="58" t="s">
        <v>21</v>
      </c>
      <c r="C9" s="59">
        <v>2904.97147</v>
      </c>
      <c r="D9" s="26">
        <v>-2376.4509600000001</v>
      </c>
      <c r="E9" s="26" t="s">
        <v>20</v>
      </c>
    </row>
    <row r="10" spans="1:5" x14ac:dyDescent="0.2">
      <c r="A10" s="57" t="s">
        <v>205</v>
      </c>
      <c r="B10" s="58" t="s">
        <v>173</v>
      </c>
      <c r="C10" s="59">
        <v>-35891.301930000001</v>
      </c>
      <c r="D10" s="26">
        <v>-52516.001799999998</v>
      </c>
      <c r="E10" s="26">
        <f>IF(OR(-35891.30193="",-52516.0018="",-35891.30193=0,-52516.0018=0),"-",-52516.0018/-35891.30193*100)</f>
        <v>146.31957877266112</v>
      </c>
    </row>
    <row r="11" spans="1:5" x14ac:dyDescent="0.2">
      <c r="A11" s="57" t="s">
        <v>206</v>
      </c>
      <c r="B11" s="58" t="s">
        <v>174</v>
      </c>
      <c r="C11" s="59">
        <v>-51887.487710000001</v>
      </c>
      <c r="D11" s="26">
        <v>-67509.366110000003</v>
      </c>
      <c r="E11" s="26">
        <f>IF(OR(-51887.48771="",-67509.36611="",-51887.48771=0,-67509.36611=0),"-",-67509.36611/-51887.48771*100)</f>
        <v>130.1072167673851</v>
      </c>
    </row>
    <row r="12" spans="1:5" x14ac:dyDescent="0.2">
      <c r="A12" s="57" t="s">
        <v>207</v>
      </c>
      <c r="B12" s="58" t="s">
        <v>175</v>
      </c>
      <c r="C12" s="59">
        <v>-44633.241289999998</v>
      </c>
      <c r="D12" s="26">
        <v>-50950.298150000002</v>
      </c>
      <c r="E12" s="26">
        <f>IF(OR(-44633.24129="",-50950.29815="",-44633.24129=0,-50950.29815=0),"-",-50950.29815/-44633.24129*100)</f>
        <v>114.15325590842835</v>
      </c>
    </row>
    <row r="13" spans="1:5" x14ac:dyDescent="0.2">
      <c r="A13" s="57" t="s">
        <v>208</v>
      </c>
      <c r="B13" s="58" t="s">
        <v>176</v>
      </c>
      <c r="C13" s="59">
        <v>79574.696379999994</v>
      </c>
      <c r="D13" s="26">
        <v>277830.28723000002</v>
      </c>
      <c r="E13" s="26" t="s">
        <v>315</v>
      </c>
    </row>
    <row r="14" spans="1:5" x14ac:dyDescent="0.2">
      <c r="A14" s="57" t="s">
        <v>209</v>
      </c>
      <c r="B14" s="58" t="s">
        <v>177</v>
      </c>
      <c r="C14" s="59">
        <v>53746.017099999997</v>
      </c>
      <c r="D14" s="26">
        <v>105654.57339000001</v>
      </c>
      <c r="E14" s="26" t="s">
        <v>18</v>
      </c>
    </row>
    <row r="15" spans="1:5" x14ac:dyDescent="0.2">
      <c r="A15" s="57" t="s">
        <v>210</v>
      </c>
      <c r="B15" s="58" t="s">
        <v>135</v>
      </c>
      <c r="C15" s="59">
        <v>-1204.1949400000001</v>
      </c>
      <c r="D15" s="26">
        <v>2050.8458900000001</v>
      </c>
      <c r="E15" s="26" t="s">
        <v>20</v>
      </c>
    </row>
    <row r="16" spans="1:5" ht="17.25" customHeight="1" x14ac:dyDescent="0.2">
      <c r="A16" s="57" t="s">
        <v>211</v>
      </c>
      <c r="B16" s="58" t="s">
        <v>178</v>
      </c>
      <c r="C16" s="59">
        <v>-33520.089529999997</v>
      </c>
      <c r="D16" s="26">
        <v>-35952.438699999999</v>
      </c>
      <c r="E16" s="26">
        <f>IF(OR(-33520.0895299999="",-35952.4387="",-33520.0895299999=0,-35952.4387=0),"-",-35952.4387/-33520.0895299999*100)</f>
        <v>107.25639222360425</v>
      </c>
    </row>
    <row r="17" spans="1:5" ht="24" x14ac:dyDescent="0.2">
      <c r="A17" s="57" t="s">
        <v>212</v>
      </c>
      <c r="B17" s="58" t="s">
        <v>136</v>
      </c>
      <c r="C17" s="59">
        <v>-20853.58064</v>
      </c>
      <c r="D17" s="26">
        <v>2329.0806299999999</v>
      </c>
      <c r="E17" s="26" t="s">
        <v>20</v>
      </c>
    </row>
    <row r="18" spans="1:5" x14ac:dyDescent="0.2">
      <c r="A18" s="57" t="s">
        <v>213</v>
      </c>
      <c r="B18" s="58" t="s">
        <v>179</v>
      </c>
      <c r="C18" s="59">
        <v>-63167.480629999998</v>
      </c>
      <c r="D18" s="26">
        <v>-75347.851739999998</v>
      </c>
      <c r="E18" s="26">
        <f>IF(OR(-63167.48063="",-75347.85174="",-63167.48063=0,-75347.85174=0),"-",-75347.85174/-63167.48063*100)</f>
        <v>119.28266093331447</v>
      </c>
    </row>
    <row r="19" spans="1:5" x14ac:dyDescent="0.2">
      <c r="A19" s="54" t="s">
        <v>214</v>
      </c>
      <c r="B19" s="55" t="s">
        <v>180</v>
      </c>
      <c r="C19" s="56">
        <v>46458.20579</v>
      </c>
      <c r="D19" s="20">
        <v>27931.77807</v>
      </c>
      <c r="E19" s="20">
        <f>IF(46458.20579="","-",27931.77807/46458.20579*100)</f>
        <v>60.12237794170742</v>
      </c>
    </row>
    <row r="20" spans="1:5" x14ac:dyDescent="0.2">
      <c r="A20" s="57" t="s">
        <v>215</v>
      </c>
      <c r="B20" s="58" t="s">
        <v>181</v>
      </c>
      <c r="C20" s="59">
        <v>70121.013470000005</v>
      </c>
      <c r="D20" s="26">
        <v>50663.237789999999</v>
      </c>
      <c r="E20" s="26">
        <f>IF(OR(70121.01347="",50663.23779="",70121.01347=0,50663.23779=0),"-",50663.23779/70121.01347*100)</f>
        <v>72.251148811012754</v>
      </c>
    </row>
    <row r="21" spans="1:5" x14ac:dyDescent="0.2">
      <c r="A21" s="57" t="s">
        <v>216</v>
      </c>
      <c r="B21" s="58" t="s">
        <v>182</v>
      </c>
      <c r="C21" s="59">
        <v>-23662.807680000002</v>
      </c>
      <c r="D21" s="26">
        <v>-22731.459719999999</v>
      </c>
      <c r="E21" s="26">
        <f>IF(OR(-23662.80768="",-22731.45972="",-23662.80768=0,-22731.45972=0),"-",-22731.45972/-23662.80768*100)</f>
        <v>96.064085155933611</v>
      </c>
    </row>
    <row r="22" spans="1:5" ht="16.5" customHeight="1" x14ac:dyDescent="0.2">
      <c r="A22" s="54" t="s">
        <v>217</v>
      </c>
      <c r="B22" s="55" t="s">
        <v>22</v>
      </c>
      <c r="C22" s="56">
        <v>55008.266629999998</v>
      </c>
      <c r="D22" s="20">
        <v>154677.75151999999</v>
      </c>
      <c r="E22" s="20" t="s">
        <v>295</v>
      </c>
    </row>
    <row r="23" spans="1:5" x14ac:dyDescent="0.2">
      <c r="A23" s="57" t="s">
        <v>218</v>
      </c>
      <c r="B23" s="58" t="s">
        <v>189</v>
      </c>
      <c r="C23" s="59">
        <v>867.11423000000002</v>
      </c>
      <c r="D23" s="26">
        <v>847.87945000000002</v>
      </c>
      <c r="E23" s="26">
        <f>IF(OR(867.11423="",847.87945="",867.11423=0,847.87945=0),"-",847.87945/867.11423*100)</f>
        <v>97.781747855758297</v>
      </c>
    </row>
    <row r="24" spans="1:5" x14ac:dyDescent="0.2">
      <c r="A24" s="57" t="s">
        <v>219</v>
      </c>
      <c r="B24" s="58" t="s">
        <v>183</v>
      </c>
      <c r="C24" s="59">
        <v>74396.365669999999</v>
      </c>
      <c r="D24" s="26">
        <v>183841.79663</v>
      </c>
      <c r="E24" s="26" t="s">
        <v>340</v>
      </c>
    </row>
    <row r="25" spans="1:5" ht="17.25" customHeight="1" x14ac:dyDescent="0.2">
      <c r="A25" s="57" t="s">
        <v>272</v>
      </c>
      <c r="B25" s="58" t="s">
        <v>184</v>
      </c>
      <c r="C25" s="59">
        <v>-1534.59203</v>
      </c>
      <c r="D25" s="26">
        <v>-2973.9132100000002</v>
      </c>
      <c r="E25" s="26" t="s">
        <v>100</v>
      </c>
    </row>
    <row r="26" spans="1:5" x14ac:dyDescent="0.2">
      <c r="A26" s="57" t="s">
        <v>220</v>
      </c>
      <c r="B26" s="58" t="s">
        <v>185</v>
      </c>
      <c r="C26" s="59">
        <v>-31441.916150000001</v>
      </c>
      <c r="D26" s="26">
        <v>-37695.686139999998</v>
      </c>
      <c r="E26" s="26">
        <f>IF(OR(-31441.91615="",-37695.68614="",-31441.91615=0,-37695.68614=0),"-",-37695.68614/-31441.91615*100)</f>
        <v>119.88991370680186</v>
      </c>
    </row>
    <row r="27" spans="1:5" x14ac:dyDescent="0.2">
      <c r="A27" s="57" t="s">
        <v>221</v>
      </c>
      <c r="B27" s="58" t="s">
        <v>137</v>
      </c>
      <c r="C27" s="59">
        <v>2956.2521099999999</v>
      </c>
      <c r="D27" s="26">
        <v>3036.87979</v>
      </c>
      <c r="E27" s="26">
        <f>IF(OR(2956.25211="",3036.87979="",2956.25211=0,3036.87979=0),"-",3036.87979/2956.25211*100)</f>
        <v>102.72736143603125</v>
      </c>
    </row>
    <row r="28" spans="1:5" ht="36" x14ac:dyDescent="0.2">
      <c r="A28" s="57" t="s">
        <v>222</v>
      </c>
      <c r="B28" s="58" t="s">
        <v>138</v>
      </c>
      <c r="C28" s="59">
        <v>-6399.7937300000003</v>
      </c>
      <c r="D28" s="26">
        <v>-5131.9766399999999</v>
      </c>
      <c r="E28" s="26">
        <f>IF(OR(-6399.79373="",-5131.97664="",-6399.79373=0,-5131.97664=0),"-",-5131.97664/-6399.79373*100)</f>
        <v>80.189719489599852</v>
      </c>
    </row>
    <row r="29" spans="1:5" ht="24" x14ac:dyDescent="0.2">
      <c r="A29" s="57" t="s">
        <v>223</v>
      </c>
      <c r="B29" s="58" t="s">
        <v>139</v>
      </c>
      <c r="C29" s="59">
        <v>-7620.5714099999996</v>
      </c>
      <c r="D29" s="26">
        <v>-861.62455</v>
      </c>
      <c r="E29" s="26">
        <f>IF(OR(-7620.57141="",-861.62455="",-7620.57141=0,-861.62455=0),"-",-861.62455/-7620.57141*100)</f>
        <v>11.306560934122919</v>
      </c>
    </row>
    <row r="30" spans="1:5" x14ac:dyDescent="0.2">
      <c r="A30" s="57" t="s">
        <v>224</v>
      </c>
      <c r="B30" s="58" t="s">
        <v>140</v>
      </c>
      <c r="C30" s="59">
        <v>55841.914859999997</v>
      </c>
      <c r="D30" s="26">
        <v>43173.776039999997</v>
      </c>
      <c r="E30" s="26">
        <f>IF(OR(55841.91486="",43173.77604="",55841.91486=0,43173.77604=0),"-",43173.77604/55841.91486*100)</f>
        <v>77.314282914975237</v>
      </c>
    </row>
    <row r="31" spans="1:5" x14ac:dyDescent="0.2">
      <c r="A31" s="57" t="s">
        <v>225</v>
      </c>
      <c r="B31" s="58" t="s">
        <v>141</v>
      </c>
      <c r="C31" s="59">
        <v>-32056.50692</v>
      </c>
      <c r="D31" s="26">
        <v>-29559.379850000001</v>
      </c>
      <c r="E31" s="26">
        <f>IF(OR(-32056.50692="",-29559.37985="",-32056.50692=0,-29559.37985=0),"-",-29559.37985/-32056.50692*100)</f>
        <v>92.210233397444668</v>
      </c>
    </row>
    <row r="32" spans="1:5" ht="15.75" customHeight="1" x14ac:dyDescent="0.2">
      <c r="A32" s="54" t="s">
        <v>226</v>
      </c>
      <c r="B32" s="55" t="s">
        <v>142</v>
      </c>
      <c r="C32" s="56">
        <v>-537234.78607999999</v>
      </c>
      <c r="D32" s="20">
        <v>-1177561.01453</v>
      </c>
      <c r="E32" s="20" t="s">
        <v>193</v>
      </c>
    </row>
    <row r="33" spans="1:5" x14ac:dyDescent="0.2">
      <c r="A33" s="57" t="s">
        <v>227</v>
      </c>
      <c r="B33" s="58" t="s">
        <v>186</v>
      </c>
      <c r="C33" s="59">
        <v>-9119.7544999999991</v>
      </c>
      <c r="D33" s="26">
        <v>-20738.251459999999</v>
      </c>
      <c r="E33" s="26" t="s">
        <v>346</v>
      </c>
    </row>
    <row r="34" spans="1:5" x14ac:dyDescent="0.2">
      <c r="A34" s="57" t="s">
        <v>228</v>
      </c>
      <c r="B34" s="58" t="s">
        <v>143</v>
      </c>
      <c r="C34" s="59">
        <v>-360916.00647999998</v>
      </c>
      <c r="D34" s="26">
        <v>-621725.83401999995</v>
      </c>
      <c r="E34" s="26" t="s">
        <v>99</v>
      </c>
    </row>
    <row r="35" spans="1:5" x14ac:dyDescent="0.2">
      <c r="A35" s="57" t="s">
        <v>273</v>
      </c>
      <c r="B35" s="58" t="s">
        <v>187</v>
      </c>
      <c r="C35" s="59">
        <v>-159822.60814999999</v>
      </c>
      <c r="D35" s="26">
        <v>-506554.19498999999</v>
      </c>
      <c r="E35" s="26" t="s">
        <v>354</v>
      </c>
    </row>
    <row r="36" spans="1:5" x14ac:dyDescent="0.2">
      <c r="A36" s="57" t="s">
        <v>279</v>
      </c>
      <c r="B36" s="58" t="s">
        <v>281</v>
      </c>
      <c r="C36" s="59">
        <v>-7376.4169499999998</v>
      </c>
      <c r="D36" s="26">
        <v>-28542.734059999999</v>
      </c>
      <c r="E36" s="26" t="s">
        <v>381</v>
      </c>
    </row>
    <row r="37" spans="1:5" ht="24" x14ac:dyDescent="0.2">
      <c r="A37" s="54" t="s">
        <v>229</v>
      </c>
      <c r="B37" s="55" t="s">
        <v>144</v>
      </c>
      <c r="C37" s="56">
        <v>35943.804830000001</v>
      </c>
      <c r="D37" s="20">
        <v>229568.97094</v>
      </c>
      <c r="E37" s="20" t="s">
        <v>404</v>
      </c>
    </row>
    <row r="38" spans="1:5" x14ac:dyDescent="0.2">
      <c r="A38" s="57" t="s">
        <v>230</v>
      </c>
      <c r="B38" s="58" t="s">
        <v>190</v>
      </c>
      <c r="C38" s="59">
        <v>-1174.1780900000001</v>
      </c>
      <c r="D38" s="26">
        <v>-1619.4858099999999</v>
      </c>
      <c r="E38" s="26">
        <f>IF(OR(-1174.17809="",-1619.48581="",-1174.17809=0,-1619.48581=0),"-",-1619.48581/-1174.17809*100)</f>
        <v>137.92505785898285</v>
      </c>
    </row>
    <row r="39" spans="1:5" ht="14.25" customHeight="1" x14ac:dyDescent="0.2">
      <c r="A39" s="57" t="s">
        <v>231</v>
      </c>
      <c r="B39" s="58" t="s">
        <v>145</v>
      </c>
      <c r="C39" s="59">
        <v>38432.850140000002</v>
      </c>
      <c r="D39" s="26">
        <v>233599.8505</v>
      </c>
      <c r="E39" s="26" t="s">
        <v>363</v>
      </c>
    </row>
    <row r="40" spans="1:5" ht="40.5" customHeight="1" x14ac:dyDescent="0.2">
      <c r="A40" s="57" t="s">
        <v>232</v>
      </c>
      <c r="B40" s="58" t="s">
        <v>188</v>
      </c>
      <c r="C40" s="59">
        <v>-1314.8672200000001</v>
      </c>
      <c r="D40" s="26">
        <v>-2411.3937500000002</v>
      </c>
      <c r="E40" s="26" t="s">
        <v>194</v>
      </c>
    </row>
    <row r="41" spans="1:5" ht="15" customHeight="1" x14ac:dyDescent="0.2">
      <c r="A41" s="54" t="s">
        <v>233</v>
      </c>
      <c r="B41" s="55" t="s">
        <v>146</v>
      </c>
      <c r="C41" s="56">
        <v>-577940.08278000006</v>
      </c>
      <c r="D41" s="20">
        <v>-637753.12361999997</v>
      </c>
      <c r="E41" s="20">
        <f>IF(-577940.08278="","-",-637753.12362/-577940.08278*100)</f>
        <v>110.34934980669415</v>
      </c>
    </row>
    <row r="42" spans="1:5" x14ac:dyDescent="0.2">
      <c r="A42" s="57" t="s">
        <v>234</v>
      </c>
      <c r="B42" s="58" t="s">
        <v>23</v>
      </c>
      <c r="C42" s="59">
        <v>12487.229300000001</v>
      </c>
      <c r="D42" s="26">
        <v>19066.05269</v>
      </c>
      <c r="E42" s="26">
        <f>IF(OR(12487.2293="",19066.05269="",12487.2293=0,19066.05269=0),"-",19066.05269/12487.2293*100)</f>
        <v>152.68441246610246</v>
      </c>
    </row>
    <row r="43" spans="1:5" x14ac:dyDescent="0.2">
      <c r="A43" s="57" t="s">
        <v>235</v>
      </c>
      <c r="B43" s="58" t="s">
        <v>24</v>
      </c>
      <c r="C43" s="59">
        <v>-10083.41999</v>
      </c>
      <c r="D43" s="26">
        <v>-15492.81294</v>
      </c>
      <c r="E43" s="26">
        <f>IF(OR(-10083.41999="",-15492.81294="",-10083.41999=0,-15492.81294=0),"-",-15492.81294/-10083.41999*100)</f>
        <v>153.646411191487</v>
      </c>
    </row>
    <row r="44" spans="1:5" x14ac:dyDescent="0.2">
      <c r="A44" s="57" t="s">
        <v>236</v>
      </c>
      <c r="B44" s="58" t="s">
        <v>147</v>
      </c>
      <c r="C44" s="59">
        <v>-31586.215499999998</v>
      </c>
      <c r="D44" s="26">
        <v>-31250.584559999999</v>
      </c>
      <c r="E44" s="26">
        <f>IF(OR(-31586.2155="",-31250.58456="",-31586.2155=0,-31250.58456=0),"-",-31250.58456/-31586.2155*100)</f>
        <v>98.937413252309383</v>
      </c>
    </row>
    <row r="45" spans="1:5" x14ac:dyDescent="0.2">
      <c r="A45" s="57" t="s">
        <v>237</v>
      </c>
      <c r="B45" s="58" t="s">
        <v>148</v>
      </c>
      <c r="C45" s="59">
        <v>-152402.86283</v>
      </c>
      <c r="D45" s="26">
        <v>-154019.94787999999</v>
      </c>
      <c r="E45" s="26">
        <f>IF(OR(-152402.86283="",-154019.94788="",-152402.86283=0,-154019.94788=0),"-",-154019.94788/-152402.86283*100)</f>
        <v>101.06105949715905</v>
      </c>
    </row>
    <row r="46" spans="1:5" ht="28.5" customHeight="1" x14ac:dyDescent="0.2">
      <c r="A46" s="57" t="s">
        <v>238</v>
      </c>
      <c r="B46" s="58" t="s">
        <v>149</v>
      </c>
      <c r="C46" s="59">
        <v>-80915.298790000001</v>
      </c>
      <c r="D46" s="26">
        <v>-84482.914600000004</v>
      </c>
      <c r="E46" s="26">
        <f>IF(OR(-80915.29879="",-84482.9146="",-80915.29879=0,-84482.9146=0),"-",-84482.9146/-80915.29879*100)</f>
        <v>104.40907450550118</v>
      </c>
    </row>
    <row r="47" spans="1:5" x14ac:dyDescent="0.2">
      <c r="A47" s="57" t="s">
        <v>239</v>
      </c>
      <c r="B47" s="58" t="s">
        <v>150</v>
      </c>
      <c r="C47" s="59">
        <v>-58297.695950000001</v>
      </c>
      <c r="D47" s="26">
        <v>-95664.541370000006</v>
      </c>
      <c r="E47" s="26">
        <v>164.09660761215727</v>
      </c>
    </row>
    <row r="48" spans="1:5" x14ac:dyDescent="0.2">
      <c r="A48" s="57" t="s">
        <v>240</v>
      </c>
      <c r="B48" s="58" t="s">
        <v>25</v>
      </c>
      <c r="C48" s="59">
        <v>-43063.699670000002</v>
      </c>
      <c r="D48" s="26">
        <v>-49561.930899999999</v>
      </c>
      <c r="E48" s="26">
        <f>IF(OR(-43063.69967="",-49561.9309="",-43063.69967=0,-49561.9309=0),"-",-49561.9309/-43063.69967*100)</f>
        <v>115.08981178996783</v>
      </c>
    </row>
    <row r="49" spans="1:5" x14ac:dyDescent="0.2">
      <c r="A49" s="57" t="s">
        <v>241</v>
      </c>
      <c r="B49" s="58" t="s">
        <v>26</v>
      </c>
      <c r="C49" s="59">
        <v>-98706.253249999994</v>
      </c>
      <c r="D49" s="26">
        <v>-95976.255340000003</v>
      </c>
      <c r="E49" s="26">
        <f>IF(OR(-98706.25325="",-95976.25534="",-98706.25325=0,-95976.25534=0),"-",-95976.25534/-98706.25325*100)</f>
        <v>97.23421989984206</v>
      </c>
    </row>
    <row r="50" spans="1:5" x14ac:dyDescent="0.2">
      <c r="A50" s="57" t="s">
        <v>242</v>
      </c>
      <c r="B50" s="58" t="s">
        <v>151</v>
      </c>
      <c r="C50" s="59">
        <v>-115371.8661</v>
      </c>
      <c r="D50" s="26">
        <v>-130370.18872000001</v>
      </c>
      <c r="E50" s="26">
        <f>IF(OR(-115371.8661="",-130370.18872="",-115371.8661=0,-130370.18872=0),"-",-130370.18872/-115371.8661*100)</f>
        <v>112.99998268815381</v>
      </c>
    </row>
    <row r="51" spans="1:5" ht="24" x14ac:dyDescent="0.2">
      <c r="A51" s="54" t="s">
        <v>243</v>
      </c>
      <c r="B51" s="55" t="s">
        <v>329</v>
      </c>
      <c r="C51" s="56">
        <v>-677853.48620000004</v>
      </c>
      <c r="D51" s="20">
        <v>-679980.79547000001</v>
      </c>
      <c r="E51" s="20">
        <f>IF(-677853.4862="","-",-679980.79547/-677853.4862*100)</f>
        <v>100.31383024699416</v>
      </c>
    </row>
    <row r="52" spans="1:5" x14ac:dyDescent="0.2">
      <c r="A52" s="57" t="s">
        <v>244</v>
      </c>
      <c r="B52" s="58" t="s">
        <v>152</v>
      </c>
      <c r="C52" s="59">
        <v>-36256.161139999997</v>
      </c>
      <c r="D52" s="26">
        <v>-35718.81914</v>
      </c>
      <c r="E52" s="26">
        <f>IF(OR(-36256.16114="",-35718.81914="",-36256.16114=0,-35718.81914=0),"-",-35718.81914/-36256.16114*100)</f>
        <v>98.517929137822676</v>
      </c>
    </row>
    <row r="53" spans="1:5" x14ac:dyDescent="0.2">
      <c r="A53" s="57" t="s">
        <v>245</v>
      </c>
      <c r="B53" s="58" t="s">
        <v>27</v>
      </c>
      <c r="C53" s="59">
        <v>-41515.041389999999</v>
      </c>
      <c r="D53" s="26">
        <v>-55943.721980000002</v>
      </c>
      <c r="E53" s="26">
        <f>IF(OR(-41515.04139="",-55943.72198="",-41515.04139=0,-55943.72198=0),"-",-55943.72198/-41515.04139*100)</f>
        <v>134.75530821336369</v>
      </c>
    </row>
    <row r="54" spans="1:5" x14ac:dyDescent="0.2">
      <c r="A54" s="57" t="s">
        <v>246</v>
      </c>
      <c r="B54" s="58" t="s">
        <v>153</v>
      </c>
      <c r="C54" s="59">
        <v>-53706.383260000002</v>
      </c>
      <c r="D54" s="26">
        <v>-51675.968200000003</v>
      </c>
      <c r="E54" s="26">
        <f>IF(OR(-53706.38326="",-51675.9682="",-53706.38326=0,-51675.9682=0),"-",-51675.9682/-53706.38326*100)</f>
        <v>96.219415762609671</v>
      </c>
    </row>
    <row r="55" spans="1:5" ht="24" x14ac:dyDescent="0.2">
      <c r="A55" s="57" t="s">
        <v>247</v>
      </c>
      <c r="B55" s="58" t="s">
        <v>154</v>
      </c>
      <c r="C55" s="59">
        <v>-62569.757189999997</v>
      </c>
      <c r="D55" s="26">
        <v>-79962.758900000001</v>
      </c>
      <c r="E55" s="26">
        <f>IF(OR(-62569.75719="",-79962.7589="",-62569.75719=0,-79962.7589=0),"-",-79962.7589/-62569.75719*100)</f>
        <v>127.79777721876758</v>
      </c>
    </row>
    <row r="56" spans="1:5" ht="24" x14ac:dyDescent="0.2">
      <c r="A56" s="57" t="s">
        <v>248</v>
      </c>
      <c r="B56" s="58" t="s">
        <v>155</v>
      </c>
      <c r="C56" s="59">
        <v>-157197.51899000001</v>
      </c>
      <c r="D56" s="26">
        <v>-160658.39030999999</v>
      </c>
      <c r="E56" s="26">
        <f>IF(OR(-157197.51899="",-160658.39031="",-157197.51899=0,-160658.39031=0),"-",-160658.39031/-157197.51899*100)</f>
        <v>102.20160683338784</v>
      </c>
    </row>
    <row r="57" spans="1:5" x14ac:dyDescent="0.2">
      <c r="A57" s="57" t="s">
        <v>249</v>
      </c>
      <c r="B57" s="58" t="s">
        <v>28</v>
      </c>
      <c r="C57" s="59">
        <v>-63050.861949999999</v>
      </c>
      <c r="D57" s="26">
        <v>-47832.913500000002</v>
      </c>
      <c r="E57" s="26">
        <f>IF(OR(-63050.86195="",-47832.9135="",-63050.86195=0,-47832.9135=0),"-",-47832.9135/-63050.86195*100)</f>
        <v>75.864012038300146</v>
      </c>
    </row>
    <row r="58" spans="1:5" x14ac:dyDescent="0.2">
      <c r="A58" s="57" t="s">
        <v>250</v>
      </c>
      <c r="B58" s="58" t="s">
        <v>156</v>
      </c>
      <c r="C58" s="59">
        <v>-103784.57871</v>
      </c>
      <c r="D58" s="26">
        <v>-119813.80649</v>
      </c>
      <c r="E58" s="26">
        <f>IF(OR(-103784.57871="",-119813.80649="",-103784.57871=0,-119813.80649=0),"-",-119813.80649/-103784.57871*100)</f>
        <v>115.44471055260499</v>
      </c>
    </row>
    <row r="59" spans="1:5" x14ac:dyDescent="0.2">
      <c r="A59" s="57" t="s">
        <v>251</v>
      </c>
      <c r="B59" s="58" t="s">
        <v>29</v>
      </c>
      <c r="C59" s="59">
        <v>-49736.33812</v>
      </c>
      <c r="D59" s="26">
        <v>-22480.787520000002</v>
      </c>
      <c r="E59" s="26">
        <f>IF(OR(-49736.33812="",-22480.78752="",-49736.33812=0,-22480.78752=0),"-",-22480.78752/-49736.33812*100)</f>
        <v>45.199924983942509</v>
      </c>
    </row>
    <row r="60" spans="1:5" x14ac:dyDescent="0.2">
      <c r="A60" s="57" t="s">
        <v>252</v>
      </c>
      <c r="B60" s="58" t="s">
        <v>30</v>
      </c>
      <c r="C60" s="59">
        <v>-110036.84544999999</v>
      </c>
      <c r="D60" s="26">
        <v>-105893.62943</v>
      </c>
      <c r="E60" s="26">
        <f>IF(OR(-110036.84545="",-105893.62943="",-110036.84545=0,-105893.62943=0),"-",-105893.62943/-110036.84545*100)</f>
        <v>96.234701201169344</v>
      </c>
    </row>
    <row r="61" spans="1:5" x14ac:dyDescent="0.2">
      <c r="A61" s="54" t="s">
        <v>253</v>
      </c>
      <c r="B61" s="55" t="s">
        <v>157</v>
      </c>
      <c r="C61" s="56">
        <v>-699214.34391000005</v>
      </c>
      <c r="D61" s="20">
        <v>-842883.61893999996</v>
      </c>
      <c r="E61" s="20">
        <f>IF(-699214.34391="","-",-842883.61894/-699214.34391*100)</f>
        <v>120.54724367160472</v>
      </c>
    </row>
    <row r="62" spans="1:5" ht="16.5" customHeight="1" x14ac:dyDescent="0.2">
      <c r="A62" s="57" t="s">
        <v>254</v>
      </c>
      <c r="B62" s="58" t="s">
        <v>158</v>
      </c>
      <c r="C62" s="59">
        <v>-16940.992470000001</v>
      </c>
      <c r="D62" s="26">
        <v>-16191.2377</v>
      </c>
      <c r="E62" s="26">
        <f>IF(OR(-16940.99247="",-16191.2377="",-16940.99247=0,-16191.2377=0),"-",-16191.2377/-16940.99247*100)</f>
        <v>95.57431613686326</v>
      </c>
    </row>
    <row r="63" spans="1:5" ht="24" x14ac:dyDescent="0.2">
      <c r="A63" s="57" t="s">
        <v>255</v>
      </c>
      <c r="B63" s="58" t="s">
        <v>159</v>
      </c>
      <c r="C63" s="59">
        <v>-138723.07297000001</v>
      </c>
      <c r="D63" s="26">
        <v>-211495.49612</v>
      </c>
      <c r="E63" s="26">
        <f>IF(OR(-138723.07297="",-211495.49612="",-138723.07297=0,-211495.49612=0),"-",-211495.49612/-138723.07297*100)</f>
        <v>152.45877386650571</v>
      </c>
    </row>
    <row r="64" spans="1:5" x14ac:dyDescent="0.2">
      <c r="A64" s="57" t="s">
        <v>256</v>
      </c>
      <c r="B64" s="58" t="s">
        <v>160</v>
      </c>
      <c r="C64" s="59">
        <v>-8798.1022099999991</v>
      </c>
      <c r="D64" s="26">
        <v>-5391.4935599999999</v>
      </c>
      <c r="E64" s="26">
        <f>IF(OR(-8798.10221="",-5391.49356="",-8798.10221=0,-5391.49356=0),"-",-5391.49356/-8798.10221*100)</f>
        <v>61.280187832689435</v>
      </c>
    </row>
    <row r="65" spans="1:5" ht="24" x14ac:dyDescent="0.2">
      <c r="A65" s="57" t="s">
        <v>257</v>
      </c>
      <c r="B65" s="58" t="s">
        <v>161</v>
      </c>
      <c r="C65" s="59">
        <v>-143549.46468</v>
      </c>
      <c r="D65" s="26">
        <v>-147858.60323000001</v>
      </c>
      <c r="E65" s="26">
        <f>IF(OR(-143549.46468="",-147858.60323="",-143549.46468=0,-147858.60323=0),"-",-147858.60323/-143549.46468*100)</f>
        <v>103.00184926471576</v>
      </c>
    </row>
    <row r="66" spans="1:5" ht="27.75" customHeight="1" x14ac:dyDescent="0.2">
      <c r="A66" s="57" t="s">
        <v>258</v>
      </c>
      <c r="B66" s="58" t="s">
        <v>162</v>
      </c>
      <c r="C66" s="59">
        <v>-47318.637150000002</v>
      </c>
      <c r="D66" s="26">
        <v>-53885.436419999998</v>
      </c>
      <c r="E66" s="26">
        <f>IF(OR(-47318.63715="",-53885.43642="",-47318.63715=0,-53885.43642=0),"-",-53885.43642/-47318.63715*100)</f>
        <v>113.87782841078717</v>
      </c>
    </row>
    <row r="67" spans="1:5" ht="29.25" customHeight="1" x14ac:dyDescent="0.2">
      <c r="A67" s="57" t="s">
        <v>259</v>
      </c>
      <c r="B67" s="58" t="s">
        <v>163</v>
      </c>
      <c r="C67" s="59">
        <v>-116330.71878</v>
      </c>
      <c r="D67" s="26">
        <v>-114917.03946</v>
      </c>
      <c r="E67" s="26">
        <f>IF(OR(-116330.71878="",-114917.03946="",-116330.71878=0,-114917.03946=0),"-",-114917.03946/-116330.71878*100)</f>
        <v>98.784775565022088</v>
      </c>
    </row>
    <row r="68" spans="1:5" ht="15" customHeight="1" x14ac:dyDescent="0.2">
      <c r="A68" s="57" t="s">
        <v>260</v>
      </c>
      <c r="B68" s="58" t="s">
        <v>164</v>
      </c>
      <c r="C68" s="59">
        <v>14442.36615</v>
      </c>
      <c r="D68" s="26">
        <v>-9672.4283500000001</v>
      </c>
      <c r="E68" s="26" t="s">
        <v>20</v>
      </c>
    </row>
    <row r="69" spans="1:5" x14ac:dyDescent="0.2">
      <c r="A69" s="57" t="s">
        <v>261</v>
      </c>
      <c r="B69" s="58" t="s">
        <v>165</v>
      </c>
      <c r="C69" s="59">
        <v>-240387.07612000001</v>
      </c>
      <c r="D69" s="26">
        <v>-280098.59392000001</v>
      </c>
      <c r="E69" s="26">
        <f>IF(OR(-240387.07612="",-280098.59392="",-240387.07612=0,-280098.59392=0),"-",-280098.59392/-240387.07612*100)</f>
        <v>116.5198222970091</v>
      </c>
    </row>
    <row r="70" spans="1:5" x14ac:dyDescent="0.2">
      <c r="A70" s="57" t="s">
        <v>262</v>
      </c>
      <c r="B70" s="58" t="s">
        <v>31</v>
      </c>
      <c r="C70" s="59">
        <v>-1608.6456800000001</v>
      </c>
      <c r="D70" s="26">
        <v>-3373.29018</v>
      </c>
      <c r="E70" s="26" t="s">
        <v>91</v>
      </c>
    </row>
    <row r="71" spans="1:5" x14ac:dyDescent="0.2">
      <c r="A71" s="54" t="s">
        <v>263</v>
      </c>
      <c r="B71" s="55" t="s">
        <v>32</v>
      </c>
      <c r="C71" s="56">
        <v>-125003.36614</v>
      </c>
      <c r="D71" s="20">
        <v>-96248.089019999999</v>
      </c>
      <c r="E71" s="20">
        <f>IF(-125003.36614="","-",-96248.08902/-125003.36614*100)</f>
        <v>76.996397770764872</v>
      </c>
    </row>
    <row r="72" spans="1:5" ht="24" x14ac:dyDescent="0.2">
      <c r="A72" s="57" t="s">
        <v>264</v>
      </c>
      <c r="B72" s="58" t="s">
        <v>191</v>
      </c>
      <c r="C72" s="59">
        <v>-32704.58826</v>
      </c>
      <c r="D72" s="26">
        <v>-29019.913560000001</v>
      </c>
      <c r="E72" s="26">
        <f>IF(OR(-32704.58826="",-29019.91356="",-32704.58826=0,-29019.91356=0),"-",-29019.91356/-32704.58826*100)</f>
        <v>88.733462501631266</v>
      </c>
    </row>
    <row r="73" spans="1:5" x14ac:dyDescent="0.2">
      <c r="A73" s="57" t="s">
        <v>265</v>
      </c>
      <c r="B73" s="58" t="s">
        <v>166</v>
      </c>
      <c r="C73" s="59">
        <v>57742.97741</v>
      </c>
      <c r="D73" s="26">
        <v>49768.219530000002</v>
      </c>
      <c r="E73" s="26">
        <f>IF(OR(57742.97741="",49768.21953="",57742.97741=0,49768.21953=0),"-",49768.21953/57742.97741*100)</f>
        <v>86.18921600911608</v>
      </c>
    </row>
    <row r="74" spans="1:5" x14ac:dyDescent="0.2">
      <c r="A74" s="57" t="s">
        <v>266</v>
      </c>
      <c r="B74" s="58" t="s">
        <v>167</v>
      </c>
      <c r="C74" s="59">
        <v>1873.91157</v>
      </c>
      <c r="D74" s="26">
        <v>-1496.2673</v>
      </c>
      <c r="E74" s="26" t="s">
        <v>20</v>
      </c>
    </row>
    <row r="75" spans="1:5" x14ac:dyDescent="0.2">
      <c r="A75" s="57" t="s">
        <v>267</v>
      </c>
      <c r="B75" s="58" t="s">
        <v>168</v>
      </c>
      <c r="C75" s="59">
        <v>59837.551180000002</v>
      </c>
      <c r="D75" s="26">
        <v>73860.338300000003</v>
      </c>
      <c r="E75" s="26">
        <f>IF(OR(59837.55118="",73860.3383="",59837.55118=0,73860.3383=0),"-",73860.3383/59837.55118*100)</f>
        <v>123.43476102124806</v>
      </c>
    </row>
    <row r="76" spans="1:5" x14ac:dyDescent="0.2">
      <c r="A76" s="57" t="s">
        <v>268</v>
      </c>
      <c r="B76" s="58" t="s">
        <v>169</v>
      </c>
      <c r="C76" s="59">
        <v>-7988.0637999999999</v>
      </c>
      <c r="D76" s="26">
        <v>-12071.954100000001</v>
      </c>
      <c r="E76" s="26">
        <f>IF(OR(-7988.0638="",-12071.9541="",-7988.0638=0,-12071.9541=0),"-",-12071.9541/-7988.0638*100)</f>
        <v>151.12490839144274</v>
      </c>
    </row>
    <row r="77" spans="1:5" ht="24" x14ac:dyDescent="0.2">
      <c r="A77" s="57" t="s">
        <v>269</v>
      </c>
      <c r="B77" s="58" t="s">
        <v>192</v>
      </c>
      <c r="C77" s="59">
        <v>-47079.114529999999</v>
      </c>
      <c r="D77" s="26">
        <v>-32382.532429999999</v>
      </c>
      <c r="E77" s="26">
        <f>IF(OR(-47079.11453="",-32382.53243="",-47079.11453=0,-32382.53243=0),"-",-32382.53243/-47079.11453*100)</f>
        <v>68.783223204771687</v>
      </c>
    </row>
    <row r="78" spans="1:5" ht="24" x14ac:dyDescent="0.2">
      <c r="A78" s="57" t="s">
        <v>270</v>
      </c>
      <c r="B78" s="58" t="s">
        <v>170</v>
      </c>
      <c r="C78" s="59">
        <v>-8939.8273200000003</v>
      </c>
      <c r="D78" s="26">
        <v>-5978.3081099999999</v>
      </c>
      <c r="E78" s="26">
        <f>IF(OR(-8939.82732="",-5978.30811="",-8939.82732=0,-5978.30811=0),"-",-5978.30811/-8939.82732*100)</f>
        <v>66.872747045409369</v>
      </c>
    </row>
    <row r="79" spans="1:5" x14ac:dyDescent="0.2">
      <c r="A79" s="57" t="s">
        <v>271</v>
      </c>
      <c r="B79" s="58" t="s">
        <v>33</v>
      </c>
      <c r="C79" s="59">
        <v>-147746.21239</v>
      </c>
      <c r="D79" s="26">
        <v>-138927.67134999999</v>
      </c>
      <c r="E79" s="26">
        <f>IF(OR(-147746.21239="",-138927.67135="",-147746.21239=0,-138927.67135=0),"-",-138927.67135/-147746.21239*100)</f>
        <v>94.031291295155469</v>
      </c>
    </row>
    <row r="80" spans="1:5" x14ac:dyDescent="0.2">
      <c r="A80" s="54" t="s">
        <v>274</v>
      </c>
      <c r="B80" s="55" t="s">
        <v>171</v>
      </c>
      <c r="C80" s="56">
        <v>247.36793</v>
      </c>
      <c r="D80" s="20">
        <v>-13579.62571</v>
      </c>
      <c r="E80" s="20" t="s">
        <v>20</v>
      </c>
    </row>
    <row r="81" spans="1:5" ht="24" x14ac:dyDescent="0.2">
      <c r="A81" s="57" t="s">
        <v>313</v>
      </c>
      <c r="B81" s="58" t="s">
        <v>314</v>
      </c>
      <c r="C81" s="32">
        <v>-18.893640000000001</v>
      </c>
      <c r="D81" s="26">
        <v>-333.24464999999998</v>
      </c>
      <c r="E81" s="26" t="s">
        <v>402</v>
      </c>
    </row>
    <row r="82" spans="1:5" x14ac:dyDescent="0.2">
      <c r="A82" s="57" t="s">
        <v>304</v>
      </c>
      <c r="B82" s="58" t="s">
        <v>305</v>
      </c>
      <c r="C82" s="59">
        <v>355.09465</v>
      </c>
      <c r="D82" s="26">
        <v>666.06434000000002</v>
      </c>
      <c r="E82" s="26" t="s">
        <v>100</v>
      </c>
    </row>
    <row r="83" spans="1:5" x14ac:dyDescent="0.2">
      <c r="A83" s="60" t="s">
        <v>306</v>
      </c>
      <c r="B83" s="61" t="s">
        <v>312</v>
      </c>
      <c r="C83" s="62">
        <v>-88.833079999999995</v>
      </c>
      <c r="D83" s="37">
        <v>-13912.445400000001</v>
      </c>
      <c r="E83" s="37" t="s">
        <v>405</v>
      </c>
    </row>
    <row r="84" spans="1:5" x14ac:dyDescent="0.2">
      <c r="A84" s="38" t="s">
        <v>277</v>
      </c>
      <c r="B84" s="39"/>
    </row>
    <row r="85" spans="1:5" x14ac:dyDescent="0.2">
      <c r="C85" s="63"/>
      <c r="D85" s="63"/>
      <c r="E85" s="64"/>
    </row>
    <row r="86" spans="1:5" x14ac:dyDescent="0.2">
      <c r="C86" s="63"/>
      <c r="D86" s="63"/>
      <c r="E86" s="64"/>
    </row>
  </sheetData>
  <mergeCells count="6"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Doina Cebotari</cp:lastModifiedBy>
  <cp:lastPrinted>2022-10-11T11:43:04Z</cp:lastPrinted>
  <dcterms:created xsi:type="dcterms:W3CDTF">2016-09-01T07:59:47Z</dcterms:created>
  <dcterms:modified xsi:type="dcterms:W3CDTF">2022-10-16T15:45:28Z</dcterms:modified>
</cp:coreProperties>
</file>