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986EB15F-5C39-420C-B932-CC727FF8A9FE}" xr6:coauthVersionLast="47" xr6:coauthVersionMax="47" xr10:uidLastSave="{00000000-0000-0000-0000-000000000000}"/>
  <bookViews>
    <workbookView xWindow="-120" yWindow="-120" windowWidth="29040" windowHeight="15720" tabRatio="908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3" l="1"/>
  <c r="H82" i="6" l="1"/>
  <c r="G82" i="6"/>
  <c r="F82" i="6"/>
  <c r="E82" i="6"/>
  <c r="C82" i="6"/>
  <c r="H81" i="6"/>
  <c r="G81" i="6"/>
  <c r="F81" i="6"/>
  <c r="E81" i="6"/>
  <c r="C81" i="6"/>
  <c r="H80" i="6"/>
  <c r="G80" i="6"/>
  <c r="F80" i="6"/>
  <c r="E80" i="6"/>
  <c r="D80" i="6"/>
  <c r="C80" i="6"/>
  <c r="H79" i="6"/>
  <c r="G79" i="6"/>
  <c r="F79" i="6"/>
  <c r="E79" i="6"/>
  <c r="C79" i="6"/>
  <c r="H78" i="6"/>
  <c r="G78" i="6"/>
  <c r="F78" i="6"/>
  <c r="E78" i="6"/>
  <c r="D78" i="6"/>
  <c r="C78" i="6"/>
  <c r="H77" i="6"/>
  <c r="G77" i="6"/>
  <c r="F77" i="6"/>
  <c r="E77" i="6"/>
  <c r="D77" i="6"/>
  <c r="C77" i="6"/>
  <c r="H76" i="6"/>
  <c r="G76" i="6"/>
  <c r="F76" i="6"/>
  <c r="E76" i="6"/>
  <c r="D76" i="6"/>
  <c r="C76" i="6"/>
  <c r="H75" i="6"/>
  <c r="G75" i="6"/>
  <c r="F75" i="6"/>
  <c r="E75" i="6"/>
  <c r="D75" i="6"/>
  <c r="C75" i="6"/>
  <c r="H74" i="6"/>
  <c r="G74" i="6"/>
  <c r="F74" i="6"/>
  <c r="E74" i="6"/>
  <c r="D74" i="6"/>
  <c r="C74" i="6"/>
  <c r="H73" i="6"/>
  <c r="G73" i="6"/>
  <c r="F73" i="6"/>
  <c r="E73" i="6"/>
  <c r="D73" i="6"/>
  <c r="C73" i="6"/>
  <c r="H72" i="6"/>
  <c r="G72" i="6"/>
  <c r="F72" i="6"/>
  <c r="E72" i="6"/>
  <c r="D72" i="6"/>
  <c r="C72" i="6"/>
  <c r="H71" i="6"/>
  <c r="G71" i="6"/>
  <c r="F71" i="6"/>
  <c r="E71" i="6"/>
  <c r="D71" i="6"/>
  <c r="C71" i="6"/>
  <c r="H70" i="6"/>
  <c r="G70" i="6"/>
  <c r="F70" i="6"/>
  <c r="E70" i="6"/>
  <c r="D70" i="6"/>
  <c r="C70" i="6"/>
  <c r="H69" i="6"/>
  <c r="G69" i="6"/>
  <c r="F69" i="6"/>
  <c r="E69" i="6"/>
  <c r="C69" i="6"/>
  <c r="H68" i="6"/>
  <c r="G68" i="6"/>
  <c r="F68" i="6"/>
  <c r="E68" i="6"/>
  <c r="D68" i="6"/>
  <c r="C68" i="6"/>
  <c r="H67" i="6"/>
  <c r="G67" i="6"/>
  <c r="F67" i="6"/>
  <c r="E67" i="6"/>
  <c r="D67" i="6"/>
  <c r="C67" i="6"/>
  <c r="H66" i="6"/>
  <c r="G66" i="6"/>
  <c r="F66" i="6"/>
  <c r="E66" i="6"/>
  <c r="D66" i="6"/>
  <c r="C66" i="6"/>
  <c r="H65" i="6"/>
  <c r="G65" i="6"/>
  <c r="F65" i="6"/>
  <c r="E65" i="6"/>
  <c r="D65" i="6"/>
  <c r="C65" i="6"/>
  <c r="H64" i="6"/>
  <c r="G64" i="6"/>
  <c r="F64" i="6"/>
  <c r="E64" i="6"/>
  <c r="D64" i="6"/>
  <c r="C64" i="6"/>
  <c r="H63" i="6"/>
  <c r="G63" i="6"/>
  <c r="F63" i="6"/>
  <c r="E63" i="6"/>
  <c r="D63" i="6"/>
  <c r="C63" i="6"/>
  <c r="H62" i="6"/>
  <c r="G62" i="6"/>
  <c r="F62" i="6"/>
  <c r="E62" i="6"/>
  <c r="C62" i="6"/>
  <c r="H61" i="6"/>
  <c r="G61" i="6"/>
  <c r="F61" i="6"/>
  <c r="E61" i="6"/>
  <c r="D61" i="6"/>
  <c r="C61" i="6"/>
  <c r="H60" i="6"/>
  <c r="G60" i="6"/>
  <c r="F60" i="6"/>
  <c r="E60" i="6"/>
  <c r="D60" i="6"/>
  <c r="C60" i="6"/>
  <c r="H59" i="6"/>
  <c r="G59" i="6"/>
  <c r="F59" i="6"/>
  <c r="E59" i="6"/>
  <c r="D59" i="6"/>
  <c r="C59" i="6"/>
  <c r="H58" i="6"/>
  <c r="G58" i="6"/>
  <c r="F58" i="6"/>
  <c r="E58" i="6"/>
  <c r="D58" i="6"/>
  <c r="C58" i="6"/>
  <c r="H57" i="6"/>
  <c r="G57" i="6"/>
  <c r="F57" i="6"/>
  <c r="E57" i="6"/>
  <c r="D57" i="6"/>
  <c r="C57" i="6"/>
  <c r="H56" i="6"/>
  <c r="G56" i="6"/>
  <c r="F56" i="6"/>
  <c r="E56" i="6"/>
  <c r="D56" i="6"/>
  <c r="C56" i="6"/>
  <c r="H55" i="6"/>
  <c r="G55" i="6"/>
  <c r="F55" i="6"/>
  <c r="E55" i="6"/>
  <c r="D55" i="6"/>
  <c r="C55" i="6"/>
  <c r="H54" i="6"/>
  <c r="G54" i="6"/>
  <c r="F54" i="6"/>
  <c r="E54" i="6"/>
  <c r="D54" i="6"/>
  <c r="C54" i="6"/>
  <c r="H53" i="6"/>
  <c r="G53" i="6"/>
  <c r="F53" i="6"/>
  <c r="E53" i="6"/>
  <c r="D53" i="6"/>
  <c r="C53" i="6"/>
  <c r="H52" i="6"/>
  <c r="G52" i="6"/>
  <c r="F52" i="6"/>
  <c r="E52" i="6"/>
  <c r="D52" i="6"/>
  <c r="C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E48" i="6"/>
  <c r="D48" i="6"/>
  <c r="C48" i="6"/>
  <c r="H47" i="6"/>
  <c r="G47" i="6"/>
  <c r="F47" i="6"/>
  <c r="E47" i="6"/>
  <c r="D47" i="6"/>
  <c r="C47" i="6"/>
  <c r="H46" i="6"/>
  <c r="G46" i="6"/>
  <c r="F46" i="6"/>
  <c r="E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G43" i="6"/>
  <c r="F43" i="6"/>
  <c r="E43" i="6"/>
  <c r="D43" i="6"/>
  <c r="C43" i="6"/>
  <c r="H42" i="6"/>
  <c r="G42" i="6"/>
  <c r="F42" i="6"/>
  <c r="E42" i="6"/>
  <c r="C42" i="6"/>
  <c r="H41" i="6"/>
  <c r="G41" i="6"/>
  <c r="F41" i="6"/>
  <c r="E41" i="6"/>
  <c r="D41" i="6"/>
  <c r="C41" i="6"/>
  <c r="H40" i="6"/>
  <c r="G40" i="6"/>
  <c r="F40" i="6"/>
  <c r="E40" i="6"/>
  <c r="D40" i="6"/>
  <c r="C40" i="6"/>
  <c r="H39" i="6"/>
  <c r="G39" i="6"/>
  <c r="F39" i="6"/>
  <c r="E39" i="6"/>
  <c r="D39" i="6"/>
  <c r="C39" i="6"/>
  <c r="H38" i="6"/>
  <c r="G38" i="6"/>
  <c r="F38" i="6"/>
  <c r="E38" i="6"/>
  <c r="C38" i="6"/>
  <c r="H37" i="6"/>
  <c r="G37" i="6"/>
  <c r="F37" i="6"/>
  <c r="E37" i="6"/>
  <c r="D37" i="6"/>
  <c r="C37" i="6"/>
  <c r="H36" i="6"/>
  <c r="G36" i="6"/>
  <c r="F36" i="6"/>
  <c r="E36" i="6"/>
  <c r="C36" i="6"/>
  <c r="H35" i="6"/>
  <c r="G35" i="6"/>
  <c r="F35" i="6"/>
  <c r="E35" i="6"/>
  <c r="C35" i="6"/>
  <c r="H34" i="6"/>
  <c r="G34" i="6"/>
  <c r="F34" i="6"/>
  <c r="E34" i="6"/>
  <c r="C34" i="6"/>
  <c r="H33" i="6"/>
  <c r="G33" i="6"/>
  <c r="F33" i="6"/>
  <c r="E33" i="6"/>
  <c r="C33" i="6"/>
  <c r="H32" i="6"/>
  <c r="G32" i="6"/>
  <c r="F32" i="6"/>
  <c r="E32" i="6"/>
  <c r="C32" i="6"/>
  <c r="H31" i="6"/>
  <c r="G31" i="6"/>
  <c r="F31" i="6"/>
  <c r="E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C24" i="6"/>
  <c r="H23" i="6"/>
  <c r="G23" i="6"/>
  <c r="F23" i="6"/>
  <c r="E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C10" i="6"/>
  <c r="H9" i="6"/>
  <c r="G9" i="6"/>
  <c r="F9" i="6"/>
  <c r="E9" i="6"/>
  <c r="C9" i="6"/>
  <c r="H8" i="6"/>
  <c r="G8" i="6"/>
  <c r="F8" i="6"/>
  <c r="E8" i="6"/>
  <c r="D8" i="6"/>
  <c r="C8" i="6"/>
  <c r="H7" i="6"/>
  <c r="G7" i="6"/>
  <c r="D7" i="6"/>
  <c r="C7" i="6"/>
  <c r="H81" i="5"/>
  <c r="G81" i="5"/>
  <c r="F81" i="5"/>
  <c r="E81" i="5"/>
  <c r="D81" i="5"/>
  <c r="C81" i="5"/>
  <c r="H80" i="5"/>
  <c r="G80" i="5"/>
  <c r="F80" i="5"/>
  <c r="E80" i="5"/>
  <c r="C80" i="5"/>
  <c r="H79" i="5"/>
  <c r="G79" i="5"/>
  <c r="F79" i="5"/>
  <c r="E79" i="5"/>
  <c r="C79" i="5"/>
  <c r="H78" i="5"/>
  <c r="G78" i="5"/>
  <c r="F78" i="5"/>
  <c r="E78" i="5"/>
  <c r="D78" i="5"/>
  <c r="C78" i="5"/>
  <c r="H77" i="5"/>
  <c r="G77" i="5"/>
  <c r="F77" i="5"/>
  <c r="E77" i="5"/>
  <c r="D77" i="5"/>
  <c r="C77" i="5"/>
  <c r="H76" i="5"/>
  <c r="G76" i="5"/>
  <c r="F76" i="5"/>
  <c r="E76" i="5"/>
  <c r="D76" i="5"/>
  <c r="C76" i="5"/>
  <c r="H75" i="5"/>
  <c r="G75" i="5"/>
  <c r="F75" i="5"/>
  <c r="E75" i="5"/>
  <c r="D75" i="5"/>
  <c r="C75" i="5"/>
  <c r="H74" i="5"/>
  <c r="G74" i="5"/>
  <c r="F74" i="5"/>
  <c r="E74" i="5"/>
  <c r="D74" i="5"/>
  <c r="C74" i="5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E71" i="5"/>
  <c r="D71" i="5"/>
  <c r="C71" i="5"/>
  <c r="H70" i="5"/>
  <c r="G70" i="5"/>
  <c r="F70" i="5"/>
  <c r="E70" i="5"/>
  <c r="D70" i="5"/>
  <c r="C70" i="5"/>
  <c r="H69" i="5"/>
  <c r="G69" i="5"/>
  <c r="F69" i="5"/>
  <c r="E69" i="5"/>
  <c r="C69" i="5"/>
  <c r="H68" i="5"/>
  <c r="G68" i="5"/>
  <c r="F68" i="5"/>
  <c r="E68" i="5"/>
  <c r="C68" i="5"/>
  <c r="H67" i="5"/>
  <c r="G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H62" i="5"/>
  <c r="G62" i="5"/>
  <c r="F62" i="5"/>
  <c r="E62" i="5"/>
  <c r="D62" i="5"/>
  <c r="C62" i="5"/>
  <c r="H61" i="5"/>
  <c r="G61" i="5"/>
  <c r="F61" i="5"/>
  <c r="E61" i="5"/>
  <c r="D61" i="5"/>
  <c r="C61" i="5"/>
  <c r="H60" i="5"/>
  <c r="G60" i="5"/>
  <c r="F60" i="5"/>
  <c r="E60" i="5"/>
  <c r="D60" i="5"/>
  <c r="C60" i="5"/>
  <c r="H59" i="5"/>
  <c r="G59" i="5"/>
  <c r="F59" i="5"/>
  <c r="E59" i="5"/>
  <c r="D59" i="5"/>
  <c r="C59" i="5"/>
  <c r="H58" i="5"/>
  <c r="G58" i="5"/>
  <c r="F58" i="5"/>
  <c r="E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C39" i="5"/>
  <c r="H38" i="5"/>
  <c r="G38" i="5"/>
  <c r="F38" i="5"/>
  <c r="E38" i="5"/>
  <c r="D38" i="5"/>
  <c r="C38" i="5"/>
  <c r="H37" i="5"/>
  <c r="G37" i="5"/>
  <c r="F37" i="5"/>
  <c r="E37" i="5"/>
  <c r="C37" i="5"/>
  <c r="H36" i="5"/>
  <c r="G36" i="5"/>
  <c r="F36" i="5"/>
  <c r="E36" i="5"/>
  <c r="D36" i="5"/>
  <c r="C36" i="5"/>
  <c r="H35" i="5"/>
  <c r="G35" i="5"/>
  <c r="F35" i="5"/>
  <c r="E35" i="5"/>
  <c r="D35" i="5"/>
  <c r="C35" i="5"/>
  <c r="H34" i="5"/>
  <c r="G34" i="5"/>
  <c r="F34" i="5"/>
  <c r="E34" i="5"/>
  <c r="C34" i="5"/>
  <c r="H33" i="5"/>
  <c r="G33" i="5"/>
  <c r="F33" i="5"/>
  <c r="E33" i="5"/>
  <c r="D33" i="5"/>
  <c r="C33" i="5"/>
  <c r="H32" i="5"/>
  <c r="G32" i="5"/>
  <c r="F32" i="5"/>
  <c r="E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C26" i="5"/>
  <c r="H25" i="5"/>
  <c r="G25" i="5"/>
  <c r="F25" i="5"/>
  <c r="E25" i="5"/>
  <c r="C25" i="5"/>
  <c r="H24" i="5"/>
  <c r="G24" i="5"/>
  <c r="F24" i="5"/>
  <c r="E24" i="5"/>
  <c r="C24" i="5"/>
  <c r="H23" i="5"/>
  <c r="G23" i="5"/>
  <c r="F23" i="5"/>
  <c r="E23" i="5"/>
  <c r="D23" i="5"/>
  <c r="C23" i="5"/>
  <c r="H22" i="5"/>
  <c r="G22" i="5"/>
  <c r="F22" i="5"/>
  <c r="E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C17" i="5"/>
  <c r="H16" i="5"/>
  <c r="G16" i="5"/>
  <c r="F16" i="5"/>
  <c r="E16" i="5"/>
  <c r="D16" i="5"/>
  <c r="C16" i="5"/>
  <c r="H15" i="5"/>
  <c r="G15" i="5"/>
  <c r="F15" i="5"/>
  <c r="E15" i="5"/>
  <c r="C15" i="5"/>
  <c r="H14" i="5"/>
  <c r="G14" i="5"/>
  <c r="F14" i="5"/>
  <c r="E14" i="5"/>
  <c r="D14" i="5"/>
  <c r="C14" i="5"/>
  <c r="H13" i="5"/>
  <c r="G13" i="5"/>
  <c r="F13" i="5"/>
  <c r="E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C8" i="5"/>
  <c r="H7" i="5"/>
  <c r="G7" i="5"/>
  <c r="C7" i="5"/>
  <c r="E39" i="8"/>
  <c r="D39" i="8"/>
  <c r="E38" i="8"/>
  <c r="D38" i="8"/>
  <c r="E37" i="8"/>
  <c r="D37" i="8"/>
  <c r="E36" i="8"/>
  <c r="D36" i="8"/>
  <c r="E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C136" i="3" l="1"/>
  <c r="B136" i="3"/>
  <c r="C135" i="3"/>
  <c r="B135" i="3"/>
  <c r="D134" i="3"/>
  <c r="C134" i="3"/>
  <c r="B134" i="3"/>
  <c r="D133" i="3"/>
  <c r="C133" i="3"/>
  <c r="B133" i="3"/>
  <c r="D132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D125" i="3"/>
  <c r="C125" i="3"/>
  <c r="B125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C116" i="3"/>
  <c r="B116" i="3"/>
  <c r="D115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D108" i="3"/>
  <c r="C108" i="3"/>
  <c r="B108" i="3"/>
  <c r="D107" i="3"/>
  <c r="C107" i="3"/>
  <c r="B107" i="3"/>
  <c r="D106" i="3"/>
  <c r="C106" i="3"/>
  <c r="B106" i="3"/>
  <c r="C105" i="3"/>
  <c r="B105" i="3"/>
  <c r="C104" i="3"/>
  <c r="B104" i="3"/>
  <c r="C103" i="3"/>
  <c r="B103" i="3"/>
  <c r="D102" i="3"/>
  <c r="C102" i="3"/>
  <c r="B102" i="3"/>
  <c r="C101" i="3"/>
  <c r="B101" i="3"/>
  <c r="C100" i="3"/>
  <c r="B100" i="3"/>
  <c r="C99" i="3"/>
  <c r="B99" i="3"/>
  <c r="C98" i="3"/>
  <c r="B98" i="3"/>
  <c r="D97" i="3"/>
  <c r="C97" i="3"/>
  <c r="B97" i="3"/>
  <c r="C96" i="3"/>
  <c r="B96" i="3"/>
  <c r="C95" i="3"/>
  <c r="B95" i="3"/>
  <c r="C94" i="3"/>
  <c r="B94" i="3"/>
  <c r="D93" i="3"/>
  <c r="C93" i="3"/>
  <c r="B93" i="3"/>
  <c r="D92" i="3"/>
  <c r="C92" i="3"/>
  <c r="B92" i="3"/>
  <c r="D91" i="3"/>
  <c r="C91" i="3"/>
  <c r="B91" i="3"/>
  <c r="C90" i="3"/>
  <c r="B90" i="3"/>
  <c r="C89" i="3"/>
  <c r="B89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C79" i="3"/>
  <c r="B79" i="3"/>
  <c r="C78" i="3"/>
  <c r="B78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C60" i="3"/>
  <c r="B60" i="3"/>
  <c r="D59" i="3"/>
  <c r="C59" i="3"/>
  <c r="B59" i="3"/>
  <c r="D58" i="3"/>
  <c r="C58" i="3"/>
  <c r="B58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C44" i="3"/>
  <c r="B44" i="3"/>
  <c r="C43" i="3"/>
  <c r="B43" i="3"/>
  <c r="C42" i="3"/>
  <c r="B42" i="3"/>
  <c r="C41" i="3"/>
  <c r="B41" i="3"/>
  <c r="C40" i="3"/>
  <c r="B40" i="3"/>
  <c r="D39" i="3"/>
  <c r="C39" i="3"/>
  <c r="B39" i="3"/>
  <c r="D38" i="3"/>
  <c r="C38" i="3"/>
  <c r="B38" i="3"/>
  <c r="C37" i="3"/>
  <c r="B37" i="3"/>
  <c r="D36" i="3"/>
  <c r="C36" i="3"/>
  <c r="B36" i="3"/>
  <c r="C35" i="3"/>
  <c r="B35" i="3"/>
  <c r="C34" i="3"/>
  <c r="B34" i="3"/>
  <c r="C33" i="3"/>
  <c r="B33" i="3"/>
  <c r="D32" i="3"/>
  <c r="C32" i="3"/>
  <c r="B32" i="3"/>
  <c r="D31" i="3"/>
  <c r="C31" i="3"/>
  <c r="B31" i="3"/>
  <c r="C30" i="3"/>
  <c r="B30" i="3"/>
  <c r="D29" i="3"/>
  <c r="C29" i="3"/>
  <c r="B29" i="3"/>
  <c r="D28" i="3"/>
  <c r="C28" i="3"/>
  <c r="B28" i="3"/>
  <c r="C27" i="3"/>
  <c r="B27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D7" i="3"/>
  <c r="C7" i="3"/>
  <c r="B7" i="3"/>
  <c r="D5" i="3"/>
  <c r="C5" i="3"/>
  <c r="B5" i="3"/>
  <c r="G119" i="2"/>
  <c r="F119" i="2"/>
  <c r="E119" i="2"/>
  <c r="D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G6" i="2"/>
  <c r="F6" i="2"/>
  <c r="C6" i="2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C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G36" i="1"/>
  <c r="F36" i="1"/>
  <c r="E36" i="1"/>
  <c r="D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G6" i="1"/>
  <c r="F6" i="1"/>
</calcChain>
</file>

<file path=xl/sharedStrings.xml><?xml version="1.0" encoding="utf-8"?>
<sst xmlns="http://schemas.openxmlformats.org/spreadsheetml/2006/main" count="1180" uniqueCount="424">
  <si>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</si>
  <si>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</si>
  <si>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</si>
  <si>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</si>
  <si>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</si>
  <si>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</si>
  <si>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</si>
  <si>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</si>
  <si>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</si>
  <si>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</si>
  <si>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</si>
  <si>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</si>
  <si>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</si>
  <si>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</si>
  <si>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</si>
  <si>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</si>
  <si>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</si>
  <si>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</si>
  <si>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</si>
  <si>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</si>
  <si>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</si>
  <si>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</si>
  <si>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</si>
  <si>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</si>
  <si>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</si>
  <si>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</si>
  <si>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</si>
  <si>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</si>
  <si>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</si>
  <si>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</si>
  <si>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</si>
  <si>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</si>
  <si>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</si>
  <si>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</si>
  <si>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</si>
  <si>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</si>
  <si>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</si>
  <si>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</si>
  <si>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</si>
  <si>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</si>
  <si>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</si>
  <si>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</si>
  <si>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</si>
  <si>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</si>
  <si>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</si>
  <si>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</si>
  <si>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</si>
  <si>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</si>
  <si>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</si>
  <si>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</si>
  <si>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</si>
  <si>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</si>
  <si>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</si>
  <si>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</si>
  <si>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</si>
  <si>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</si>
  <si>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</si>
  <si>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</si>
  <si>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</si>
  <si>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</si>
  <si>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</si>
  <si>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</si>
  <si>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</si>
  <si>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</si>
  <si>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</si>
  <si>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</si>
  <si>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</si>
  <si>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</si>
  <si>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</si>
  <si>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</si>
  <si>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</si>
  <si>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</si>
  <si>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</si>
  <si>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</si>
  <si>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</si>
  <si>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</si>
  <si>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</si>
  <si>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</si>
  <si>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</si>
  <si>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</si>
  <si>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</si>
  <si>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</si>
  <si>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</si>
  <si>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</si>
  <si>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</si>
  <si>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</si>
  <si>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</si>
  <si>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</si>
  <si>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</si>
  <si>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</si>
  <si>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</si>
  <si>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</si>
  <si>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</si>
  <si>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</si>
  <si>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</si>
  <si>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</si>
  <si>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</si>
  <si>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</si>
  <si>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</si>
  <si>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</si>
  <si>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</si>
  <si>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</si>
  <si>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</si>
  <si>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</si>
  <si>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</si>
  <si>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</si>
  <si>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</si>
  <si>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</si>
  <si>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</si>
  <si>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</si>
  <si>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</si>
  <si>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</si>
  <si>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</si>
  <si>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</si>
  <si>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</si>
  <si>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</si>
  <si>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</si>
  <si>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</si>
  <si>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</si>
  <si>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</si>
  <si>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</si>
  <si>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</si>
  <si>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</si>
  <si>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</si>
  <si>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</si>
  <si>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</si>
  <si>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</si>
  <si>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</si>
  <si>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</si>
  <si>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</si>
  <si>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</si>
  <si>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</si>
  <si>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</si>
  <si>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</si>
  <si>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</si>
  <si>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</si>
  <si>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</si>
  <si>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</si>
  <si>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</si>
  <si>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</si>
  <si>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</si>
  <si>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</si>
  <si>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</si>
  <si>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</si>
  <si>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</si>
  <si>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</si>
  <si>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</si>
  <si>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</si>
  <si>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</si>
  <si>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</si>
  <si>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</si>
  <si>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</si>
  <si>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</si>
  <si>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</si>
  <si>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</si>
  <si>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</si>
  <si>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</si>
  <si>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</si>
  <si>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</si>
  <si>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</si>
  <si>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</si>
  <si>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</si>
  <si>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</si>
  <si>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</si>
  <si>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</si>
  <si>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</si>
  <si>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</si>
  <si>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</si>
  <si>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</si>
  <si>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</si>
  <si>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</si>
  <si>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</si>
  <si>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</si>
  <si>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</si>
  <si>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</si>
  <si>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</si>
  <si>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</si>
  <si>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</si>
  <si>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</si>
  <si>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</si>
  <si>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</si>
  <si>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</si>
  <si>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</si>
  <si>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</si>
  <si>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</si>
  <si>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</si>
  <si>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</si>
  <si>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</si>
  <si>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</si>
  <si>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</si>
  <si>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</si>
  <si>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</si>
  <si>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</si>
  <si>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</si>
  <si>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</si>
  <si>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</si>
  <si>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</si>
  <si>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</si>
  <si>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</si>
  <si>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</si>
  <si>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</si>
  <si>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Libia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</si>
  <si>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</si>
  <si>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</si>
  <si>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</si>
  <si>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</si>
  <si>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</si>
  <si>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</si>
  <si>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</si>
  <si>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</si>
  <si>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</si>
  <si>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</si>
  <si>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</si>
  <si>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</si>
  <si>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</si>
  <si>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</si>
  <si>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</si>
  <si>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</si>
  <si>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</si>
  <si>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</si>
  <si>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</si>
  <si>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</si>
  <si>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</si>
  <si>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</si>
  <si>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</si>
  <si>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</si>
  <si>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</si>
  <si>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</si>
  <si>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</si>
  <si>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</si>
  <si>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</si>
  <si>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</si>
  <si>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</si>
  <si>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</si>
  <si>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</si>
  <si>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</si>
  <si>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</si>
  <si>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</si>
  <si>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</si>
  <si>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</si>
  <si>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</si>
  <si>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</si>
  <si>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</si>
  <si>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</si>
  <si>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</si>
  <si>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</si>
  <si>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</si>
  <si>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</si>
  <si>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</si>
  <si>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</si>
  <si>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</si>
  <si>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</si>
  <si>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</si>
  <si>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</si>
  <si>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</si>
  <si>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</si>
  <si>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</si>
  <si>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</si>
  <si>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</si>
  <si>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</si>
  <si>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</si>
  <si>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</si>
  <si>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</si>
  <si>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</si>
  <si>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</si>
  <si>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</si>
  <si>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</si>
  <si>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</si>
  <si>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</si>
  <si>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</si>
  <si>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</si>
  <si>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</si>
  <si>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</si>
  <si>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</si>
  <si>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</si>
  <si>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</si>
  <si>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</si>
  <si>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</si>
  <si>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</si>
  <si>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</si>
  <si>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-</t>
  </si>
  <si>
    <t>de 2,4 ori</t>
  </si>
  <si>
    <t>35</t>
  </si>
  <si>
    <t>Energie electrica</t>
  </si>
  <si>
    <t>Energie electrică</t>
  </si>
  <si>
    <t>BALANŢA COMERCIALĂ - total, mii dolari SUA</t>
  </si>
  <si>
    <t>Celelalte țări ale lumii</t>
  </si>
  <si>
    <t>Madagascar</t>
  </si>
  <si>
    <t>Malawi</t>
  </si>
  <si>
    <t>Coreea de Nord</t>
  </si>
  <si>
    <t>de 3,7 ori</t>
  </si>
  <si>
    <t>Republica Yemen</t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</si>
  <si>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</si>
  <si>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</si>
  <si>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</si>
  <si>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</si>
  <si>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</si>
  <si>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</si>
  <si>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</si>
  <si>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</si>
  <si>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2021</t>
  </si>
  <si>
    <t>2022</t>
  </si>
  <si>
    <t>Cehia</t>
  </si>
  <si>
    <t>Kârgâzstan</t>
  </si>
  <si>
    <t>Panama</t>
  </si>
  <si>
    <t>Taiwan, provincie a Chinei</t>
  </si>
  <si>
    <t>Insulele Feroe</t>
  </si>
  <si>
    <t>97</t>
  </si>
  <si>
    <t>Aur nemonetar</t>
  </si>
  <si>
    <t>99</t>
  </si>
  <si>
    <t>Kuwait</t>
  </si>
  <si>
    <t>Paraguay</t>
  </si>
  <si>
    <t>Burkina Faso</t>
  </si>
  <si>
    <t>de 4,3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</si>
  <si>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</si>
  <si>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</si>
  <si>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</si>
  <si>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</si>
  <si>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</si>
  <si>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Gambia</t>
  </si>
  <si>
    <t>Kosovo</t>
  </si>
  <si>
    <t>de 3,4 ori</t>
  </si>
  <si>
    <t>de 80,0 ori</t>
  </si>
  <si>
    <t xml:space="preserve">Țări cu codul țării de origine a mărfii "EU" </t>
  </si>
  <si>
    <t>San Marino</t>
  </si>
  <si>
    <t>Mauritius</t>
  </si>
  <si>
    <t>Venezuela</t>
  </si>
  <si>
    <t>Guatemala</t>
  </si>
  <si>
    <t>de 5,4 ori</t>
  </si>
  <si>
    <t>de 3,1 ori</t>
  </si>
  <si>
    <t>Regatul Țărilor de Jos (Netherlands)</t>
  </si>
  <si>
    <t>Senegal</t>
  </si>
  <si>
    <t>de 6,0 ori</t>
  </si>
  <si>
    <t>de 6,9 ori</t>
  </si>
  <si>
    <t>de 11,9 ori</t>
  </si>
  <si>
    <t>Samoa Americană</t>
  </si>
  <si>
    <t>Insulele Folkland</t>
  </si>
  <si>
    <t>Trinidad și Tobago</t>
  </si>
  <si>
    <t>Țările Uniunii Europene - total</t>
  </si>
  <si>
    <t>Gaz și produse industriale obținute din gaz</t>
  </si>
  <si>
    <t>de 6,5 ori</t>
  </si>
  <si>
    <t>Mărfuri manufacturate, clasificate mai ales după materia primă</t>
  </si>
  <si>
    <t>Ianuarie - iunie 2022</t>
  </si>
  <si>
    <t>ianuarie - iunie</t>
  </si>
  <si>
    <t>Ianuarie - iunie</t>
  </si>
  <si>
    <t>Ianuarie - iunie 2022 în % faţă de            ianuarie - iunie 2021 ¹</t>
  </si>
  <si>
    <t>Insulele Georgia și Sandwich de Sud</t>
  </si>
  <si>
    <t>Insulele Maldive</t>
  </si>
  <si>
    <t>Algeria</t>
  </si>
  <si>
    <t>Lesotho</t>
  </si>
  <si>
    <t>Andorra</t>
  </si>
  <si>
    <t>Honduras</t>
  </si>
  <si>
    <t>de 6,8 ori</t>
  </si>
  <si>
    <t>de 6,7 ori</t>
  </si>
  <si>
    <t>de 2,6 ori</t>
  </si>
  <si>
    <t>de 2115,8 ori</t>
  </si>
  <si>
    <t>de 64,4 ori</t>
  </si>
  <si>
    <t>de 110,3 ori</t>
  </si>
  <si>
    <t>de 252,6 ori</t>
  </si>
  <si>
    <t>de 17,9 ori</t>
  </si>
  <si>
    <t>de 4,4 ori</t>
  </si>
  <si>
    <t>de 10,2 ori</t>
  </si>
  <si>
    <t>de 29,2 ori</t>
  </si>
  <si>
    <t>de 5,1 ori</t>
  </si>
  <si>
    <t>de 2,7 ori</t>
  </si>
  <si>
    <t>de 1305, ori</t>
  </si>
  <si>
    <t>de 25,7 ori</t>
  </si>
  <si>
    <t>de 2,5 ori</t>
  </si>
  <si>
    <t>de 35,8 ori</t>
  </si>
  <si>
    <t>de 5,8 ori</t>
  </si>
  <si>
    <t>de 11,7 ori</t>
  </si>
  <si>
    <t>de 52,7 ori</t>
  </si>
  <si>
    <t>de 91,0 ori</t>
  </si>
  <si>
    <t>de 3,8 ori</t>
  </si>
  <si>
    <t>de 3,0 ori</t>
  </si>
  <si>
    <t>de 13,2 ori</t>
  </si>
  <si>
    <t>de 4,0 ori</t>
  </si>
  <si>
    <t>de 20,4 ori</t>
  </si>
  <si>
    <t>de 1305,0 ori</t>
  </si>
  <si>
    <t>de 10,3 ori</t>
  </si>
  <si>
    <t>de 15,1 ori</t>
  </si>
  <si>
    <t>de 2,3 ori</t>
  </si>
  <si>
    <t>de 238,8 ori</t>
  </si>
  <si>
    <t>de 4,7 ori</t>
  </si>
  <si>
    <t>de 24,6 ori</t>
  </si>
  <si>
    <t>de 8,5 ori</t>
  </si>
  <si>
    <t>de 12,4 ori</t>
  </si>
  <si>
    <t>de 36,4 ori</t>
  </si>
  <si>
    <t>de 26,9 ori</t>
  </si>
  <si>
    <t>de 7,0 ori</t>
  </si>
  <si>
    <t>de 4,6 ori</t>
  </si>
  <si>
    <t>de 3,6 ori</t>
  </si>
  <si>
    <t>de 9,7 ori</t>
  </si>
  <si>
    <t>de 5,7 ori</t>
  </si>
  <si>
    <t>de 3,3 ori</t>
  </si>
  <si>
    <t>de 8,7 ori</t>
  </si>
  <si>
    <t>de 15,2 ori</t>
  </si>
  <si>
    <t>de 15,5 ori</t>
  </si>
  <si>
    <t>de 5,2 ori</t>
  </si>
  <si>
    <t>de 5,5 ori</t>
  </si>
  <si>
    <t>de 3,2 ori</t>
  </si>
  <si>
    <t>de 6,4 ori</t>
  </si>
  <si>
    <t>de 8,1 ori</t>
  </si>
  <si>
    <t>de 149,0 ori</t>
  </si>
  <si>
    <t>de 206,7 ori</t>
  </si>
  <si>
    <t>de 144,1 ori</t>
  </si>
  <si>
    <t>de 64,1 ori</t>
  </si>
  <si>
    <t>de 5,0 ori</t>
  </si>
  <si>
    <t>de 4,8 ori</t>
  </si>
  <si>
    <t>de 129,2 ori</t>
  </si>
  <si>
    <t>Ianuarie - iunie 2022  în % faţă de    ianuarie - iunie 2021¹</t>
  </si>
  <si>
    <t>în % faţă de ianuarie - iunie 2021¹</t>
  </si>
  <si>
    <r>
      <rPr>
        <b/>
        <sz val="9"/>
        <rFont val="Arial"/>
        <family val="2"/>
      </rPr>
      <t xml:space="preserve">Anexa 1.  </t>
    </r>
    <r>
      <rPr>
        <b/>
        <i/>
        <sz val="9"/>
        <rFont val="Arial"/>
        <family val="2"/>
      </rPr>
      <t>Exporturile structurate pe principalele ţări de destinaţie a mărfurilor şi pe grupe de ţări</t>
    </r>
  </si>
  <si>
    <r>
      <t>Ianuarie - iunie</t>
    </r>
    <r>
      <rPr>
        <b/>
        <vertAlign val="superscript"/>
        <sz val="9"/>
        <rFont val="Arial"/>
        <family val="2"/>
      </rPr>
      <t xml:space="preserve"> 1,2</t>
    </r>
  </si>
  <si>
    <r>
      <t xml:space="preserve"> 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Faţă de perioada corespunzătoare din anul precedent</t>
    </r>
  </si>
  <si>
    <r>
      <rPr>
        <b/>
        <sz val="9"/>
        <color indexed="8"/>
        <rFont val="Arial"/>
        <family val="2"/>
      </rPr>
      <t xml:space="preserve">Anexa 8.  </t>
    </r>
    <r>
      <rPr>
        <b/>
        <i/>
        <sz val="9"/>
        <color indexed="8"/>
        <rFont val="Arial"/>
        <family val="2"/>
      </rPr>
      <t xml:space="preserve">Balanţa comercială structurată pe grupe de mărfuri, </t>
    </r>
  </si>
  <si>
    <r>
      <rPr>
        <b/>
        <sz val="9"/>
        <color indexed="8"/>
        <rFont val="Arial"/>
        <family val="2"/>
      </rPr>
      <t>Anexa 7.</t>
    </r>
    <r>
      <rPr>
        <b/>
        <i/>
        <sz val="9"/>
        <color indexed="8"/>
        <rFont val="Arial"/>
        <family val="2"/>
      </rPr>
      <t xml:space="preserve">  Importurile structurate pe grupe de mărfuri, </t>
    </r>
  </si>
  <si>
    <r>
      <t xml:space="preserve">ianuarie - iunie </t>
    </r>
    <r>
      <rPr>
        <b/>
        <vertAlign val="superscript"/>
        <sz val="9"/>
        <color indexed="8"/>
        <rFont val="Arial"/>
        <family val="2"/>
      </rPr>
      <t>1,2</t>
    </r>
  </si>
  <si>
    <r>
      <rPr>
        <b/>
        <sz val="9"/>
        <color indexed="8"/>
        <rFont val="Arial"/>
        <family val="2"/>
      </rPr>
      <t>Anexa 6.</t>
    </r>
    <r>
      <rPr>
        <b/>
        <i/>
        <sz val="9"/>
        <color indexed="8"/>
        <rFont val="Arial"/>
        <family val="2"/>
      </rPr>
      <t xml:space="preserve">  Exporturile structurate pe grupe de mărfuri, </t>
    </r>
  </si>
  <si>
    <r>
      <rPr>
        <b/>
        <sz val="9"/>
        <rFont val="Arial"/>
        <family val="2"/>
      </rPr>
      <t>Anexa 5.</t>
    </r>
    <r>
      <rPr>
        <b/>
        <i/>
        <sz val="9"/>
        <rFont val="Arial"/>
        <family val="2"/>
      </rPr>
      <t xml:space="preserve">  Importurile structurate după modul de transport al mărfurilor </t>
    </r>
  </si>
  <si>
    <r>
      <rPr>
        <b/>
        <sz val="9"/>
        <rFont val="Arial"/>
        <family val="2"/>
      </rPr>
      <t xml:space="preserve">Anexa 4.  </t>
    </r>
    <r>
      <rPr>
        <b/>
        <i/>
        <sz val="9"/>
        <rFont val="Arial"/>
        <family val="2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</si>
  <si>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</rPr>
      <t xml:space="preserve">Anexa 3.  </t>
    </r>
    <r>
      <rPr>
        <b/>
        <i/>
        <sz val="9"/>
        <color indexed="8"/>
        <rFont val="Arial"/>
        <family val="2"/>
      </rPr>
      <t>Balanţa comercială structurată pe principalele ţări şi pe grupe de ţări</t>
    </r>
  </si>
  <si>
    <r>
      <rPr>
        <b/>
        <sz val="9"/>
        <color indexed="8"/>
        <rFont val="Arial"/>
        <family val="2"/>
      </rPr>
      <t xml:space="preserve">Anexa 2.  </t>
    </r>
    <r>
      <rPr>
        <b/>
        <i/>
        <sz val="9"/>
        <color indexed="8"/>
        <rFont val="Arial"/>
        <family val="2"/>
      </rPr>
      <t>Importurile structurate pe principalele ţări de origine a mărfurilor şi pe grupe de ţări</t>
    </r>
  </si>
  <si>
    <r>
      <t xml:space="preserve">ianuarie -iunie </t>
    </r>
    <r>
      <rPr>
        <b/>
        <vertAlign val="superscript"/>
        <sz val="9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</si>
</sst>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32">
    <xf numFmtId="0" fontId="0" fillId="0" borderId="0" xfId="0"/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5" xfId="0" applyFont="1" applyBorder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/>
    </xf>
    <xf numFmtId="4" fontId="7" fillId="0" borderId="5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 indent="1"/>
    </xf>
    <xf numFmtId="38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indent="1"/>
    </xf>
    <xf numFmtId="0" fontId="12" fillId="0" borderId="0" xfId="0" applyFont="1"/>
    <xf numFmtId="0" fontId="13" fillId="0" borderId="0" xfId="0" applyFont="1"/>
    <xf numFmtId="0" fontId="9" fillId="0" borderId="0" xfId="0" applyFont="1"/>
    <xf numFmtId="4" fontId="9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 wrapText="1" indent="1"/>
    </xf>
    <xf numFmtId="4" fontId="14" fillId="0" borderId="0" xfId="0" applyNumberFormat="1" applyFont="1" applyAlignment="1">
      <alignment horizontal="right" vertical="top"/>
    </xf>
    <xf numFmtId="38" fontId="9" fillId="0" borderId="0" xfId="0" applyNumberFormat="1" applyFont="1" applyBorder="1" applyAlignment="1">
      <alignment horizontal="left" vertical="top" wrapText="1" indent="1"/>
    </xf>
    <xf numFmtId="4" fontId="14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 indent="1"/>
    </xf>
    <xf numFmtId="38" fontId="9" fillId="0" borderId="3" xfId="0" applyNumberFormat="1" applyFont="1" applyBorder="1" applyAlignment="1">
      <alignment horizontal="left" vertical="top" wrapText="1" indent="1"/>
    </xf>
    <xf numFmtId="4" fontId="14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 inden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4" fontId="16" fillId="0" borderId="0" xfId="0" applyNumberFormat="1" applyFont="1" applyAlignment="1">
      <alignment horizontal="right" vertical="top" indent="1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 indent="2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 indent="2"/>
    </xf>
    <xf numFmtId="38" fontId="7" fillId="0" borderId="0" xfId="0" applyNumberFormat="1" applyFont="1" applyFill="1" applyAlignment="1" applyProtection="1">
      <alignment horizontal="center" vertical="top"/>
    </xf>
    <xf numFmtId="38" fontId="7" fillId="0" borderId="0" xfId="0" applyNumberFormat="1" applyFont="1" applyFill="1" applyAlignment="1" applyProtection="1">
      <alignment horizontal="left" vertical="top" wrapText="1"/>
    </xf>
    <xf numFmtId="4" fontId="7" fillId="0" borderId="0" xfId="0" applyNumberFormat="1" applyFont="1" applyFill="1" applyAlignment="1" applyProtection="1">
      <alignment horizontal="right" vertical="top" indent="1"/>
    </xf>
    <xf numFmtId="4" fontId="7" fillId="0" borderId="0" xfId="0" applyNumberFormat="1" applyFont="1" applyFill="1" applyAlignment="1" applyProtection="1">
      <alignment horizontal="right" vertical="top" indent="2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2"/>
    </xf>
    <xf numFmtId="38" fontId="7" fillId="0" borderId="0" xfId="0" applyNumberFormat="1" applyFont="1" applyFill="1" applyBorder="1" applyAlignment="1" applyProtection="1">
      <alignment horizontal="center" vertical="top"/>
    </xf>
    <xf numFmtId="38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Border="1" applyAlignment="1" applyProtection="1">
      <alignment horizontal="right" vertical="top" indent="1"/>
    </xf>
    <xf numFmtId="4" fontId="8" fillId="0" borderId="0" xfId="0" applyNumberFormat="1" applyFont="1" applyBorder="1" applyAlignment="1">
      <alignment horizontal="right" vertical="top" indent="1"/>
    </xf>
    <xf numFmtId="4" fontId="14" fillId="0" borderId="0" xfId="0" applyNumberFormat="1" applyFont="1" applyBorder="1" applyAlignment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center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14" fillId="0" borderId="3" xfId="0" applyNumberFormat="1" applyFont="1" applyBorder="1" applyAlignment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2"/>
    </xf>
    <xf numFmtId="164" fontId="9" fillId="0" borderId="0" xfId="0" applyNumberFormat="1" applyFont="1" applyFill="1" applyAlignment="1" applyProtection="1">
      <alignment horizontal="right" vertical="top" indent="1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4" fontId="7" fillId="0" borderId="5" xfId="0" applyNumberFormat="1" applyFont="1" applyBorder="1" applyAlignment="1">
      <alignment horizontal="right" vertical="top"/>
    </xf>
    <xf numFmtId="4" fontId="8" fillId="0" borderId="0" xfId="0" applyNumberFormat="1" applyFont="1"/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4" fontId="7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49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2" fontId="9" fillId="0" borderId="0" xfId="0" applyNumberFormat="1" applyFont="1" applyFill="1" applyBorder="1" applyAlignment="1" applyProtection="1">
      <alignment horizontal="right" vertical="top" indent="1"/>
    </xf>
    <xf numFmtId="0" fontId="7" fillId="0" borderId="1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Alignment="1">
      <alignment horizontal="righ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7" fillId="0" borderId="0" xfId="0" applyNumberFormat="1" applyFont="1" applyFill="1" applyAlignment="1" applyProtection="1">
      <alignment horizontal="left" vertical="top" wrapText="1" indent="1"/>
    </xf>
    <xf numFmtId="4" fontId="7" fillId="0" borderId="0" xfId="0" applyNumberFormat="1" applyFont="1" applyAlignment="1">
      <alignment horizontal="right" vertical="top" wrapText="1" indent="1"/>
    </xf>
    <xf numFmtId="4" fontId="14" fillId="0" borderId="0" xfId="0" applyNumberFormat="1" applyFont="1" applyAlignment="1">
      <alignment horizontal="right" vertical="top" indent="1"/>
    </xf>
    <xf numFmtId="4" fontId="7" fillId="0" borderId="0" xfId="0" applyNumberFormat="1" applyFont="1" applyBorder="1" applyAlignment="1">
      <alignment horizontal="right" vertical="top" indent="1"/>
    </xf>
    <xf numFmtId="4" fontId="9" fillId="0" borderId="0" xfId="0" applyNumberFormat="1" applyFont="1" applyAlignment="1">
      <alignment horizontal="righ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38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top" wrapText="1" indent="1"/>
    </xf>
    <xf numFmtId="4" fontId="7" fillId="0" borderId="5" xfId="0" applyNumberFormat="1" applyFont="1" applyBorder="1" applyAlignment="1">
      <alignment horizontal="right" vertical="top" indent="2"/>
    </xf>
    <xf numFmtId="4" fontId="12" fillId="0" borderId="0" xfId="0" applyNumberFormat="1" applyFont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2"/>
    </xf>
    <xf numFmtId="4" fontId="7" fillId="0" borderId="0" xfId="0" applyNumberFormat="1" applyFont="1" applyAlignment="1">
      <alignment horizontal="right" vertical="top" indent="2"/>
    </xf>
    <xf numFmtId="4" fontId="9" fillId="0" borderId="0" xfId="0" applyNumberFormat="1" applyFont="1" applyAlignment="1">
      <alignment horizontal="right" vertical="top" indent="2"/>
    </xf>
    <xf numFmtId="0" fontId="14" fillId="0" borderId="0" xfId="0" applyFont="1" applyAlignment="1">
      <alignment horizontal="left" vertical="top" indent="1"/>
    </xf>
    <xf numFmtId="4" fontId="9" fillId="0" borderId="0" xfId="0" applyNumberFormat="1" applyFont="1" applyBorder="1" applyAlignment="1">
      <alignment horizontal="right" vertical="top" indent="2"/>
    </xf>
    <xf numFmtId="4" fontId="9" fillId="0" borderId="3" xfId="0" applyNumberFormat="1" applyFont="1" applyBorder="1" applyAlignment="1">
      <alignment horizontal="right" vertical="top" indent="2"/>
    </xf>
    <xf numFmtId="0" fontId="8" fillId="0" borderId="0" xfId="0" applyFont="1" applyAlignment="1">
      <alignment horizontal="center"/>
    </xf>
    <xf numFmtId="38" fontId="9" fillId="0" borderId="0" xfId="4" applyNumberFormat="1" applyFont="1" applyAlignment="1">
      <alignment horizontal="left" vertical="top" wrapText="1" indent="1"/>
    </xf>
    <xf numFmtId="38" fontId="9" fillId="0" borderId="3" xfId="4" applyNumberFormat="1" applyFont="1" applyBorder="1" applyAlignment="1">
      <alignment horizontal="left" vertical="top" wrapText="1" inden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12"/>
  <sheetViews>
    <sheetView tabSelected="1" zoomScale="99" zoomScaleNormal="99" workbookViewId="0">
      <selection sqref="A1:G1"/>
    </sheetView>
  </sheetViews>
  <sheetFormatPr defaultRowHeight="12" x14ac:dyDescent="0.2"/>
  <cols>
    <col min="1" max="1" width="29.25" style="31" customWidth="1"/>
    <col min="2" max="2" width="12.125" style="31" customWidth="1"/>
    <col min="3" max="3" width="10.5" style="31" customWidth="1"/>
    <col min="4" max="4" width="9" style="31" customWidth="1"/>
    <col min="5" max="5" width="8.75" style="31" customWidth="1"/>
    <col min="6" max="6" width="9.875" style="31" customWidth="1"/>
    <col min="7" max="7" width="9.625" style="31" customWidth="1"/>
    <col min="8" max="8" width="9" style="3"/>
    <col min="9" max="9" width="9.625" style="3" customWidth="1"/>
    <col min="10" max="16384" width="9" style="3"/>
  </cols>
  <sheetData>
    <row r="1" spans="1:8" x14ac:dyDescent="0.2">
      <c r="A1" s="2" t="s">
        <v>412</v>
      </c>
      <c r="B1" s="2"/>
      <c r="C1" s="2"/>
      <c r="D1" s="2"/>
      <c r="E1" s="2"/>
      <c r="F1" s="2"/>
      <c r="G1" s="2"/>
    </row>
    <row r="3" spans="1:8" ht="54" customHeight="1" x14ac:dyDescent="0.2">
      <c r="A3" s="4"/>
      <c r="B3" s="5" t="s">
        <v>342</v>
      </c>
      <c r="C3" s="6"/>
      <c r="D3" s="5" t="s">
        <v>104</v>
      </c>
      <c r="E3" s="6"/>
      <c r="F3" s="7" t="s">
        <v>1</v>
      </c>
      <c r="G3" s="8"/>
    </row>
    <row r="4" spans="1:8" ht="22.5" customHeight="1" x14ac:dyDescent="0.2">
      <c r="A4" s="9"/>
      <c r="B4" s="10" t="s">
        <v>95</v>
      </c>
      <c r="C4" s="11" t="s">
        <v>411</v>
      </c>
      <c r="D4" s="12" t="s">
        <v>343</v>
      </c>
      <c r="E4" s="12"/>
      <c r="F4" s="12" t="s">
        <v>413</v>
      </c>
      <c r="G4" s="5"/>
    </row>
    <row r="5" spans="1:8" ht="28.5" customHeight="1" x14ac:dyDescent="0.2">
      <c r="A5" s="13"/>
      <c r="B5" s="14"/>
      <c r="C5" s="15"/>
      <c r="D5" s="16" t="s">
        <v>300</v>
      </c>
      <c r="E5" s="16" t="s">
        <v>301</v>
      </c>
      <c r="F5" s="16" t="s">
        <v>300</v>
      </c>
      <c r="G5" s="17" t="s">
        <v>301</v>
      </c>
      <c r="H5" s="18"/>
    </row>
    <row r="6" spans="1:8" ht="15.75" customHeight="1" x14ac:dyDescent="0.2">
      <c r="A6" s="19" t="s">
        <v>96</v>
      </c>
      <c r="B6" s="20">
        <v>2290386.3597900001</v>
      </c>
      <c r="C6" s="21" t="s">
        <v>99</v>
      </c>
      <c r="D6" s="21">
        <v>100</v>
      </c>
      <c r="E6" s="21">
        <v>100</v>
      </c>
      <c r="F6" s="21">
        <f>IF(1170176.53664="","-",(1331502.34087-1170176.53664)/1170176.53664*100)</f>
        <v>13.786450093523889</v>
      </c>
      <c r="G6" s="21">
        <f>IF(1331502.34087="","-",(2290386.35979-1331502.34087)/1331502.34087*100)</f>
        <v>72.015195879675886</v>
      </c>
    </row>
    <row r="7" spans="1:8" x14ac:dyDescent="0.2">
      <c r="A7" s="22" t="s">
        <v>120</v>
      </c>
      <c r="B7" s="23"/>
      <c r="C7" s="24"/>
      <c r="D7" s="24"/>
      <c r="E7" s="24"/>
      <c r="F7" s="24"/>
      <c r="G7" s="24"/>
    </row>
    <row r="8" spans="1:8" x14ac:dyDescent="0.2">
      <c r="A8" s="25" t="s">
        <v>129</v>
      </c>
      <c r="B8" s="20">
        <v>1410282.2941099999</v>
      </c>
      <c r="C8" s="26" t="s">
        <v>100</v>
      </c>
      <c r="D8" s="26">
        <f>IF(859323.64349="","-",859323.64349/1331502.34087*100)</f>
        <v>64.537899567530644</v>
      </c>
      <c r="E8" s="26">
        <f>IF(1410282.29411="","-",1410282.29411/2290386.35979*100)</f>
        <v>61.57399113393712</v>
      </c>
      <c r="F8" s="26">
        <f>IF(1170176.53664="","-",(859323.64349-742578.27617)/1170176.53664*100)</f>
        <v>9.9767311738464901</v>
      </c>
      <c r="G8" s="26">
        <f>IF(1331502.34087="","-",(1410282.29411-859323.64349)/1331502.34087*100)</f>
        <v>41.378721892445562</v>
      </c>
    </row>
    <row r="9" spans="1:8" ht="15.75" customHeight="1" x14ac:dyDescent="0.2">
      <c r="A9" s="27" t="s">
        <v>2</v>
      </c>
      <c r="B9" s="28">
        <v>664094.56973999995</v>
      </c>
      <c r="C9" s="28" t="s">
        <v>195</v>
      </c>
      <c r="D9" s="28">
        <f>IF(372797.84571="","-",372797.84571/1331502.34087*100)</f>
        <v>27.998286917499144</v>
      </c>
      <c r="E9" s="28">
        <f>IF(664094.56974="","-",664094.56974/2290386.35979*100)</f>
        <v>28.994870970192522</v>
      </c>
      <c r="F9" s="28">
        <f>IF(OR(1170176.53664="",294103.432="",372797.84571=""),"-",(372797.84571-294103.432)/1170176.53664*100)</f>
        <v>6.7250035568103401</v>
      </c>
      <c r="G9" s="28">
        <f>IF(OR(1331502.34087="",664094.56974="",372797.84571=""),"-",(664094.56974-372797.84571)/1331502.34087*100)</f>
        <v>21.877297176936803</v>
      </c>
    </row>
    <row r="10" spans="1:8" ht="15.75" customHeight="1" x14ac:dyDescent="0.2">
      <c r="A10" s="27" t="s">
        <v>3</v>
      </c>
      <c r="B10" s="28">
        <v>194878.04136</v>
      </c>
      <c r="C10" s="28" t="s">
        <v>91</v>
      </c>
      <c r="D10" s="28">
        <f>IF(94262.19702="","-",94262.19702/1331502.34087*100)</f>
        <v>7.0793865040003876</v>
      </c>
      <c r="E10" s="28">
        <f>IF(194878.04136="","-",194878.04136/2290386.35979*100)</f>
        <v>8.5085226135326746</v>
      </c>
      <c r="F10" s="28">
        <f>IF(OR(1170176.53664="",106152.85536="",94262.19702=""),"-",(94262.19702-106152.85536)/1170176.53664*100)</f>
        <v>-1.0161422629565258</v>
      </c>
      <c r="G10" s="28">
        <f>IF(OR(1331502.34087="",194878.04136="",94262.19702=""),"-",(194878.04136-94262.19702)/1331502.34087*100)</f>
        <v>7.5565653361343603</v>
      </c>
    </row>
    <row r="11" spans="1:8" ht="13.5" customHeight="1" x14ac:dyDescent="0.2">
      <c r="A11" s="27" t="s">
        <v>4</v>
      </c>
      <c r="B11" s="28">
        <v>128914.89151</v>
      </c>
      <c r="C11" s="28">
        <f>IF(OR(134639.37704="",128914.89151=""),"-",128914.89151/134639.37704*100)</f>
        <v>95.748282816029885</v>
      </c>
      <c r="D11" s="28">
        <f>IF(134639.37704="","-",134639.37704/1331502.34087*100)</f>
        <v>10.111839304167276</v>
      </c>
      <c r="E11" s="28">
        <f>IF(128914.89151="","-",128914.89151/2290386.35979*100)</f>
        <v>5.628521622955347</v>
      </c>
      <c r="F11" s="28">
        <f>IF(OR(1170176.53664="",103565.77618="",134639.37704=""),"-",(134639.37704-103565.77618)/1170176.53664*100)</f>
        <v>2.6554626491848432</v>
      </c>
      <c r="G11" s="28">
        <f>IF(OR(1331502.34087="",128914.89151="",134639.37704=""),"-",(128914.89151-134639.37704)/1331502.34087*100)</f>
        <v>-0.42992680931072402</v>
      </c>
    </row>
    <row r="12" spans="1:8" ht="15.75" customHeight="1" x14ac:dyDescent="0.2">
      <c r="A12" s="27" t="s">
        <v>6</v>
      </c>
      <c r="B12" s="28">
        <v>111441.15493</v>
      </c>
      <c r="C12" s="28" t="s">
        <v>352</v>
      </c>
      <c r="D12" s="28">
        <f>IF(16463.55649="","-",16463.55649/1331502.34087*100)</f>
        <v>1.2364647049169104</v>
      </c>
      <c r="E12" s="28">
        <f>IF(111441.15493="","-",111441.15493/2290386.35979*100)</f>
        <v>4.865605073731655</v>
      </c>
      <c r="F12" s="28">
        <f>IF(OR(1170176.53664="",18676.9623="",16463.55649=""),"-",(16463.55649-18676.9623)/1170176.53664*100)</f>
        <v>-0.18915144345275359</v>
      </c>
      <c r="G12" s="28">
        <f>IF(OR(1331502.34087="",111441.15493="",16463.55649=""),"-",(111441.15493-16463.55649)/1331502.34087*100)</f>
        <v>7.1331153933940437</v>
      </c>
    </row>
    <row r="13" spans="1:8" s="29" customFormat="1" x14ac:dyDescent="0.2">
      <c r="A13" s="27" t="s">
        <v>5</v>
      </c>
      <c r="B13" s="28">
        <v>63012.158150000003</v>
      </c>
      <c r="C13" s="28">
        <f>IF(OR(51781.25467="",63012.15815=""),"-",63012.15815/51781.25467*100)</f>
        <v>121.68912968906244</v>
      </c>
      <c r="D13" s="28">
        <f>IF(51781.25467="","-",51781.25467/1331502.34087*100)</f>
        <v>3.8889345576490895</v>
      </c>
      <c r="E13" s="28">
        <f>IF(63012.15815="","-",63012.15815/2290386.35979*100)</f>
        <v>2.7511584620062717</v>
      </c>
      <c r="F13" s="28">
        <f>IF(OR(1170176.53664="",46796.79321="",51781.25467=""),"-",(51781.25467-46796.79321)/1170176.53664*100)</f>
        <v>0.42595807589102658</v>
      </c>
      <c r="G13" s="28">
        <f>IF(OR(1331502.34087="",63012.15815="",51781.25467=""),"-",(63012.15815-51781.25467)/1331502.34087*100)</f>
        <v>0.84347605973127771</v>
      </c>
    </row>
    <row r="14" spans="1:8" s="29" customFormat="1" x14ac:dyDescent="0.2">
      <c r="A14" s="27" t="s">
        <v>302</v>
      </c>
      <c r="B14" s="28">
        <v>50234.416830000002</v>
      </c>
      <c r="C14" s="28">
        <f>IF(OR(42546.95593="",50234.41683=""),"-",50234.41683/42546.95593*100)</f>
        <v>118.06818074751983</v>
      </c>
      <c r="D14" s="28">
        <f>IF(42546.95593="","-",42546.95593/1331502.34087*100)</f>
        <v>3.1954097731589366</v>
      </c>
      <c r="E14" s="28">
        <f>IF(50234.41683="","-",50234.41683/2290386.35979*100)</f>
        <v>2.1932726160055314</v>
      </c>
      <c r="F14" s="28">
        <f>IF(OR(1170176.53664="",39229.52009="",42546.95593=""),"-",(42546.95593-39229.52009)/1170176.53664*100)</f>
        <v>0.28349874878926867</v>
      </c>
      <c r="G14" s="28">
        <f>IF(OR(1331502.34087="",50234.41683="",42546.95593=""),"-",(50234.41683-42546.95593)/1331502.34087*100)</f>
        <v>0.57735241343826993</v>
      </c>
    </row>
    <row r="15" spans="1:8" s="29" customFormat="1" x14ac:dyDescent="0.2">
      <c r="A15" s="27" t="s">
        <v>330</v>
      </c>
      <c r="B15" s="28">
        <v>44975.937270000002</v>
      </c>
      <c r="C15" s="28" t="s">
        <v>281</v>
      </c>
      <c r="D15" s="28">
        <f>IF(18798.03581="","-",18798.03581/1331502.34087*100)</f>
        <v>1.4117914203378279</v>
      </c>
      <c r="E15" s="28">
        <f>IF(44975.93727="","-",44975.93727/2290386.35979*100)</f>
        <v>1.9636834230065767</v>
      </c>
      <c r="F15" s="28">
        <f>IF(OR(1170176.53664="",17246.15189="",18798.03581=""),"-",(18798.03581-17246.15189)/1170176.53664*100)</f>
        <v>0.13261964083265762</v>
      </c>
      <c r="G15" s="28">
        <f>IF(OR(1331502.34087="",44975.93727="",18798.03581=""),"-",(44975.93727-18798.03581)/1331502.34087*100)</f>
        <v>1.9660424662036591</v>
      </c>
    </row>
    <row r="16" spans="1:8" s="29" customFormat="1" x14ac:dyDescent="0.2">
      <c r="A16" s="27" t="s">
        <v>40</v>
      </c>
      <c r="B16" s="28">
        <v>27394.409940000001</v>
      </c>
      <c r="C16" s="28">
        <f>IF(OR(19218.27851="",27394.40994=""),"-",27394.40994/19218.27851*100)</f>
        <v>142.5435161934283</v>
      </c>
      <c r="D16" s="28">
        <f>IF(19218.27851="","-",19218.27851/1331502.34087*100)</f>
        <v>1.4433529645500158</v>
      </c>
      <c r="E16" s="28">
        <f>IF(27394.40994="","-",27394.40994/2290386.35979*100)</f>
        <v>1.1960606481481022</v>
      </c>
      <c r="F16" s="28">
        <f>IF(OR(1170176.53664="",8639.94947="",19218.27851=""),"-",(19218.27851-8639.94947)/1170176.53664*100)</f>
        <v>0.90399428708203367</v>
      </c>
      <c r="G16" s="28">
        <f>IF(OR(1331502.34087="",27394.40994="",19218.27851=""),"-",(27394.40994-19218.27851)/1331502.34087*100)</f>
        <v>0.61405310220166331</v>
      </c>
    </row>
    <row r="17" spans="1:7" s="29" customFormat="1" x14ac:dyDescent="0.2">
      <c r="A17" s="27" t="s">
        <v>292</v>
      </c>
      <c r="B17" s="28">
        <v>23355.907859999999</v>
      </c>
      <c r="C17" s="28">
        <f>IF(OR(17840.99208="",23355.90786=""),"-",23355.90786/17840.99208*100)</f>
        <v>130.91148606126168</v>
      </c>
      <c r="D17" s="28">
        <f>IF(17840.99208="","-",17840.99208/1331502.34087*100)</f>
        <v>1.3399144359252682</v>
      </c>
      <c r="E17" s="28">
        <f>IF(23355.90786="","-",23355.90786/2290386.35979*100)</f>
        <v>1.0197365942286456</v>
      </c>
      <c r="F17" s="28">
        <f>IF(OR(1170176.53664="",18384.844="",17840.99208=""),"-",(17840.99208-18384.844)/1170176.53664*100)</f>
        <v>-4.6476057498264021E-2</v>
      </c>
      <c r="G17" s="28">
        <f>IF(OR(1331502.34087="",23355.90786="",17840.99208=""),"-",(23355.90786-17840.99208)/1331502.34087*100)</f>
        <v>0.41418746409387225</v>
      </c>
    </row>
    <row r="18" spans="1:7" s="29" customFormat="1" x14ac:dyDescent="0.2">
      <c r="A18" s="27" t="s">
        <v>8</v>
      </c>
      <c r="B18" s="28">
        <v>19684.668880000001</v>
      </c>
      <c r="C18" s="28">
        <f>IF(OR(13606.23085="",19684.66888=""),"-",19684.66888/13606.23085*100)</f>
        <v>144.6739298855862</v>
      </c>
      <c r="D18" s="28">
        <f>IF(13606.23085="","-",13606.23085/1331502.34087*100)</f>
        <v>1.0218705917640165</v>
      </c>
      <c r="E18" s="28">
        <f>IF(19684.66888="","-",19684.66888/2290386.35979*100)</f>
        <v>0.85944752490600929</v>
      </c>
      <c r="F18" s="28">
        <f>IF(OR(1170176.53664="",20594.02363="",13606.23085=""),"-",(13606.23085-20594.02363)/1170176.53664*100)</f>
        <v>-0.59715714349088556</v>
      </c>
      <c r="G18" s="28">
        <f>IF(OR(1331502.34087="",19684.66888="",13606.23085=""),"-",(19684.66888-13606.23085)/1331502.34087*100)</f>
        <v>0.4565097516860816</v>
      </c>
    </row>
    <row r="19" spans="1:7" s="30" customFormat="1" x14ac:dyDescent="0.2">
      <c r="A19" s="27" t="s">
        <v>38</v>
      </c>
      <c r="B19" s="28">
        <v>14697.4172</v>
      </c>
      <c r="C19" s="28">
        <f>IF(OR(18605.90427="",14697.4172=""),"-",14697.4172/18605.90427*100)</f>
        <v>78.993296894996874</v>
      </c>
      <c r="D19" s="28">
        <f>IF(18605.90427="","-",18605.90427/1331502.34087*100)</f>
        <v>1.3973617393599889</v>
      </c>
      <c r="E19" s="28">
        <f>IF(14697.4172="","-",14697.4172/2290386.35979*100)</f>
        <v>0.64170034619607019</v>
      </c>
      <c r="F19" s="28">
        <f>IF(OR(1170176.53664="",21744.1889="",18605.90427=""),"-",(18605.90427-21744.1889)/1170176.53664*100)</f>
        <v>-0.26818898958708842</v>
      </c>
      <c r="G19" s="28">
        <f>IF(OR(1331502.34087="",14697.4172="",18605.90427=""),"-",(14697.4172-18605.90427)/1331502.34087*100)</f>
        <v>-0.29353963189026044</v>
      </c>
    </row>
    <row r="20" spans="1:7" s="29" customFormat="1" x14ac:dyDescent="0.2">
      <c r="A20" s="27" t="s">
        <v>49</v>
      </c>
      <c r="B20" s="28">
        <v>14548.811610000001</v>
      </c>
      <c r="C20" s="28">
        <f>IF(OR(16117.97122="",14548.81161=""),"-",14548.81161/16117.97122*100)</f>
        <v>90.264533987671442</v>
      </c>
      <c r="D20" s="28">
        <f>IF(16117.97122="","-",16117.97122/1331502.34087*100)</f>
        <v>1.2105101677454477</v>
      </c>
      <c r="E20" s="28">
        <f>IF(14548.81161="","-",14548.81161/2290386.35979*100)</f>
        <v>0.63521211379087783</v>
      </c>
      <c r="F20" s="28">
        <f>IF(OR(1170176.53664="",8961.73015="",16117.97122=""),"-",(16117.97122-8961.73015)/1170176.53664*100)</f>
        <v>0.61155226121249673</v>
      </c>
      <c r="G20" s="28">
        <f>IF(OR(1331502.34087="",14548.81161="",16117.97122=""),"-",(14548.81161-16117.97122)/1331502.34087*100)</f>
        <v>-0.11784880595663949</v>
      </c>
    </row>
    <row r="21" spans="1:7" s="29" customFormat="1" x14ac:dyDescent="0.2">
      <c r="A21" s="27" t="s">
        <v>45</v>
      </c>
      <c r="B21" s="28">
        <v>11777.623250000001</v>
      </c>
      <c r="C21" s="28" t="s">
        <v>298</v>
      </c>
      <c r="D21" s="28">
        <f>IF(4228.19008="","-",4228.19008/1331502.34087*100)</f>
        <v>0.31755033019598844</v>
      </c>
      <c r="E21" s="28">
        <f>IF(11777.62325="","-",11777.62325/2290386.35979*100)</f>
        <v>0.51421993497550611</v>
      </c>
      <c r="F21" s="28">
        <f>IF(OR(1170176.53664="",7969.26089="",4228.19008=""),"-",(4228.19008-7969.26089)/1170176.53664*100)</f>
        <v>-0.31970140340892206</v>
      </c>
      <c r="G21" s="28">
        <f>IF(OR(1331502.34087="",11777.62325="",4228.19008=""),"-",(11777.62325-4228.19008)/1331502.34087*100)</f>
        <v>0.56698609820447043</v>
      </c>
    </row>
    <row r="22" spans="1:7" s="29" customFormat="1" x14ac:dyDescent="0.2">
      <c r="A22" s="27" t="s">
        <v>7</v>
      </c>
      <c r="B22" s="28">
        <v>11147.86355</v>
      </c>
      <c r="C22" s="28">
        <f>IF(OR(10033.03768="",11147.86355=""),"-",11147.86355/10033.03768*100)</f>
        <v>111.11154872090543</v>
      </c>
      <c r="D22" s="28">
        <f>IF(10033.03768="","-",10033.03768/1331502.34087*100)</f>
        <v>0.75351258289523093</v>
      </c>
      <c r="E22" s="28">
        <f>IF(11147.86355="","-",11147.86355/2290386.35979*100)</f>
        <v>0.48672415037531569</v>
      </c>
      <c r="F22" s="28">
        <f>IF(OR(1170176.53664="",9351.59214="",10033.03768=""),"-",(10033.03768-9351.59214)/1170176.53664*100)</f>
        <v>5.8234421787047227E-2</v>
      </c>
      <c r="G22" s="28">
        <f>IF(OR(1331502.34087="",11147.86355="",10033.03768=""),"-",(11147.86355-10033.03768)/1331502.34087*100)</f>
        <v>8.3726917766556566E-2</v>
      </c>
    </row>
    <row r="23" spans="1:7" s="29" customFormat="1" x14ac:dyDescent="0.2">
      <c r="A23" s="27" t="s">
        <v>39</v>
      </c>
      <c r="B23" s="28">
        <v>11123.22263</v>
      </c>
      <c r="C23" s="28">
        <f>IF(OR(11502.23636="",11123.22263=""),"-",11123.22263/11502.23636*100)</f>
        <v>96.704869225970242</v>
      </c>
      <c r="D23" s="28">
        <f>IF(11502.23636="","-",11502.23636/1331502.34087*100)</f>
        <v>0.86385400963579773</v>
      </c>
      <c r="E23" s="28">
        <f>IF(11123.22263="","-",11123.22263/2290386.35979*100)</f>
        <v>0.48564830917958585</v>
      </c>
      <c r="F23" s="28">
        <f>IF(OR(1170176.53664="",5209.86811="",11502.23636=""),"-",(11502.23636-5209.86811)/1170176.53664*100)</f>
        <v>0.53772811648297658</v>
      </c>
      <c r="G23" s="28">
        <f>IF(OR(1331502.34087="",11123.22263="",11502.23636=""),"-",(11123.22263-11502.23636)/1331502.34087*100)</f>
        <v>-2.8465119314199178E-2</v>
      </c>
    </row>
    <row r="24" spans="1:7" s="29" customFormat="1" x14ac:dyDescent="0.2">
      <c r="A24" s="27" t="s">
        <v>42</v>
      </c>
      <c r="B24" s="28">
        <v>5975.6529200000004</v>
      </c>
      <c r="C24" s="28">
        <f>IF(OR(6481.40931="",5975.65292=""),"-",5975.65292/6481.40931*100)</f>
        <v>92.196814522735338</v>
      </c>
      <c r="D24" s="28">
        <f>IF(6481.40931="","-",6481.40931/1331502.34087*100)</f>
        <v>0.48677415811113517</v>
      </c>
      <c r="E24" s="28">
        <f>IF(5975.65292="","-",5975.65292/2290386.35979*100)</f>
        <v>0.26090152407945244</v>
      </c>
      <c r="F24" s="28">
        <f>IF(OR(1170176.53664="",4839.32891999999="",6481.40931=""),"-",(6481.40931-4839.32891999999)/1170176.53664*100)</f>
        <v>0.14032757781274752</v>
      </c>
      <c r="G24" s="28">
        <f>IF(OR(1331502.34087="",5975.65292="",6481.40931=""),"-",(5975.65292-6481.40931)/1331502.34087*100)</f>
        <v>-3.7983890412805414E-2</v>
      </c>
    </row>
    <row r="25" spans="1:7" s="29" customFormat="1" x14ac:dyDescent="0.2">
      <c r="A25" s="27" t="s">
        <v>41</v>
      </c>
      <c r="B25" s="28">
        <v>4939.0312999999996</v>
      </c>
      <c r="C25" s="28">
        <f>IF(OR(3516.94312="",4939.0313=""),"-",4939.0313/3516.94312*100)</f>
        <v>140.43534772891067</v>
      </c>
      <c r="D25" s="28">
        <f>IF(3516.94312="","-",3516.94312/1331502.34087*100)</f>
        <v>0.26413345377237857</v>
      </c>
      <c r="E25" s="28">
        <f>IF(4939.0313="","-",4939.0313/2290386.35979*100)</f>
        <v>0.21564184046454271</v>
      </c>
      <c r="F25" s="28">
        <f>IF(OR(1170176.53664="",3376.85084="",3516.94312=""),"-",(3516.94312-3376.85084)/1170176.53664*100)</f>
        <v>1.197189275408439E-2</v>
      </c>
      <c r="G25" s="28">
        <f>IF(OR(1331502.34087="",4939.0313="",3516.94312=""),"-",(4939.0313-3516.94312)/1331502.34087*100)</f>
        <v>0.10680328050124278</v>
      </c>
    </row>
    <row r="26" spans="1:7" s="31" customFormat="1" x14ac:dyDescent="0.2">
      <c r="A26" s="27" t="s">
        <v>43</v>
      </c>
      <c r="B26" s="28">
        <v>2635.4688299999998</v>
      </c>
      <c r="C26" s="28">
        <f>IF(OR(2441.58398="",2635.46883=""),"-",2635.46883/2441.58398*100)</f>
        <v>107.94094536940729</v>
      </c>
      <c r="D26" s="28">
        <f>IF(2441.58398="","-",2441.58398/1331502.34087*100)</f>
        <v>0.18337061115526659</v>
      </c>
      <c r="E26" s="28">
        <f>IF(2635.46883="","-",2635.46883/2290386.35979*100)</f>
        <v>0.1150665615316378</v>
      </c>
      <c r="F26" s="28">
        <f>IF(OR(1170176.53664="",2654.04605="",2441.58398=""),"-",(2441.58398-2654.04605)/1170176.53664*100)</f>
        <v>-1.8156411733400112E-2</v>
      </c>
      <c r="G26" s="28">
        <f>IF(OR(1331502.34087="",2635.46883="",2441.58398=""),"-",(2635.46883-2441.58398)/1331502.34087*100)</f>
        <v>1.4561360055387969E-2</v>
      </c>
    </row>
    <row r="27" spans="1:7" s="31" customFormat="1" x14ac:dyDescent="0.2">
      <c r="A27" s="27" t="s">
        <v>44</v>
      </c>
      <c r="B27" s="28">
        <v>1665.26009</v>
      </c>
      <c r="C27" s="28">
        <f>IF(OR(1328.44919="",1665.26009=""),"-",1665.26009/1328.44919*100)</f>
        <v>125.35369079490349</v>
      </c>
      <c r="D27" s="28">
        <f>IF(1328.44919="","-",1328.44919/1331502.34087*100)</f>
        <v>9.9770698798170715E-2</v>
      </c>
      <c r="E27" s="28">
        <f>IF(1665.26009="","-",1665.26009/2290386.35979*100)</f>
        <v>7.2706514465650393E-2</v>
      </c>
      <c r="F27" s="28">
        <f>IF(OR(1170176.53664="",2911.65539="",1328.44919=""),"-",(1328.44919-2911.65539)/1170176.53664*100)</f>
        <v>-0.1352963549026506</v>
      </c>
      <c r="G27" s="28">
        <f>IF(OR(1331502.34087="",1665.26009="",1328.44919=""),"-",(1665.26009-1328.44919)/1331502.34087*100)</f>
        <v>2.5295554477202692E-2</v>
      </c>
    </row>
    <row r="28" spans="1:7" s="29" customFormat="1" x14ac:dyDescent="0.2">
      <c r="A28" s="27" t="s">
        <v>293</v>
      </c>
      <c r="B28" s="28">
        <v>1239.40966</v>
      </c>
      <c r="C28" s="28" t="s">
        <v>329</v>
      </c>
      <c r="D28" s="28">
        <f>IF(405.18054="","-",405.18054/1331502.34087*100)</f>
        <v>3.0430328776985566E-2</v>
      </c>
      <c r="E28" s="28">
        <f>IF(1239.40966="","-",1239.40966/2290386.35979*100)</f>
        <v>5.4113562749021897E-2</v>
      </c>
      <c r="F28" s="28">
        <f>IF(OR(1170176.53664="",520.06087="",405.18054=""),"-",(405.18054-520.06087)/1170176.53664*100)</f>
        <v>-9.8173503230429646E-3</v>
      </c>
      <c r="G28" s="28">
        <f>IF(OR(1331502.34087="",1239.40966="",405.18054=""),"-",(1239.40966-405.18054)/1331502.34087*100)</f>
        <v>6.2653222183215757E-2</v>
      </c>
    </row>
    <row r="29" spans="1:7" s="29" customFormat="1" x14ac:dyDescent="0.2">
      <c r="A29" s="27" t="s">
        <v>46</v>
      </c>
      <c r="B29" s="28">
        <v>957.03804000000002</v>
      </c>
      <c r="C29" s="28">
        <f>IF(OR(783.78775="",957.03804=""),"-",957.03804/783.78775*100)</f>
        <v>122.10423548977387</v>
      </c>
      <c r="D29" s="28">
        <f>IF(783.78775="","-",783.78775/1331502.34087*100)</f>
        <v>5.8864917164762567E-2</v>
      </c>
      <c r="E29" s="28">
        <f>IF(957.03804="","-",957.03804/2290386.35979*100)</f>
        <v>4.1785004346941212E-2</v>
      </c>
      <c r="F29" s="28">
        <f>IF(OR(1170176.53664="",413.20688="",783.78775=""),"-",(783.78775-413.20688)/1170176.53664*100)</f>
        <v>3.1668800253342254E-2</v>
      </c>
      <c r="G29" s="28">
        <f>IF(OR(1331502.34087="",957.03804="",783.78775=""),"-",(957.03804-783.78775)/1331502.34087*100)</f>
        <v>1.3011639910959437E-2</v>
      </c>
    </row>
    <row r="30" spans="1:7" s="31" customFormat="1" x14ac:dyDescent="0.2">
      <c r="A30" s="27" t="s">
        <v>48</v>
      </c>
      <c r="B30" s="28">
        <v>898.94194000000005</v>
      </c>
      <c r="C30" s="28" t="s">
        <v>18</v>
      </c>
      <c r="D30" s="28">
        <f>IF(456.47727="","-",456.47727/1331502.34087*100)</f>
        <v>3.4282874012954344E-2</v>
      </c>
      <c r="E30" s="28">
        <f>IF(898.94194="","-",898.94194/2290386.35979*100)</f>
        <v>3.9248484700302788E-2</v>
      </c>
      <c r="F30" s="28">
        <f>IF(OR(1170176.53664="",233.85845="",456.47727=""),"-",(456.47727-233.85845)/1170176.53664*100)</f>
        <v>1.9024379059865541E-2</v>
      </c>
      <c r="G30" s="28">
        <f>IF(OR(1331502.34087="",898.94194="",456.47727=""),"-",(898.94194-456.47727)/1331502.34087*100)</f>
        <v>3.3230483824076111E-2</v>
      </c>
    </row>
    <row r="31" spans="1:7" s="31" customFormat="1" x14ac:dyDescent="0.2">
      <c r="A31" s="27" t="s">
        <v>51</v>
      </c>
      <c r="B31" s="28">
        <v>485.00396000000001</v>
      </c>
      <c r="C31" s="28">
        <f>IF(OR(348.19837="",485.00396=""),"-",485.00396/348.19837*100)</f>
        <v>139.28955497407986</v>
      </c>
      <c r="D31" s="28">
        <f>IF(348.19837="","-",348.19837/1331502.34087*100)</f>
        <v>2.6150789173415057E-2</v>
      </c>
      <c r="E31" s="28">
        <f>IF(485.00396="","-",485.00396/2290386.35979*100)</f>
        <v>2.1175639556483772E-2</v>
      </c>
      <c r="F31" s="28">
        <f>IF(OR(1170176.53664="",162.78299="",348.19837=""),"-",(348.19837-162.78299)/1170176.53664*100)</f>
        <v>1.5845077575422476E-2</v>
      </c>
      <c r="G31" s="28">
        <f>IF(OR(1331502.34087="",485.00396="",348.19837=""),"-",(485.00396-348.19837)/1331502.34087*100)</f>
        <v>1.0274528688444633E-2</v>
      </c>
    </row>
    <row r="32" spans="1:7" s="31" customFormat="1" x14ac:dyDescent="0.2">
      <c r="A32" s="27" t="s">
        <v>47</v>
      </c>
      <c r="B32" s="28">
        <v>124.63934999999999</v>
      </c>
      <c r="C32" s="28">
        <f>IF(OR(923.41471="",124.63935=""),"-",124.63935/923.41471*100)</f>
        <v>13.497656973647301</v>
      </c>
      <c r="D32" s="28">
        <f>IF(923.41471="","-",923.41471/1331502.34087*100)</f>
        <v>6.9351339585076763E-2</v>
      </c>
      <c r="E32" s="28">
        <f>IF(124.63935="","-",124.63935/2290386.35979*100)</f>
        <v>5.4418482483203348E-3</v>
      </c>
      <c r="F32" s="28">
        <f>IF(OR(1170176.53664="",731.87664="",923.41471=""),"-",(923.41471-731.87664)/1170176.53664*100)</f>
        <v>1.6368305465256989E-2</v>
      </c>
      <c r="G32" s="28">
        <f>IF(OR(1331502.34087="",124.63935="",923.41471=""),"-",(124.63935-923.41471)/1331502.34087*100)</f>
        <v>-5.9990533661253828E-2</v>
      </c>
    </row>
    <row r="33" spans="1:7" s="31" customFormat="1" x14ac:dyDescent="0.2">
      <c r="A33" s="27" t="s">
        <v>50</v>
      </c>
      <c r="B33" s="28">
        <v>49.144820000000003</v>
      </c>
      <c r="C33" s="28">
        <f>IF(OR(192.48939="",49.14482=""),"-",49.14482/192.48939*100)</f>
        <v>25.531183822651215</v>
      </c>
      <c r="D33" s="28">
        <f>IF(192.48939="","-",192.48939/1331502.34087*100)</f>
        <v>1.445655663468289E-2</v>
      </c>
      <c r="E33" s="28">
        <f>IF(49.14482="","-",49.14482/2290386.35979*100)</f>
        <v>2.1456999946727752E-3</v>
      </c>
      <c r="F33" s="28">
        <f>IF(OR(1170176.53664="",79.63324="",192.48939=""),"-",(192.48939-79.63324)/1170176.53664*100)</f>
        <v>9.6443695858105978E-3</v>
      </c>
      <c r="G33" s="28">
        <f>IF(OR(1331502.34087="",49.14482="",192.48939=""),"-",(49.14482-192.48939)/1331502.34087*100)</f>
        <v>-1.0765626585856322E-2</v>
      </c>
    </row>
    <row r="34" spans="1:7" s="31" customFormat="1" x14ac:dyDescent="0.2">
      <c r="A34" s="27" t="s">
        <v>52</v>
      </c>
      <c r="B34" s="28">
        <v>21.759360000000001</v>
      </c>
      <c r="C34" s="28" t="s">
        <v>332</v>
      </c>
      <c r="D34" s="28">
        <f>IF(3.64614="","-",3.64614/1331502.34087*100)</f>
        <v>2.7383654448685552E-4</v>
      </c>
      <c r="E34" s="28">
        <f>IF(21.75936="","-",21.75936/2290386.35979*100)</f>
        <v>9.5003010767122538E-4</v>
      </c>
      <c r="F34" s="28">
        <f>IF(OR(1170176.53664="",25.65794="",3.64614=""),"-",(3.64614-25.65794)/1170176.53664*100)</f>
        <v>-1.8810666007031587E-3</v>
      </c>
      <c r="G34" s="28">
        <f>IF(OR(1331502.34087="",21.75936="",3.64614=""),"-",(21.75936-3.64614)/1331502.34087*100)</f>
        <v>1.360359606139699E-3</v>
      </c>
    </row>
    <row r="35" spans="1:7" s="29" customFormat="1" ht="14.25" customHeight="1" x14ac:dyDescent="0.2">
      <c r="A35" s="27" t="s">
        <v>53</v>
      </c>
      <c r="B35" s="28">
        <v>9.8491300000000006</v>
      </c>
      <c r="C35" s="28" t="str">
        <f>IF(OR(""="",9.84913=""),"-",9.84913/""*100)</f>
        <v>-</v>
      </c>
      <c r="D35" s="28" t="str">
        <f>IF(""="","-",""/1331502.34087*100)</f>
        <v>-</v>
      </c>
      <c r="E35" s="28">
        <f>IF(9.84913="","-",9.84913/2290386.35979*100)</f>
        <v>4.3002046174004646E-4</v>
      </c>
      <c r="F35" s="28" t="str">
        <f>IF(OR(1170176.53664="",2.36964="",""=""),"-",(""-2.36964)/1170176.53664*100)</f>
        <v>-</v>
      </c>
      <c r="G35" s="28" t="str">
        <f>IF(OR(1331502.34087="",9.84913="",""=""),"-",(9.84913-"")/1331502.34087*100)</f>
        <v>-</v>
      </c>
    </row>
    <row r="36" spans="1:7" s="29" customFormat="1" ht="14.25" customHeight="1" x14ac:dyDescent="0.2">
      <c r="A36" s="25" t="s">
        <v>131</v>
      </c>
      <c r="B36" s="20">
        <v>409981.09305999998</v>
      </c>
      <c r="C36" s="26" t="s">
        <v>18</v>
      </c>
      <c r="D36" s="26">
        <f>IF(208434.06465="","-",208434.06465/1331502.34087*100)</f>
        <v>15.654051686744294</v>
      </c>
      <c r="E36" s="26">
        <f>IF(409981.09306="","-",409981.09306/2290386.35979*100)</f>
        <v>17.900084468612977</v>
      </c>
      <c r="F36" s="26">
        <f>IF(1170176.53664="","-",(208434.06465-193825.64636)/1170176.53664*100)</f>
        <v>1.248394394571098</v>
      </c>
      <c r="G36" s="26">
        <f>IF(1331502.34087="","-",(409981.09306-208434.06465)/1331502.34087*100)</f>
        <v>15.136813674567762</v>
      </c>
    </row>
    <row r="37" spans="1:7" s="29" customFormat="1" ht="14.25" customHeight="1" x14ac:dyDescent="0.2">
      <c r="A37" s="27" t="s">
        <v>10</v>
      </c>
      <c r="B37" s="32">
        <v>248347.16639999999</v>
      </c>
      <c r="C37" s="28" t="s">
        <v>353</v>
      </c>
      <c r="D37" s="28">
        <f>IF(36994.72555="","-",36994.72555/1331502.34087*100)</f>
        <v>2.7784198656254522</v>
      </c>
      <c r="E37" s="28">
        <f>IF(248347.1664="","-",248347.1664/2290386.35979*100)</f>
        <v>10.843025035425478</v>
      </c>
      <c r="F37" s="28">
        <f>IF(OR(1170176.53664="",27426.28564="",36994.72555=""),"-",(36994.72555-27426.28564)/1170176.53664*100)</f>
        <v>0.81769199863419362</v>
      </c>
      <c r="G37" s="28">
        <f>IF(OR(1331502.34087="",248347.1664="",36994.72555=""),"-",(248347.1664-36994.72555)/1331502.34087*100)</f>
        <v>15.873230888343981</v>
      </c>
    </row>
    <row r="38" spans="1:7" s="31" customFormat="1" ht="14.25" customHeight="1" x14ac:dyDescent="0.2">
      <c r="A38" s="27" t="s">
        <v>294</v>
      </c>
      <c r="B38" s="32">
        <v>116897.16416</v>
      </c>
      <c r="C38" s="28">
        <f>IF(OR(128518.68923="",116897.16416=""),"-",116897.16416/128518.68923*100)</f>
        <v>90.957326798437961</v>
      </c>
      <c r="D38" s="28">
        <f>IF(128518.68923="","-",128518.68923/1331502.34087*100)</f>
        <v>9.6521564615520123</v>
      </c>
      <c r="E38" s="28">
        <f>IF(116897.16416="","-",116897.16416/2290386.35979*100)</f>
        <v>5.1038185614551947</v>
      </c>
      <c r="F38" s="28">
        <f>IF(OR(1170176.53664="",123801.65856="",128518.68923=""),"-",(128518.68923-123801.65856)/1170176.53664*100)</f>
        <v>0.40310419174394896</v>
      </c>
      <c r="G38" s="28">
        <f>IF(OR(1331502.34087="",116897.16416="",128518.68923=""),"-",(116897.16416-128518.68923)/1331502.34087*100)</f>
        <v>-0.87281296572160227</v>
      </c>
    </row>
    <row r="39" spans="1:7" s="29" customFormat="1" ht="14.25" customHeight="1" x14ac:dyDescent="0.2">
      <c r="A39" s="27" t="s">
        <v>9</v>
      </c>
      <c r="B39" s="32">
        <v>31167.811659999999</v>
      </c>
      <c r="C39" s="28">
        <f>IF(OR(30628.56379="",31167.81166=""),"-",31167.81166/30628.56379*100)</f>
        <v>101.76060449225524</v>
      </c>
      <c r="D39" s="28">
        <f>IF(30628.56379="","-",30628.56379/1331502.34087*100)</f>
        <v>2.3003011598152643</v>
      </c>
      <c r="E39" s="28">
        <f>IF(31167.81166="","-",31167.81166/2290386.35979*100)</f>
        <v>1.3608102199341467</v>
      </c>
      <c r="F39" s="28">
        <f>IF(OR(1170176.53664="",32611.59569="",30628.56379=""),"-",(30628.56379-32611.59569)/1170176.53664*100)</f>
        <v>-0.1694643361841795</v>
      </c>
      <c r="G39" s="28">
        <f>IF(OR(1331502.34087="",31167.81166="",30628.56379=""),"-",(31167.81166-30628.56379)/1331502.34087*100)</f>
        <v>4.0499205555106735E-2</v>
      </c>
    </row>
    <row r="40" spans="1:7" s="31" customFormat="1" ht="14.25" customHeight="1" x14ac:dyDescent="0.2">
      <c r="A40" s="27" t="s">
        <v>11</v>
      </c>
      <c r="B40" s="32">
        <v>5461.7738900000004</v>
      </c>
      <c r="C40" s="28">
        <f>IF(OR(5890.31615="",5461.77389=""),"-",5461.77389/5890.31615*100)</f>
        <v>92.724630578615049</v>
      </c>
      <c r="D40" s="28">
        <f>IF(5890.31615="","-",5890.31615/1331502.34087*100)</f>
        <v>0.44238120874434839</v>
      </c>
      <c r="E40" s="28">
        <f>IF(5461.77389="","-",5461.77389/2290386.35979*100)</f>
        <v>0.23846517713722223</v>
      </c>
      <c r="F40" s="28">
        <f>IF(OR(1170176.53664="",6308.44855="",5890.31615=""),"-",(5890.31615-6308.44855)/1170176.53664*100)</f>
        <v>-3.5732420443210199E-2</v>
      </c>
      <c r="G40" s="28">
        <f>IF(OR(1331502.34087="",5461.77389="",5890.31615=""),"-",(5461.77389-5890.31615)/1331502.34087*100)</f>
        <v>-3.2184867186939449E-2</v>
      </c>
    </row>
    <row r="41" spans="1:7" s="31" customFormat="1" ht="14.25" customHeight="1" x14ac:dyDescent="0.2">
      <c r="A41" s="27" t="s">
        <v>13</v>
      </c>
      <c r="B41" s="32">
        <v>3963.1052100000002</v>
      </c>
      <c r="C41" s="28">
        <f>IF(OR(3479.13567="",3963.10521=""),"-",3963.10521/3479.13567*100)</f>
        <v>113.91062568134917</v>
      </c>
      <c r="D41" s="28">
        <f>IF(3479.13567="","-",3479.13567/1331502.34087*100)</f>
        <v>0.26129399575270312</v>
      </c>
      <c r="E41" s="28">
        <f>IF(3963.10521="","-",3963.10521/2290386.35979*100)</f>
        <v>0.17303216957524004</v>
      </c>
      <c r="F41" s="28">
        <f>IF(OR(1170176.53664="",1426.66573="",3479.13567=""),"-",(3479.13567-1426.66573)/1170176.53664*100)</f>
        <v>0.17539831604326842</v>
      </c>
      <c r="G41" s="28">
        <f>IF(OR(1331502.34087="",3963.10521="",3479.13567=""),"-",(3963.10521-3479.13567)/1331502.34087*100)</f>
        <v>3.6347629676998963E-2</v>
      </c>
    </row>
    <row r="42" spans="1:7" s="31" customFormat="1" ht="14.25" customHeight="1" x14ac:dyDescent="0.2">
      <c r="A42" s="27" t="s">
        <v>12</v>
      </c>
      <c r="B42" s="32">
        <v>1500.4113400000001</v>
      </c>
      <c r="C42" s="28">
        <f>IF(OR(1200.2076="",1500.41134=""),"-",1500.41134/1200.2076*100)</f>
        <v>125.01265114468532</v>
      </c>
      <c r="D42" s="28">
        <f>IF(1200.2076="","-",1200.2076/1331502.34087*100)</f>
        <v>9.0139353357485477E-2</v>
      </c>
      <c r="E42" s="28">
        <f>IF(1500.41134="","-",1500.41134/2290386.35979*100)</f>
        <v>6.5509093415032776E-2</v>
      </c>
      <c r="F42" s="28">
        <f>IF(OR(1170176.53664="",1338.57699="",1200.2076=""),"-",(1200.2076-1338.57699)/1170176.53664*100)</f>
        <v>-1.1824659413981127E-2</v>
      </c>
      <c r="G42" s="28">
        <f>IF(OR(1331502.34087="",1500.41134="",1200.2076=""),"-",(1500.41134-1200.2076)/1331502.34087*100)</f>
        <v>2.2546241999383033E-2</v>
      </c>
    </row>
    <row r="43" spans="1:7" s="31" customFormat="1" x14ac:dyDescent="0.2">
      <c r="A43" s="27" t="s">
        <v>15</v>
      </c>
      <c r="B43" s="32">
        <v>1101.81808</v>
      </c>
      <c r="C43" s="28" t="s">
        <v>354</v>
      </c>
      <c r="D43" s="28">
        <f>IF(421.88727="","-",421.88727/1331502.34087*100)</f>
        <v>3.1685056574841622E-2</v>
      </c>
      <c r="E43" s="28">
        <f>IF(1101.81808="","-",1101.81808/2290386.35979*100)</f>
        <v>4.8106210347018612E-2</v>
      </c>
      <c r="F43" s="28">
        <f>IF(OR(1170176.53664="",476.98189="",421.88727=""),"-",(421.88727-476.98189)/1170176.53664*100)</f>
        <v>-4.7082314740472062E-3</v>
      </c>
      <c r="G43" s="28">
        <f>IF(OR(1331502.34087="",1101.81808="",421.88727=""),"-",(1101.81808-421.88727)/1331502.34087*100)</f>
        <v>5.1064935383871357E-2</v>
      </c>
    </row>
    <row r="44" spans="1:7" s="31" customFormat="1" x14ac:dyDescent="0.2">
      <c r="A44" s="27" t="s">
        <v>14</v>
      </c>
      <c r="B44" s="32">
        <v>840.80736999999999</v>
      </c>
      <c r="C44" s="28" t="s">
        <v>101</v>
      </c>
      <c r="D44" s="28">
        <f>IF(448.08482="","-",448.08482/1331502.34087*100)</f>
        <v>3.3652574707996576E-2</v>
      </c>
      <c r="E44" s="28">
        <f>IF(840.80737="","-",840.80737/2290386.35979*100)</f>
        <v>3.6710285424381046E-2</v>
      </c>
      <c r="F44" s="28" t="str">
        <f>IF(OR(1170176.53664="",""="",448.08482=""),"-",(448.08482-"")/1170176.53664*100)</f>
        <v>-</v>
      </c>
      <c r="G44" s="28">
        <f>IF(OR(1331502.34087="",840.80737="",448.08482=""),"-",(840.80737-448.08482)/1331502.34087*100)</f>
        <v>2.949469467274058E-2</v>
      </c>
    </row>
    <row r="45" spans="1:7" s="31" customFormat="1" x14ac:dyDescent="0.2">
      <c r="A45" s="27" t="s">
        <v>303</v>
      </c>
      <c r="B45" s="32">
        <v>657.77317000000005</v>
      </c>
      <c r="C45" s="28">
        <f>IF(OR(679.49199="",657.77317=""),"-",657.77317/679.49199*100)</f>
        <v>96.803667987315066</v>
      </c>
      <c r="D45" s="28">
        <f>IF(679.49199="","-",679.49199/1331502.34087*100)</f>
        <v>5.1031978626190161E-2</v>
      </c>
      <c r="E45" s="28">
        <f>IF(657.77317="","-",657.77317/2290386.35979*100)</f>
        <v>2.8718873878567357E-2</v>
      </c>
      <c r="F45" s="28">
        <f>IF(OR(1170176.53664="",290.25257="",679.49199=""),"-",(679.49199-290.25257)/1170176.53664*100)</f>
        <v>3.3263307527738262E-2</v>
      </c>
      <c r="G45" s="28">
        <f>IF(OR(1331502.34087="",657.77317="",679.49199=""),"-",(657.77317-679.49199)/1331502.34087*100)</f>
        <v>-1.6311514695354513E-3</v>
      </c>
    </row>
    <row r="46" spans="1:7" s="29" customFormat="1" x14ac:dyDescent="0.2">
      <c r="A46" s="27" t="s">
        <v>16</v>
      </c>
      <c r="B46" s="32">
        <v>43.261780000000002</v>
      </c>
      <c r="C46" s="28">
        <f>IF(OR(172.96258="",43.26178=""),"-",43.26178/172.96258*100)</f>
        <v>25.012219406070379</v>
      </c>
      <c r="D46" s="28">
        <f>IF(172.96258="","-",172.96258/1331502.34087*100)</f>
        <v>1.2990031988001369E-2</v>
      </c>
      <c r="E46" s="28">
        <f>IF(43.26178="","-",43.26178/2290386.35979*100)</f>
        <v>1.8888420206958692E-3</v>
      </c>
      <c r="F46" s="28">
        <f>IF(OR(1170176.53664="",145.18074="",172.96258=""),"-",(172.96258-145.18074)/1170176.53664*100)</f>
        <v>2.3741580120698476E-3</v>
      </c>
      <c r="G46" s="28">
        <f>IF(OR(1331502.34087="",43.26178="",172.96258=""),"-",(43.26178-172.96258)/1331502.34087*100)</f>
        <v>-9.740936686243741E-3</v>
      </c>
    </row>
    <row r="47" spans="1:7" s="31" customFormat="1" x14ac:dyDescent="0.2">
      <c r="A47" s="25" t="s">
        <v>132</v>
      </c>
      <c r="B47" s="20">
        <v>470122.97262000002</v>
      </c>
      <c r="C47" s="26" t="s">
        <v>195</v>
      </c>
      <c r="D47" s="26">
        <f>IF(263744.63273="","-",263744.63273/1331502.34087*100)</f>
        <v>19.808048745725074</v>
      </c>
      <c r="E47" s="26">
        <f>IF(470122.97262="","-",470122.97262/2290386.35979*100)</f>
        <v>20.525924397449888</v>
      </c>
      <c r="F47" s="26">
        <f>IF(1170176.53664="","-",(263744.63273-233772.61411)/1170176.53664*100)</f>
        <v>2.5613245251063161</v>
      </c>
      <c r="G47" s="26">
        <f>IF(1331502.34087="","-",(470122.97262-263744.63273)/1331502.34087*100)</f>
        <v>15.499660312662536</v>
      </c>
    </row>
    <row r="48" spans="1:7" s="30" customFormat="1" x14ac:dyDescent="0.2">
      <c r="A48" s="33" t="s">
        <v>54</v>
      </c>
      <c r="B48" s="34">
        <v>211646.64212999999</v>
      </c>
      <c r="C48" s="28" t="s">
        <v>195</v>
      </c>
      <c r="D48" s="28">
        <f>IF(114951.2905="","-",114951.2905/1331502.34087*100)</f>
        <v>8.6332022837369671</v>
      </c>
      <c r="E48" s="28">
        <f>IF(211646.64213="","-",211646.64213/2290386.35979*100)</f>
        <v>9.2406524002092532</v>
      </c>
      <c r="F48" s="28">
        <f>IF(OR(1170176.53664="",85304.66918="",114951.2905=""),"-",(114951.2905-85304.66918)/1170176.53664*100)</f>
        <v>2.533516985832426</v>
      </c>
      <c r="G48" s="28">
        <f>IF(OR(1331502.34087="",211646.64213="",114951.2905=""),"-",(211646.64213-114951.2905)/1331502.34087*100)</f>
        <v>7.2621240430429514</v>
      </c>
    </row>
    <row r="49" spans="1:7" s="29" customFormat="1" x14ac:dyDescent="0.2">
      <c r="A49" s="27" t="s">
        <v>295</v>
      </c>
      <c r="B49" s="32">
        <v>55010.293489999996</v>
      </c>
      <c r="C49" s="28" t="s">
        <v>318</v>
      </c>
      <c r="D49" s="28">
        <f>IF(15743.33442="","-",15743.33442/1331502.34087*100)</f>
        <v>1.1823737695957297</v>
      </c>
      <c r="E49" s="28">
        <f>IF(55010.29349="","-",55010.29349/2290386.35979*100)</f>
        <v>2.4017910015428034</v>
      </c>
      <c r="F49" s="28">
        <f>IF(OR(1170176.53664="",40324.65371="",15743.33442=""),"-",(15743.33442-40324.65371)/1170176.53664*100)</f>
        <v>-2.1006505018962232</v>
      </c>
      <c r="G49" s="28">
        <f>IF(OR(1331502.34087="",55010.29349="",15743.33442=""),"-",(55010.29349-15743.33442)/1331502.34087*100)</f>
        <v>2.9490717263285524</v>
      </c>
    </row>
    <row r="50" spans="1:7" s="31" customFormat="1" x14ac:dyDescent="0.2">
      <c r="A50" s="27" t="s">
        <v>70</v>
      </c>
      <c r="B50" s="34">
        <v>37696.693290000003</v>
      </c>
      <c r="C50" s="28" t="s">
        <v>355</v>
      </c>
      <c r="D50" s="28">
        <f>IF(17.81651="","-",17.81651/1331502.34087*100)</f>
        <v>1.3380757549670353E-3</v>
      </c>
      <c r="E50" s="28">
        <f>IF(37696.69329="","-",37696.69329/2290386.35979*100)</f>
        <v>1.6458661277329787</v>
      </c>
      <c r="F50" s="28">
        <f>IF(OR(1170176.53664="",70.05237="",17.81651=""),"-",(17.81651-70.05237)/1170176.53664*100)</f>
        <v>-4.4639298742041129E-3</v>
      </c>
      <c r="G50" s="28">
        <f>IF(OR(1331502.34087="",37696.69329="",17.81651=""),"-",(37696.69329-17.81651)/1331502.34087*100)</f>
        <v>2.8298017677821532</v>
      </c>
    </row>
    <row r="51" spans="1:7" s="31" customFormat="1" ht="24" x14ac:dyDescent="0.2">
      <c r="A51" s="27" t="s">
        <v>296</v>
      </c>
      <c r="B51" s="34">
        <v>37637.618739999998</v>
      </c>
      <c r="C51" s="28">
        <f>IF(OR(25929.58601="",37637.61874=""),"-",37637.61874/25929.58601*100)</f>
        <v>145.15318033031718</v>
      </c>
      <c r="D51" s="28">
        <f>IF(25929.58601="","-",25929.58601/1331502.34087*100)</f>
        <v>1.9473931974507592</v>
      </c>
      <c r="E51" s="28">
        <f>IF(37637.61874="","-",37637.61874/2290386.35979*100)</f>
        <v>1.6432868882196319</v>
      </c>
      <c r="F51" s="28">
        <f>IF(OR(1170176.53664="",18617.51527="",25929.58601=""),"-",(25929.58601-18617.51527)/1170176.53664*100)</f>
        <v>0.62486902711240466</v>
      </c>
      <c r="G51" s="28">
        <f>IF(OR(1331502.34087="",37637.61874="",25929.58601=""),"-",(37637.61874-25929.58601)/1331502.34087*100)</f>
        <v>0.87930996218527135</v>
      </c>
    </row>
    <row r="52" spans="1:7" s="30" customFormat="1" x14ac:dyDescent="0.2">
      <c r="A52" s="27" t="s">
        <v>17</v>
      </c>
      <c r="B52" s="34">
        <v>21462.142250000001</v>
      </c>
      <c r="C52" s="28" t="s">
        <v>101</v>
      </c>
      <c r="D52" s="28">
        <f>IF(11507.30844="","-",11507.30844/1331502.34087*100)</f>
        <v>0.86423493874454305</v>
      </c>
      <c r="E52" s="28">
        <f>IF(21462.14225="","-",21462.14225/2290386.35979*100)</f>
        <v>0.93705335600967388</v>
      </c>
      <c r="F52" s="28">
        <f>IF(OR(1170176.53664="",12371.62955="",11507.30844=""),"-",(11507.30844-12371.62955)/1170176.53664*100)</f>
        <v>-7.386245433375184E-2</v>
      </c>
      <c r="G52" s="28">
        <f>IF(OR(1331502.34087="",21462.14225="",11507.30844=""),"-",(21462.14225-11507.30844)/1331502.34087*100)</f>
        <v>0.74763922709257424</v>
      </c>
    </row>
    <row r="53" spans="1:7" s="31" customFormat="1" x14ac:dyDescent="0.2">
      <c r="A53" s="27" t="s">
        <v>58</v>
      </c>
      <c r="B53" s="34">
        <v>15398.398870000001</v>
      </c>
      <c r="C53" s="28">
        <f>IF(OR(14266.01887="",15398.39887=""),"-",15398.39887/14266.01887*100)</f>
        <v>107.93760340792259</v>
      </c>
      <c r="D53" s="28">
        <f>IF(14266.01887="","-",14266.01887/1331502.34087*100)</f>
        <v>1.0714227404721364</v>
      </c>
      <c r="E53" s="28">
        <f>IF(15398.39887="","-",15398.39887/2290386.35979*100)</f>
        <v>0.67230573585025377</v>
      </c>
      <c r="F53" s="28">
        <f>IF(OR(1170176.53664="",8269.452="",14266.01887=""),"-",(14266.01887-8269.452)/1170176.53664*100)</f>
        <v>0.51244976140252407</v>
      </c>
      <c r="G53" s="28">
        <f>IF(OR(1331502.34087="",15398.39887="",14266.01887=""),"-",(15398.39887-14266.01887)/1331502.34087*100)</f>
        <v>8.5045287960974006E-2</v>
      </c>
    </row>
    <row r="54" spans="1:7" s="29" customFormat="1" x14ac:dyDescent="0.2">
      <c r="A54" s="27" t="s">
        <v>64</v>
      </c>
      <c r="B54" s="34">
        <v>8054.5577999999996</v>
      </c>
      <c r="C54" s="28" t="s">
        <v>100</v>
      </c>
      <c r="D54" s="28">
        <f>IF(4931.18036="","-",4931.18036/1331502.34087*100)</f>
        <v>0.37034710406727339</v>
      </c>
      <c r="E54" s="28">
        <f>IF(8054.5578="","-",8054.5578/2290386.35979*100)</f>
        <v>0.35166808279187017</v>
      </c>
      <c r="F54" s="28">
        <f>IF(OR(1170176.53664="",4090.58002="",4931.18036=""),"-",(4931.18036-4090.58002)/1170176.53664*100)</f>
        <v>7.1835343957046674E-2</v>
      </c>
      <c r="G54" s="28">
        <f>IF(OR(1331502.34087="",8054.5578="",4931.18036=""),"-",(8054.5578-4931.18036)/1331502.34087*100)</f>
        <v>0.23457543739346287</v>
      </c>
    </row>
    <row r="55" spans="1:7" s="31" customFormat="1" x14ac:dyDescent="0.2">
      <c r="A55" s="27" t="s">
        <v>66</v>
      </c>
      <c r="B55" s="32">
        <v>6877.3543499999996</v>
      </c>
      <c r="C55" s="28" t="s">
        <v>100</v>
      </c>
      <c r="D55" s="28">
        <f>IF(4264.7123="","-",4264.7123/1331502.34087*100)</f>
        <v>0.32029326341352499</v>
      </c>
      <c r="E55" s="28">
        <f>IF(6877.35435="","-",6877.35435/2290386.35979*100)</f>
        <v>0.30027049019932894</v>
      </c>
      <c r="F55" s="28">
        <f>IF(OR(1170176.53664="",2659.16345="",4264.7123=""),"-",(4264.7123-2659.16345)/1170176.53664*100)</f>
        <v>0.137205695015054</v>
      </c>
      <c r="G55" s="28">
        <f>IF(OR(1331502.34087="",6877.35435="",4264.7123=""),"-",(6877.35435-4264.7123)/1331502.34087*100)</f>
        <v>0.19621760847171374</v>
      </c>
    </row>
    <row r="56" spans="1:7" s="29" customFormat="1" x14ac:dyDescent="0.2">
      <c r="A56" s="27" t="s">
        <v>56</v>
      </c>
      <c r="B56" s="32">
        <v>6522.4707699999999</v>
      </c>
      <c r="C56" s="28">
        <f>IF(OR(10011.74706="",6522.47077=""),"-",6522.47077/10011.74706*100)</f>
        <v>65.148177744714218</v>
      </c>
      <c r="D56" s="28">
        <f>IF(10011.74706="","-",10011.74706/1331502.34087*100)</f>
        <v>0.75191359058808349</v>
      </c>
      <c r="E56" s="28">
        <f>IF(6522.47077="","-",6522.47077/2290386.35979*100)</f>
        <v>0.28477600480462295</v>
      </c>
      <c r="F56" s="28">
        <f>IF(OR(1170176.53664="",9223.45418="",10011.74706=""),"-",(10011.74706-9223.45418)/1170176.53664*100)</f>
        <v>6.7365295347954338E-2</v>
      </c>
      <c r="G56" s="28">
        <f>IF(OR(1331502.34087="",6522.47077="",10011.74706=""),"-",(6522.47077-10011.74706)/1331502.34087*100)</f>
        <v>-0.2620555881050961</v>
      </c>
    </row>
    <row r="57" spans="1:7" s="31" customFormat="1" x14ac:dyDescent="0.2">
      <c r="A57" s="27" t="s">
        <v>61</v>
      </c>
      <c r="B57" s="32">
        <v>5250.8214900000003</v>
      </c>
      <c r="C57" s="28" t="s">
        <v>281</v>
      </c>
      <c r="D57" s="28">
        <f>IF(2193.80342="","-",2193.80342/1331502.34087*100)</f>
        <v>0.16476151431822306</v>
      </c>
      <c r="E57" s="28">
        <f>IF(5250.82149="","-",5250.82149/2290386.35979*100)</f>
        <v>0.22925483587325568</v>
      </c>
      <c r="F57" s="28">
        <f>IF(OR(1170176.53664="",179.06542="",2193.80342=""),"-",(2193.80342-179.06542)/1170176.53664*100)</f>
        <v>0.17217385043328945</v>
      </c>
      <c r="G57" s="28">
        <f>IF(OR(1331502.34087="",5250.82149="",2193.80342=""),"-",(5250.82149-2193.80342)/1331502.34087*100)</f>
        <v>0.22959164067278717</v>
      </c>
    </row>
    <row r="58" spans="1:7" s="29" customFormat="1" x14ac:dyDescent="0.2">
      <c r="A58" s="27" t="s">
        <v>55</v>
      </c>
      <c r="B58" s="34">
        <v>5035.9049999999997</v>
      </c>
      <c r="C58" s="28">
        <f>IF(OR(3459.50622="",5035.905=""),"-",5035.905/3459.50622*100)</f>
        <v>145.56716131587123</v>
      </c>
      <c r="D58" s="28">
        <f>IF(3459.50622="","-",3459.50622/1331502.34087*100)</f>
        <v>0.25981976252024974</v>
      </c>
      <c r="E58" s="28">
        <f>IF(5035.905="","-",5035.905/2290386.35979*100)</f>
        <v>0.21987141944303795</v>
      </c>
      <c r="F58" s="28">
        <f>IF(OR(1170176.53664="",3634.05403="",3459.50622=""),"-",(3459.50622-3634.05403)/1170176.53664*100)</f>
        <v>-1.4916365568326078E-2</v>
      </c>
      <c r="G58" s="28">
        <f>IF(OR(1331502.34087="",5035.905="",3459.50622=""),"-",(5035.905-3459.50622)/1331502.34087*100)</f>
        <v>0.11839249031811577</v>
      </c>
    </row>
    <row r="59" spans="1:7" s="31" customFormat="1" x14ac:dyDescent="0.2">
      <c r="A59" s="27" t="s">
        <v>35</v>
      </c>
      <c r="B59" s="32">
        <v>4302.0779199999997</v>
      </c>
      <c r="C59" s="28" t="s">
        <v>194</v>
      </c>
      <c r="D59" s="28">
        <f>IF(1913.79155="","-",1913.79155/1331502.34087*100)</f>
        <v>0.14373174505645508</v>
      </c>
      <c r="E59" s="28">
        <f>IF(4302.07792="","-",4302.07792/2290386.35979*100)</f>
        <v>0.18783197435713189</v>
      </c>
      <c r="F59" s="28">
        <f>IF(OR(1170176.53664="",2634.19724="",1913.79155=""),"-",(1913.79155-2634.19724)/1170176.53664*100)</f>
        <v>-6.1563846773799218E-2</v>
      </c>
      <c r="G59" s="28">
        <f>IF(OR(1331502.34087="",4302.07792="",1913.79155=""),"-",(4302.07792-1913.79155)/1331502.34087*100)</f>
        <v>0.17936779355862792</v>
      </c>
    </row>
    <row r="60" spans="1:7" s="31" customFormat="1" x14ac:dyDescent="0.2">
      <c r="A60" s="27" t="s">
        <v>60</v>
      </c>
      <c r="B60" s="34">
        <v>4129.3897200000001</v>
      </c>
      <c r="C60" s="28">
        <f>IF(OR(5891.65147="",4129.38972=""),"-",4129.38972/5891.65147*100)</f>
        <v>70.088832325310662</v>
      </c>
      <c r="D60" s="28">
        <f>IF(5891.65147="","-",5891.65147/1331502.34087*100)</f>
        <v>0.44248149546251725</v>
      </c>
      <c r="E60" s="28">
        <f>IF(4129.38972="","-",4129.38972/2290386.35979*100)</f>
        <v>0.18029227699289188</v>
      </c>
      <c r="F60" s="28">
        <f>IF(OR(1170176.53664="",2490.22242="",5891.65147=""),"-",(5891.65147-2490.22242)/1170176.53664*100)</f>
        <v>0.29067657259363039</v>
      </c>
      <c r="G60" s="28">
        <f>IF(OR(1331502.34087="",4129.38972="",5891.65147=""),"-",(4129.38972-5891.65147)/1331502.34087*100)</f>
        <v>-0.13235138203726646</v>
      </c>
    </row>
    <row r="61" spans="1:7" s="29" customFormat="1" x14ac:dyDescent="0.2">
      <c r="A61" s="27" t="s">
        <v>57</v>
      </c>
      <c r="B61" s="32">
        <v>4083.55692</v>
      </c>
      <c r="C61" s="28">
        <f>IF(OR(6512.93816="",4083.55692=""),"-",4083.55692/6512.93816*100)</f>
        <v>62.699150823811912</v>
      </c>
      <c r="D61" s="28">
        <f>IF(6512.93816="","-",6512.93816/1331502.34087*100)</f>
        <v>0.48914207358767869</v>
      </c>
      <c r="E61" s="28">
        <f>IF(4083.55692="","-",4083.55692/2290386.35979*100)</f>
        <v>0.17829118229530544</v>
      </c>
      <c r="F61" s="28">
        <f>IF(OR(1170176.53664="",4696.94796="",6512.93816=""),"-",(6512.93816-4696.94796)/1170176.53664*100)</f>
        <v>0.15518942169310312</v>
      </c>
      <c r="G61" s="28">
        <f>IF(OR(1331502.34087="",4083.55692="",6512.93816=""),"-",(4083.55692-6512.93816)/1331502.34087*100)</f>
        <v>-0.18245414712621899</v>
      </c>
    </row>
    <row r="62" spans="1:7" s="30" customFormat="1" x14ac:dyDescent="0.2">
      <c r="A62" s="27" t="s">
        <v>65</v>
      </c>
      <c r="B62" s="34">
        <v>3542.0782800000002</v>
      </c>
      <c r="C62" s="28" t="s">
        <v>340</v>
      </c>
      <c r="D62" s="28">
        <f>IF(545.24712="","-",545.24712/1331502.34087*100)</f>
        <v>4.0949768037488919E-2</v>
      </c>
      <c r="E62" s="28">
        <f>IF(3542.07828="","-",3542.07828/2290386.35979*100)</f>
        <v>0.15464981551517643</v>
      </c>
      <c r="F62" s="28">
        <f>IF(OR(1170176.53664="",2314.69693="",545.24712=""),"-",(545.24712-2314.69693)/1170176.53664*100)</f>
        <v>-0.15121221068751986</v>
      </c>
      <c r="G62" s="28">
        <f>IF(OR(1331502.34087="",3542.07828="",545.24712=""),"-",(3542.07828-545.24712)/1331502.34087*100)</f>
        <v>0.2250714150484992</v>
      </c>
    </row>
    <row r="63" spans="1:7" s="31" customFormat="1" x14ac:dyDescent="0.2">
      <c r="A63" s="27" t="s">
        <v>116</v>
      </c>
      <c r="B63" s="34">
        <v>2621.5091600000001</v>
      </c>
      <c r="C63" s="28" t="str">
        <f>IF(OR(""="",2621.50916=""),"-",2621.50916/""*100)</f>
        <v>-</v>
      </c>
      <c r="D63" s="28" t="str">
        <f>IF(""="","-",""/1331502.34087*100)</f>
        <v>-</v>
      </c>
      <c r="E63" s="28">
        <f>IF(2621.50916="","-",2621.50916/2290386.35979*100)</f>
        <v>0.11445707178593047</v>
      </c>
      <c r="F63" s="28" t="str">
        <f>IF(OR(1170176.53664="",2918.2464="",""=""),"-",(""-2918.2464)/1170176.53664*100)</f>
        <v>-</v>
      </c>
      <c r="G63" s="28" t="str">
        <f>IF(OR(1331502.34087="",2621.50916="",""=""),"-",(2621.50916-"")/1331502.34087*100)</f>
        <v>-</v>
      </c>
    </row>
    <row r="64" spans="1:7" s="31" customFormat="1" x14ac:dyDescent="0.2">
      <c r="A64" s="27" t="s">
        <v>34</v>
      </c>
      <c r="B64" s="32">
        <v>1818.7291700000001</v>
      </c>
      <c r="C64" s="28" t="s">
        <v>318</v>
      </c>
      <c r="D64" s="28">
        <f>IF(518.84906="","-",518.84906/1331502.34087*100)</f>
        <v>3.896719097474402E-2</v>
      </c>
      <c r="E64" s="28">
        <f>IF(1818.72917="","-",1818.72917/2290386.35979*100)</f>
        <v>7.9407090521040086E-2</v>
      </c>
      <c r="F64" s="28">
        <f>IF(OR(1170176.53664="",255.58072="",518.84906=""),"-",(518.84906-255.58072)/1170176.53664*100)</f>
        <v>2.2498172861672525E-2</v>
      </c>
      <c r="G64" s="28">
        <f>IF(OR(1331502.34087="",1818.72917="",518.84906=""),"-",(1818.72917-518.84906)/1331502.34087*100)</f>
        <v>9.7625071327374607E-2</v>
      </c>
    </row>
    <row r="65" spans="1:7" s="31" customFormat="1" x14ac:dyDescent="0.2">
      <c r="A65" s="27" t="s">
        <v>81</v>
      </c>
      <c r="B65" s="34">
        <v>1759.8191899999999</v>
      </c>
      <c r="C65" s="28" t="s">
        <v>356</v>
      </c>
      <c r="D65" s="28">
        <f>IF(27.34148="","-",27.34148/1331502.34087*100)</f>
        <v>2.0534308623246698E-3</v>
      </c>
      <c r="E65" s="28">
        <f>IF(1759.81919="","-",1759.81919/2290386.35979*100)</f>
        <v>7.6835036258308551E-2</v>
      </c>
      <c r="F65" s="28">
        <f>IF(OR(1170176.53664="",19.39621="",27.34148=""),"-",(27.34148-19.39621)/1170176.53664*100)</f>
        <v>6.7898045732601542E-4</v>
      </c>
      <c r="G65" s="28">
        <f>IF(OR(1331502.34087="",1759.81919="",27.34148=""),"-",(1759.81919-27.34148)/1331502.34087*100)</f>
        <v>0.13011450726162477</v>
      </c>
    </row>
    <row r="66" spans="1:7" s="31" customFormat="1" x14ac:dyDescent="0.2">
      <c r="A66" s="27" t="s">
        <v>122</v>
      </c>
      <c r="B66" s="34">
        <v>1731.6686299999999</v>
      </c>
      <c r="C66" s="28">
        <f>IF(OR(1208.42509="",1731.66863=""),"-",1731.66863/1208.42509*100)</f>
        <v>143.29962563091107</v>
      </c>
      <c r="D66" s="28">
        <f>IF(1208.42509="","-",1208.42509/1331502.34087*100)</f>
        <v>9.075651261795141E-2</v>
      </c>
      <c r="E66" s="28">
        <f>IF(1731.66863="","-",1731.66863/2290386.35979*100)</f>
        <v>7.5605961526891571E-2</v>
      </c>
      <c r="F66" s="28">
        <f>IF(OR(1170176.53664="",714.53201="",1208.42509=""),"-",(1208.42509-714.53201)/1170176.53664*100)</f>
        <v>4.2206715357508841E-2</v>
      </c>
      <c r="G66" s="28">
        <f>IF(OR(1331502.34087="",1731.66863="",1208.42509=""),"-",(1731.66863-1208.42509)/1331502.34087*100)</f>
        <v>3.9297230199243513E-2</v>
      </c>
    </row>
    <row r="67" spans="1:7" s="31" customFormat="1" x14ac:dyDescent="0.2">
      <c r="A67" s="27" t="s">
        <v>73</v>
      </c>
      <c r="B67" s="34">
        <v>1642.5548799999999</v>
      </c>
      <c r="C67" s="28">
        <f>IF(OR(1359.54314="",1642.55488=""),"-",1642.55488/1359.54314*100)</f>
        <v>120.81667963842617</v>
      </c>
      <c r="D67" s="28">
        <f>IF(1359.54314="","-",1359.54314/1331502.34087*100)</f>
        <v>0.10210595192132207</v>
      </c>
      <c r="E67" s="28">
        <f>IF(1642.55488="","-",1642.55488/2290386.35979*100)</f>
        <v>7.1715187831916785E-2</v>
      </c>
      <c r="F67" s="28">
        <f>IF(OR(1170176.53664="",1041.82748="",1359.54314=""),"-",(1359.54314-1041.82748)/1170176.53664*100)</f>
        <v>2.7151087895872242E-2</v>
      </c>
      <c r="G67" s="28">
        <f>IF(OR(1331502.34087="",1642.55488="",1359.54314=""),"-",(1642.55488-1359.54314)/1331502.34087*100)</f>
        <v>2.1255068903227075E-2</v>
      </c>
    </row>
    <row r="68" spans="1:7" s="31" customFormat="1" x14ac:dyDescent="0.2">
      <c r="A68" s="33" t="s">
        <v>87</v>
      </c>
      <c r="B68" s="34">
        <v>1588.00721</v>
      </c>
      <c r="C68" s="28" t="s">
        <v>333</v>
      </c>
      <c r="D68" s="28">
        <f>IF(231.70498="","-",231.70498/1331502.34087*100)</f>
        <v>1.7401770382814694E-2</v>
      </c>
      <c r="E68" s="28">
        <f>IF(1588.00721="","-",1588.00721/2290386.35979*100)</f>
        <v>6.933359532169063E-2</v>
      </c>
      <c r="F68" s="28">
        <f>IF(OR(1170176.53664="",32.57365="",231.70498=""),"-",(231.70498-32.57365)/1170176.53664*100)</f>
        <v>1.7017204136717531E-2</v>
      </c>
      <c r="G68" s="28">
        <f>IF(OR(1331502.34087="",1588.00721="",231.70498=""),"-",(1588.00721-231.70498)/1331502.34087*100)</f>
        <v>0.10186254942021325</v>
      </c>
    </row>
    <row r="69" spans="1:7" s="31" customFormat="1" x14ac:dyDescent="0.2">
      <c r="A69" s="27" t="s">
        <v>72</v>
      </c>
      <c r="B69" s="32">
        <v>1532.67154</v>
      </c>
      <c r="C69" s="28">
        <f>IF(OR(11803.65034="",1532.67154=""),"-",1532.67154/11803.65034*100)</f>
        <v>12.984725028715143</v>
      </c>
      <c r="D69" s="28">
        <f>IF(11803.65034="","-",11803.65034/1331502.34087*100)</f>
        <v>0.8864911444532293</v>
      </c>
      <c r="E69" s="28">
        <f>IF(1532.67154="","-",1532.67154/2290386.35979*100)</f>
        <v>6.6917598135736667E-2</v>
      </c>
      <c r="F69" s="28">
        <f>IF(OR(1170176.53664="",381.21341="",11803.65034=""),"-",(11803.65034-381.21341)/1170176.53664*100)</f>
        <v>0.97612937640998565</v>
      </c>
      <c r="G69" s="28">
        <f>IF(OR(1331502.34087="",1532.67154="",11803.65034=""),"-",(1532.67154-11803.65034)/1331502.34087*100)</f>
        <v>-0.77138270694206756</v>
      </c>
    </row>
    <row r="70" spans="1:7" s="31" customFormat="1" x14ac:dyDescent="0.2">
      <c r="A70" s="27" t="s">
        <v>98</v>
      </c>
      <c r="B70" s="32">
        <v>1415.05962</v>
      </c>
      <c r="C70" s="28" t="s">
        <v>328</v>
      </c>
      <c r="D70" s="28">
        <f>IF(260.13842="","-",260.13842/1331502.34087*100)</f>
        <v>1.9537210864385434E-2</v>
      </c>
      <c r="E70" s="28">
        <f>IF(1415.05962="","-",1415.05962/2290386.35979*100)</f>
        <v>6.1782572793951815E-2</v>
      </c>
      <c r="F70" s="28">
        <f>IF(OR(1170176.53664="",267.43318="",260.13842=""),"-",(260.13842-267.43318)/1170176.53664*100)</f>
        <v>-6.2338969989484576E-4</v>
      </c>
      <c r="G70" s="28">
        <f>IF(OR(1331502.34087="",1415.05962="",260.13842=""),"-",(1415.05962-260.13842)/1331502.34087*100)</f>
        <v>8.673820274663413E-2</v>
      </c>
    </row>
    <row r="71" spans="1:7" s="31" customFormat="1" x14ac:dyDescent="0.2">
      <c r="A71" s="33" t="s">
        <v>78</v>
      </c>
      <c r="B71" s="32">
        <v>1076.19802</v>
      </c>
      <c r="C71" s="28" t="s">
        <v>357</v>
      </c>
      <c r="D71" s="28">
        <f>IF(9.75744="","-",9.75744/1331502.34087*100)</f>
        <v>7.3281433314075265E-4</v>
      </c>
      <c r="E71" s="28">
        <f>IF(1076.19802="","-",1076.19802/2290386.35979*100)</f>
        <v>4.6987619158659066E-2</v>
      </c>
      <c r="F71" s="28">
        <f>IF(OR(1170176.53664="",4.91="",9.75744=""),"-",(9.75744-4.91)/1170176.53664*100)</f>
        <v>4.1424860678874602E-4</v>
      </c>
      <c r="G71" s="28">
        <f>IF(OR(1331502.34087="",1076.19802="",9.75744=""),"-",(1076.19802-9.75744)/1331502.34087*100)</f>
        <v>8.0093030801822757E-2</v>
      </c>
    </row>
    <row r="72" spans="1:7" x14ac:dyDescent="0.2">
      <c r="A72" s="27" t="s">
        <v>37</v>
      </c>
      <c r="B72" s="32">
        <v>1007.20889</v>
      </c>
      <c r="C72" s="28" t="s">
        <v>18</v>
      </c>
      <c r="D72" s="28">
        <f>IF(510.70503="","-",510.70503/1331502.34087*100)</f>
        <v>3.8355548790571917E-2</v>
      </c>
      <c r="E72" s="28">
        <f>IF(1007.20889="","-",1007.20889/2290386.35979*100)</f>
        <v>4.3975501587092423E-2</v>
      </c>
      <c r="F72" s="28">
        <f>IF(OR(1170176.53664="",1309.92535="",510.70503=""),"-",(510.70503-1309.92535)/1170176.53664*100)</f>
        <v>-6.829912367708639E-2</v>
      </c>
      <c r="G72" s="28">
        <f>IF(OR(1331502.34087="",1007.20889="",510.70503=""),"-",(1007.20889-510.70503)/1331502.34087*100)</f>
        <v>3.7288996403535099E-2</v>
      </c>
    </row>
    <row r="73" spans="1:7" x14ac:dyDescent="0.2">
      <c r="A73" s="27" t="s">
        <v>75</v>
      </c>
      <c r="B73" s="34">
        <v>936.08497999999997</v>
      </c>
      <c r="C73" s="28" t="s">
        <v>332</v>
      </c>
      <c r="D73" s="28">
        <f>IF(157.16102="","-",157.16102/1331502.34087*100)</f>
        <v>1.1803285294813032E-2</v>
      </c>
      <c r="E73" s="28">
        <f>IF(936.08498="","-",936.08498/2290386.35979*100)</f>
        <v>4.0870177906832596E-2</v>
      </c>
      <c r="F73" s="28">
        <f>IF(OR(1170176.53664="",139.76087="",157.16102=""),"-",(157.16102-139.76087)/1170176.53664*100)</f>
        <v>1.4869679450215366E-3</v>
      </c>
      <c r="G73" s="28">
        <f>IF(OR(1331502.34087="",936.08498="",157.16102=""),"-",(936.08498-157.16102)/1331502.34087*100)</f>
        <v>5.8499631287997081E-2</v>
      </c>
    </row>
    <row r="74" spans="1:7" x14ac:dyDescent="0.2">
      <c r="A74" s="27" t="s">
        <v>74</v>
      </c>
      <c r="B74" s="34">
        <v>928.41309000000001</v>
      </c>
      <c r="C74" s="28">
        <f>IF(OR(1423.70239="",928.41309=""),"-",928.41309/1423.70239*100)</f>
        <v>65.211177316349094</v>
      </c>
      <c r="D74" s="28">
        <f>IF(1423.70239="","-",1423.70239/1331502.34087*100)</f>
        <v>0.10692451273271941</v>
      </c>
      <c r="E74" s="28">
        <f>IF(928.41309="","-",928.41309/2290386.35979*100)</f>
        <v>4.0535217389485498E-2</v>
      </c>
      <c r="F74" s="28">
        <f>IF(OR(1170176.53664="",592.72355="",1423.70239=""),"-",(1423.70239-592.72355)/1170176.53664*100)</f>
        <v>7.1013117592157546E-2</v>
      </c>
      <c r="G74" s="28">
        <f>IF(OR(1331502.34087="",928.41309="",1423.70239=""),"-",(928.41309-1423.70239)/1331502.34087*100)</f>
        <v>-3.7197779139943474E-2</v>
      </c>
    </row>
    <row r="75" spans="1:7" x14ac:dyDescent="0.2">
      <c r="A75" s="27" t="s">
        <v>297</v>
      </c>
      <c r="B75" s="32">
        <v>793.45667000000003</v>
      </c>
      <c r="C75" s="28">
        <f>IF(OR(730.44736="",793.45667=""),"-",793.45667/730.44736*100)</f>
        <v>108.62612604965811</v>
      </c>
      <c r="D75" s="28">
        <f>IF(730.44736="","-",730.44736/1331502.34087*100)</f>
        <v>5.4858886656010519E-2</v>
      </c>
      <c r="E75" s="28">
        <f>IF(793.45667="","-",793.45667/2290386.35979*100)</f>
        <v>3.4642918065262582E-2</v>
      </c>
      <c r="F75" s="28">
        <f>IF(OR(1170176.53664="",773.8238="",730.44736=""),"-",(730.44736-773.8238)/1170176.53664*100)</f>
        <v>-3.7068287255655839E-3</v>
      </c>
      <c r="G75" s="28">
        <f>IF(OR(1331502.34087="",793.45667="",730.44736=""),"-",(793.45667-730.44736)/1331502.34087*100)</f>
        <v>4.7321967123865449E-3</v>
      </c>
    </row>
    <row r="76" spans="1:7" x14ac:dyDescent="0.2">
      <c r="A76" s="33" t="s">
        <v>69</v>
      </c>
      <c r="B76" s="34">
        <v>782.42088000000001</v>
      </c>
      <c r="C76" s="28" t="s">
        <v>99</v>
      </c>
      <c r="D76" s="28">
        <f>IF(460.17578="","-",460.17578/1331502.34087*100)</f>
        <v>3.4560643708618818E-2</v>
      </c>
      <c r="E76" s="28">
        <f>IF(782.42088="","-",782.42088/2290386.35979*100)</f>
        <v>3.416108713080785E-2</v>
      </c>
      <c r="F76" s="28">
        <f>IF(OR(1170176.53664="",574.86521="",460.17578=""),"-",(460.17578-574.86521)/1170176.53664*100)</f>
        <v>-9.8010365452476846E-3</v>
      </c>
      <c r="G76" s="28">
        <f>IF(OR(1331502.34087="",782.42088="",460.17578=""),"-",(782.42088-460.17578)/1331502.34087*100)</f>
        <v>2.4201617234067045E-2</v>
      </c>
    </row>
    <row r="77" spans="1:7" x14ac:dyDescent="0.2">
      <c r="A77" s="27" t="s">
        <v>92</v>
      </c>
      <c r="B77" s="34">
        <v>724.80465000000004</v>
      </c>
      <c r="C77" s="28" t="s">
        <v>329</v>
      </c>
      <c r="D77" s="28">
        <f>IF(231.46488="","-",231.46488/1331502.34087*100)</f>
        <v>1.7383738120111864E-2</v>
      </c>
      <c r="E77" s="28">
        <f>IF(724.80465="","-",724.80465/2290386.35979*100)</f>
        <v>3.1645518971151032E-2</v>
      </c>
      <c r="F77" s="28">
        <f>IF(OR(1170176.53664="",183.36195="",231.46488=""),"-",(231.46488-183.36195)/1170176.53664*100)</f>
        <v>4.1107412850817275E-3</v>
      </c>
      <c r="G77" s="28">
        <f>IF(OR(1331502.34087="",724.80465="",231.46488=""),"-",(724.80465-231.46488)/1331502.34087*100)</f>
        <v>3.7051363325253578E-2</v>
      </c>
    </row>
    <row r="78" spans="1:7" x14ac:dyDescent="0.2">
      <c r="A78" s="27" t="s">
        <v>135</v>
      </c>
      <c r="B78" s="32">
        <v>395.24745999999999</v>
      </c>
      <c r="C78" s="28">
        <f>IF(OR(483.62667="",395.24746=""),"-",395.24746/483.62667*100)</f>
        <v>81.725736920174398</v>
      </c>
      <c r="D78" s="28">
        <f>IF(483.62667="","-",483.62667/1331502.34087*100)</f>
        <v>3.6321879065116747E-2</v>
      </c>
      <c r="E78" s="28">
        <f>IF(395.24746="","-",395.24746/2290386.35979*100)</f>
        <v>1.7256802910590126E-2</v>
      </c>
      <c r="F78" s="28">
        <f>IF(OR(1170176.53664="",118.09341="",483.62667=""),"-",(483.62667-118.09341)/1170176.53664*100)</f>
        <v>3.1237445680596033E-2</v>
      </c>
      <c r="G78" s="28">
        <f>IF(OR(1331502.34087="",395.24746="",483.62667=""),"-",(395.24746-483.62667)/1331502.34087*100)</f>
        <v>-6.6375557358955353E-3</v>
      </c>
    </row>
    <row r="79" spans="1:7" x14ac:dyDescent="0.2">
      <c r="A79" s="27" t="s">
        <v>133</v>
      </c>
      <c r="B79" s="34">
        <v>379.26560000000001</v>
      </c>
      <c r="C79" s="28">
        <f>IF(OR(299.4="",379.2656=""),"-",379.2656/299.4*100)</f>
        <v>126.67521710086842</v>
      </c>
      <c r="D79" s="28">
        <f>IF(299.4="","-",299.4/1331502.34087*100)</f>
        <v>2.248587860569384E-2</v>
      </c>
      <c r="E79" s="28">
        <f>IF(379.2656="","-",379.2656/2290386.35979*100)</f>
        <v>1.6559022820707592E-2</v>
      </c>
      <c r="F79" s="28">
        <f>IF(OR(1170176.53664="",179.7168="",299.4=""),"-",(299.4-179.7168)/1170176.53664*100)</f>
        <v>1.0227790102821042E-2</v>
      </c>
      <c r="G79" s="28">
        <f>IF(OR(1331502.34087="",379.2656="",299.4=""),"-",(379.2656-299.4)/1331502.34087*100)</f>
        <v>5.9981569351065557E-3</v>
      </c>
    </row>
    <row r="80" spans="1:7" x14ac:dyDescent="0.2">
      <c r="A80" s="27" t="s">
        <v>36</v>
      </c>
      <c r="B80" s="32">
        <v>373.40300000000002</v>
      </c>
      <c r="C80" s="28">
        <f>IF(OR(533.80687="",373.403=""),"-",373.403/533.80687*100)</f>
        <v>69.950954359204871</v>
      </c>
      <c r="D80" s="28">
        <f>IF(533.80687="","-",533.80687/1331502.34087*100)</f>
        <v>4.0090569397813601E-2</v>
      </c>
      <c r="E80" s="28">
        <f>IF(373.403="","-",373.403/2290386.35979*100)</f>
        <v>1.6303057272583323E-2</v>
      </c>
      <c r="F80" s="28">
        <f>IF(OR(1170176.53664="",409.46126="",533.80687=""),"-",(533.80687-409.46126)/1170176.53664*100)</f>
        <v>1.0626226565526704E-2</v>
      </c>
      <c r="G80" s="28">
        <f>IF(OR(1331502.34087="",373.403="",533.80687=""),"-",(373.403-533.80687)/1331502.34087*100)</f>
        <v>-1.204683349600366E-2</v>
      </c>
    </row>
    <row r="81" spans="1:7" x14ac:dyDescent="0.2">
      <c r="A81" s="27" t="s">
        <v>103</v>
      </c>
      <c r="B81" s="34">
        <v>372.64132000000001</v>
      </c>
      <c r="C81" s="28" t="s">
        <v>313</v>
      </c>
      <c r="D81" s="28">
        <f>IF(85.76053="","-",85.76053/1331502.34087*100)</f>
        <v>6.4408846584501165E-3</v>
      </c>
      <c r="E81" s="28">
        <f>IF(372.64132="","-",372.64132/2290386.35979*100)</f>
        <v>1.6269801747953415E-2</v>
      </c>
      <c r="F81" s="28">
        <f>IF(OR(1170176.53664="",98.84948="",85.76053=""),"-",(85.76053-98.84948)/1170176.53664*100)</f>
        <v>-1.1185449024284067E-3</v>
      </c>
      <c r="G81" s="28">
        <f>IF(OR(1331502.34087="",372.64132="",85.76053=""),"-",(372.64132-85.76053)/1331502.34087*100)</f>
        <v>2.1545646687526881E-2</v>
      </c>
    </row>
    <row r="82" spans="1:7" x14ac:dyDescent="0.2">
      <c r="A82" s="27" t="s">
        <v>202</v>
      </c>
      <c r="B82" s="32">
        <v>338.37229000000002</v>
      </c>
      <c r="C82" s="28" t="s">
        <v>99</v>
      </c>
      <c r="D82" s="28">
        <f>IF(196.42507="","-",196.42507/1331502.34087*100)</f>
        <v>1.475213854086478E-2</v>
      </c>
      <c r="E82" s="28">
        <f>IF(338.37229="","-",338.37229/2290386.35979*100)</f>
        <v>1.4773589990774504E-2</v>
      </c>
      <c r="F82" s="28">
        <f>IF(OR(1170176.53664="",81.7743="",196.42507=""),"-",(196.42507-81.7743)/1170176.53664*100)</f>
        <v>9.7977327702368586E-3</v>
      </c>
      <c r="G82" s="28">
        <f>IF(OR(1331502.34087="",338.37229="",196.42507=""),"-",(338.37229-196.42507)/1331502.34087*100)</f>
        <v>1.0660681220226176E-2</v>
      </c>
    </row>
    <row r="83" spans="1:7" x14ac:dyDescent="0.2">
      <c r="A83" s="27" t="s">
        <v>84</v>
      </c>
      <c r="B83" s="32">
        <v>328.45526000000001</v>
      </c>
      <c r="C83" s="28" t="s">
        <v>334</v>
      </c>
      <c r="D83" s="28">
        <f>IF(27.5959="","-",27.5959/1331502.34087*100)</f>
        <v>2.072538601920062E-3</v>
      </c>
      <c r="E83" s="28">
        <f>IF(328.45526="","-",328.45526/2290386.35979*100)</f>
        <v>1.4340604963702073E-2</v>
      </c>
      <c r="F83" s="28">
        <f>IF(OR(1170176.53664="",999.12187="",27.5959=""),"-",(27.5959-999.12187)/1170176.53664*100)</f>
        <v>-8.3023880549647849E-2</v>
      </c>
      <c r="G83" s="28">
        <f>IF(OR(1331502.34087="",328.45526="",27.5959=""),"-",(328.45526-27.5959)/1331502.34087*100)</f>
        <v>2.2595481116722587E-2</v>
      </c>
    </row>
    <row r="84" spans="1:7" x14ac:dyDescent="0.2">
      <c r="A84" s="27" t="s">
        <v>89</v>
      </c>
      <c r="B84" s="32">
        <v>305.26047999999997</v>
      </c>
      <c r="C84" s="28">
        <f>IF(OR(234.12068="",305.26048=""),"-",305.26048/234.12068*100)</f>
        <v>130.38595309051723</v>
      </c>
      <c r="D84" s="28">
        <f>IF(234.12068="","-",234.12068/1331502.34087*100)</f>
        <v>1.7583197025926832E-2</v>
      </c>
      <c r="E84" s="28">
        <f>IF(305.26048="","-",305.26048/2290386.35979*100)</f>
        <v>1.3327903333653654E-2</v>
      </c>
      <c r="F84" s="28">
        <f>IF(OR(1170176.53664="",579.12718="",234.12068=""),"-",(234.12068-579.12718)/1170176.53664*100)</f>
        <v>-2.9483286427075216E-2</v>
      </c>
      <c r="G84" s="28">
        <f>IF(OR(1331502.34087="",305.26048="",234.12068=""),"-",(305.26048-234.12068)/1331502.34087*100)</f>
        <v>5.3428220001113498E-3</v>
      </c>
    </row>
    <row r="85" spans="1:7" x14ac:dyDescent="0.2">
      <c r="A85" s="27" t="s">
        <v>82</v>
      </c>
      <c r="B85" s="34">
        <v>300.23392000000001</v>
      </c>
      <c r="C85" s="28" t="s">
        <v>321</v>
      </c>
      <c r="D85" s="28">
        <f>IF(87.93338="","-",87.93338/1331502.34087*100)</f>
        <v>6.6040725052382981E-3</v>
      </c>
      <c r="E85" s="28">
        <f>IF(300.23392="","-",300.23392/2290386.35979*100)</f>
        <v>1.3108439923975436E-2</v>
      </c>
      <c r="F85" s="28">
        <f>IF(OR(1170176.53664="",564.59884="",87.93338=""),"-",(87.93338-564.59884)/1170176.53664*100)</f>
        <v>-4.0734491341680709E-2</v>
      </c>
      <c r="G85" s="28">
        <f>IF(OR(1331502.34087="",300.23392="",87.93338=""),"-",(300.23392-87.93338)/1331502.34087*100)</f>
        <v>1.5944436106757682E-2</v>
      </c>
    </row>
    <row r="86" spans="1:7" x14ac:dyDescent="0.2">
      <c r="A86" s="27" t="s">
        <v>312</v>
      </c>
      <c r="B86" s="32">
        <v>298.71176000000003</v>
      </c>
      <c r="C86" s="28">
        <f>IF(OR(399.70445="",298.71176=""),"-",298.71176/399.70445*100)</f>
        <v>74.73315846245896</v>
      </c>
      <c r="D86" s="28">
        <f>IF(399.70445="","-",399.70445/1331502.34087*100)</f>
        <v>3.0019057250686786E-2</v>
      </c>
      <c r="E86" s="28">
        <f>IF(298.71176="","-",298.71176/2290386.35979*100)</f>
        <v>1.3041981267622821E-2</v>
      </c>
      <c r="F86" s="28">
        <f>IF(OR(1170176.53664="",267.32271="",399.70445=""),"-",(399.70445-267.32271)/1170176.53664*100)</f>
        <v>1.1312971663242872E-2</v>
      </c>
      <c r="G86" s="28">
        <f>IF(OR(1331502.34087="",298.71176="",399.70445=""),"-",(298.71176-399.70445)/1331502.34087*100)</f>
        <v>-7.5848676265947565E-3</v>
      </c>
    </row>
    <row r="87" spans="1:7" x14ac:dyDescent="0.2">
      <c r="A87" s="27" t="s">
        <v>123</v>
      </c>
      <c r="B87" s="32">
        <v>295.30430999999999</v>
      </c>
      <c r="C87" s="28">
        <f>IF(OR(305.84127="",295.30431=""),"-",295.30431/305.84127*100)</f>
        <v>96.554761886778721</v>
      </c>
      <c r="D87" s="28">
        <f>IF(305.84127="","-",305.84127/1331502.34087*100)</f>
        <v>2.2969638175789023E-2</v>
      </c>
      <c r="E87" s="28">
        <f>IF(295.30431="","-",295.30431/2290386.35979*100)</f>
        <v>1.2893209424591393E-2</v>
      </c>
      <c r="F87" s="28">
        <f>IF(OR(1170176.53664="",63.79511="",305.84127=""),"-",(305.84127-63.79511)/1170176.53664*100)</f>
        <v>2.068458496826488E-2</v>
      </c>
      <c r="G87" s="28">
        <f>IF(OR(1331502.34087="",295.30431="",305.84127=""),"-",(295.30431-305.84127)/1331502.34087*100)</f>
        <v>-7.9135872890131011E-4</v>
      </c>
    </row>
    <row r="88" spans="1:7" x14ac:dyDescent="0.2">
      <c r="A88" s="27" t="s">
        <v>63</v>
      </c>
      <c r="B88" s="32">
        <v>259.72861999999998</v>
      </c>
      <c r="C88" s="28">
        <f>IF(OR(924.52369="",259.72862=""),"-",259.72862/924.52369*100)</f>
        <v>28.093235772033054</v>
      </c>
      <c r="D88" s="28">
        <f>IF(924.52369="","-",924.52369/1331502.34087*100)</f>
        <v>6.9434627459679779E-2</v>
      </c>
      <c r="E88" s="28">
        <f>IF(259.72862="","-",259.72862/2290386.35979*100)</f>
        <v>1.1339947903977819E-2</v>
      </c>
      <c r="F88" s="28">
        <f>IF(OR(1170176.53664="",4405.77965="",924.52369=""),"-",(924.52369-4405.77965)/1170176.53664*100)</f>
        <v>-0.29749835610240016</v>
      </c>
      <c r="G88" s="28">
        <f>IF(OR(1331502.34087="",259.72862="",924.52369=""),"-",(259.72862-924.52369)/1331502.34087*100)</f>
        <v>-4.992819385999913E-2</v>
      </c>
    </row>
    <row r="89" spans="1:7" x14ac:dyDescent="0.2">
      <c r="A89" s="27" t="s">
        <v>85</v>
      </c>
      <c r="B89" s="32">
        <v>248.39429999999999</v>
      </c>
      <c r="C89" s="28">
        <f>IF(OR(671.3453="",248.3943=""),"-",248.3943/671.3453*100)</f>
        <v>36.999484467977958</v>
      </c>
      <c r="D89" s="28">
        <f>IF(671.3453="","-",671.3453/1331502.34087*100)</f>
        <v>5.0420136667679062E-2</v>
      </c>
      <c r="E89" s="28">
        <f>IF(248.3943="","-",248.3943/2290386.35979*100)</f>
        <v>1.0845082924034469E-2</v>
      </c>
      <c r="F89" s="28">
        <f>IF(OR(1170176.53664="",10.25096="",671.3453=""),"-",(671.3453-10.25096)/1170176.53664*100)</f>
        <v>5.6495265398009163E-2</v>
      </c>
      <c r="G89" s="28">
        <f>IF(OR(1331502.34087="",248.3943="",671.3453=""),"-",(248.3943-671.3453)/1331502.34087*100)</f>
        <v>-3.1764946032587893E-2</v>
      </c>
    </row>
    <row r="90" spans="1:7" x14ac:dyDescent="0.2">
      <c r="A90" s="27" t="s">
        <v>80</v>
      </c>
      <c r="B90" s="32">
        <v>225.37530000000001</v>
      </c>
      <c r="C90" s="28">
        <f>IF(OR(337.58773="",225.3753=""),"-",225.3753/337.58773*100)</f>
        <v>66.760512889493938</v>
      </c>
      <c r="D90" s="28">
        <f>IF(337.58773="","-",337.58773/1331502.34087*100)</f>
        <v>2.5353896845530226E-2</v>
      </c>
      <c r="E90" s="28">
        <f>IF(225.3753="","-",225.3753/2290386.35979*100)</f>
        <v>9.8400559816756907E-3</v>
      </c>
      <c r="F90" s="28">
        <f>IF(OR(1170176.53664="",132.91601="",337.58773=""),"-",(337.58773-132.91601)/1170176.53664*100)</f>
        <v>1.7490670304130908E-2</v>
      </c>
      <c r="G90" s="28">
        <f>IF(OR(1331502.34087="",225.3753="",337.58773=""),"-",(225.3753-337.58773)/1331502.34087*100)</f>
        <v>-8.427505273981022E-3</v>
      </c>
    </row>
    <row r="91" spans="1:7" x14ac:dyDescent="0.2">
      <c r="A91" s="27" t="s">
        <v>119</v>
      </c>
      <c r="B91" s="32">
        <v>220.46897000000001</v>
      </c>
      <c r="C91" s="28">
        <f>IF(OR(241.57955="",220.46897=""),"-",220.46897/241.57955*100)</f>
        <v>91.261437485085139</v>
      </c>
      <c r="D91" s="28">
        <f>IF(241.57955="","-",241.57955/1331502.34087*100)</f>
        <v>1.8143381546152793E-2</v>
      </c>
      <c r="E91" s="28">
        <f>IF(220.46897="","-",220.46897/2290386.35979*100)</f>
        <v>9.6258419046913232E-3</v>
      </c>
      <c r="F91" s="28">
        <f>IF(OR(1170176.53664="",602.29359="",241.57955=""),"-",(241.57955-602.29359)/1170176.53664*100)</f>
        <v>-3.0825608675742241E-2</v>
      </c>
      <c r="G91" s="28">
        <f>IF(OR(1331502.34087="",220.46897="",241.57955=""),"-",(220.46897-241.57955)/1331502.34087*100)</f>
        <v>-1.5854707387300878E-3</v>
      </c>
    </row>
    <row r="92" spans="1:7" x14ac:dyDescent="0.2">
      <c r="A92" s="33" t="s">
        <v>79</v>
      </c>
      <c r="B92" s="34">
        <v>215.4873</v>
      </c>
      <c r="C92" s="28" t="s">
        <v>358</v>
      </c>
      <c r="D92" s="28">
        <f>IF(0.85315="","-",0.85315/1331502.34087*100)</f>
        <v>6.4074239587333666E-5</v>
      </c>
      <c r="E92" s="28">
        <f>IF(215.4873="","-",215.4873/2290386.35979*100)</f>
        <v>9.4083384263499333E-3</v>
      </c>
      <c r="F92" s="28">
        <f>IF(OR(1170176.53664="",302.39389="",0.85315=""),"-",(0.85315-302.39389)/1170176.53664*100)</f>
        <v>-2.5768824665193889E-2</v>
      </c>
      <c r="G92" s="28">
        <f>IF(OR(1331502.34087="",215.4873="",0.85315=""),"-",(215.4873-0.85315)/1331502.34087*100)</f>
        <v>1.611969753352132E-2</v>
      </c>
    </row>
    <row r="93" spans="1:7" x14ac:dyDescent="0.2">
      <c r="A93" s="27" t="s">
        <v>128</v>
      </c>
      <c r="B93" s="34">
        <v>203.64884000000001</v>
      </c>
      <c r="C93" s="28">
        <f>IF(OR(279.90912="",203.64884=""),"-",203.64884/279.90912*100)</f>
        <v>72.755342877002377</v>
      </c>
      <c r="D93" s="28">
        <f>IF(279.90912="","-",279.90912/1331502.34087*100)</f>
        <v>2.1022052414651268E-2</v>
      </c>
      <c r="E93" s="28">
        <f>IF(203.64884="","-",203.64884/2290386.35979*100)</f>
        <v>8.8914623128768574E-3</v>
      </c>
      <c r="F93" s="28">
        <f>IF(OR(1170176.53664="",171.72573="",279.90912=""),"-",(279.90912-171.72573)/1170176.53664*100)</f>
        <v>9.2450486411762792E-3</v>
      </c>
      <c r="G93" s="28">
        <f>IF(OR(1331502.34087="",203.64884="",279.90912=""),"-",(203.64884-279.90912)/1331502.34087*100)</f>
        <v>-5.727386100588581E-3</v>
      </c>
    </row>
    <row r="94" spans="1:7" x14ac:dyDescent="0.2">
      <c r="A94" s="27" t="s">
        <v>311</v>
      </c>
      <c r="B94" s="34">
        <v>178.69909000000001</v>
      </c>
      <c r="C94" s="28" t="s">
        <v>359</v>
      </c>
      <c r="D94" s="28">
        <f>IF(9.98064="","-",9.98064/1331502.34087*100)</f>
        <v>7.4957735286283289E-4</v>
      </c>
      <c r="E94" s="28">
        <f>IF(178.69909="","-",178.69909/2290386.35979*100)</f>
        <v>7.8021373658715152E-3</v>
      </c>
      <c r="F94" s="28">
        <f>IF(OR(1170176.53664="",0.73745="",9.98064=""),"-",(9.98064-0.73745)/1170176.53664*100)</f>
        <v>7.8989705489571158E-4</v>
      </c>
      <c r="G94" s="28">
        <f>IF(OR(1331502.34087="",178.69909="",9.98064=""),"-",(178.69909-9.98064)/1331502.34087*100)</f>
        <v>1.267128451984244E-2</v>
      </c>
    </row>
    <row r="95" spans="1:7" x14ac:dyDescent="0.2">
      <c r="A95" s="27" t="s">
        <v>291</v>
      </c>
      <c r="B95" s="34">
        <v>176.90536</v>
      </c>
      <c r="C95" s="28">
        <f>IF(OR(211.45377="",176.90536=""),"-",176.90536/211.45377*100)</f>
        <v>83.661483075000277</v>
      </c>
      <c r="D95" s="28">
        <f>IF(211.45377="","-",211.45377/1331502.34087*100)</f>
        <v>1.5880841025171361E-2</v>
      </c>
      <c r="E95" s="28">
        <f>IF(176.90536="","-",176.90536/2290386.35979*100)</f>
        <v>7.7238217580120417E-3</v>
      </c>
      <c r="F95" s="28">
        <f>IF(OR(1170176.53664="",50.18097="",211.45377=""),"-",(211.45377-50.18097)/1170176.53664*100)</f>
        <v>1.3781920500907709E-2</v>
      </c>
      <c r="G95" s="28">
        <f>IF(OR(1331502.34087="",176.90536="",211.45377=""),"-",(176.90536-211.45377)/1331502.34087*100)</f>
        <v>-2.5946938987299229E-3</v>
      </c>
    </row>
    <row r="96" spans="1:7" x14ac:dyDescent="0.2">
      <c r="A96" s="33" t="s">
        <v>305</v>
      </c>
      <c r="B96" s="34">
        <v>175.22929999999999</v>
      </c>
      <c r="C96" s="28">
        <f>IF(OR(137.48984="",175.2293=""),"-",175.2293/137.48984*100)</f>
        <v>127.4489082247823</v>
      </c>
      <c r="D96" s="28">
        <f>IF(137.48984="","-",137.48984/1331502.34087*100)</f>
        <v>1.0325918008537972E-2</v>
      </c>
      <c r="E96" s="28">
        <f>IF(175.2293="","-",175.2293/2290386.35979*100)</f>
        <v>7.6506437113110616E-3</v>
      </c>
      <c r="F96" s="28">
        <f>IF(OR(1170176.53664="",789.02332="",137.48984=""),"-",(137.48984-789.02332)/1170176.53664*100)</f>
        <v>-5.5678221157192939E-2</v>
      </c>
      <c r="G96" s="28">
        <f>IF(OR(1331502.34087="",175.2293="",137.48984=""),"-",(175.2293-137.48984)/1331502.34087*100)</f>
        <v>2.8343517575298554E-3</v>
      </c>
    </row>
    <row r="97" spans="1:7" x14ac:dyDescent="0.2">
      <c r="A97" s="27" t="s">
        <v>59</v>
      </c>
      <c r="B97" s="34">
        <v>139.03816</v>
      </c>
      <c r="C97" s="28" t="s">
        <v>290</v>
      </c>
      <c r="D97" s="28">
        <f>IF(37.77762="","-",37.77762/1331502.34087*100)</f>
        <v>2.8372176931597587E-3</v>
      </c>
      <c r="E97" s="28">
        <f>IF(139.03816="","-",139.03816/2290386.35979*100)</f>
        <v>6.0705111784174291E-3</v>
      </c>
      <c r="F97" s="28">
        <f>IF(OR(1170176.53664="",2412.38479="",37.77762=""),"-",(37.77762-2412.38479)/1170176.53664*100)</f>
        <v>-0.20292725889192378</v>
      </c>
      <c r="G97" s="28">
        <f>IF(OR(1331502.34087="",139.03816="",37.77762=""),"-",(139.03816-37.77762)/1331502.34087*100)</f>
        <v>7.6049840012926044E-3</v>
      </c>
    </row>
    <row r="98" spans="1:7" x14ac:dyDescent="0.2">
      <c r="A98" s="27" t="s">
        <v>126</v>
      </c>
      <c r="B98" s="32">
        <v>137.97846000000001</v>
      </c>
      <c r="C98" s="28" t="s">
        <v>194</v>
      </c>
      <c r="D98" s="28">
        <f>IF(63.35655="","-",63.35655/1331502.34087*100)</f>
        <v>4.7582755249685107E-3</v>
      </c>
      <c r="E98" s="28">
        <f>IF(137.97846="","-",137.97846/2290386.35979*100)</f>
        <v>6.0242438752844702E-3</v>
      </c>
      <c r="F98" s="28">
        <f>IF(OR(1170176.53664="",1.07711="",63.35655=""),"-",(63.35655-1.07711)/1170176.53664*100)</f>
        <v>5.3222260103442847E-3</v>
      </c>
      <c r="G98" s="28">
        <f>IF(OR(1331502.34087="",137.97846="",63.35655=""),"-",(137.97846-63.35655)/1331502.34087*100)</f>
        <v>5.6043393773714482E-3</v>
      </c>
    </row>
    <row r="99" spans="1:7" x14ac:dyDescent="0.2">
      <c r="A99" s="27" t="s">
        <v>310</v>
      </c>
      <c r="B99" s="34">
        <v>117.96092</v>
      </c>
      <c r="C99" s="28" t="s">
        <v>322</v>
      </c>
      <c r="D99" s="28">
        <f>IF(1.47513="","-",1.47513/1331502.34087*100)</f>
        <v>1.1078688746699118E-4</v>
      </c>
      <c r="E99" s="28">
        <f>IF(117.96092="","-",117.96092/2290386.35979*100)</f>
        <v>5.1502629456287689E-3</v>
      </c>
      <c r="F99" s="28">
        <f>IF(OR(1170176.53664="",44.72959="",1.47513=""),"-",(1.47513-44.72959)/1170176.53664*100)</f>
        <v>-3.6964046573860721E-3</v>
      </c>
      <c r="G99" s="28">
        <f>IF(OR(1331502.34087="",117.96092="",1.47513=""),"-",(117.96092-1.47513)/1331502.34087*100)</f>
        <v>8.7484480067747013E-3</v>
      </c>
    </row>
    <row r="100" spans="1:7" x14ac:dyDescent="0.2">
      <c r="A100" s="27" t="s">
        <v>94</v>
      </c>
      <c r="B100" s="34">
        <v>117.22409</v>
      </c>
      <c r="C100" s="28" t="s">
        <v>18</v>
      </c>
      <c r="D100" s="28">
        <f>IF(59.40173="","-",59.40173/1331502.34087*100)</f>
        <v>4.4612561447835743E-3</v>
      </c>
      <c r="E100" s="28">
        <f>IF(117.22409="","-",117.22409/2290386.35979*100)</f>
        <v>5.1180923907854564E-3</v>
      </c>
      <c r="F100" s="28">
        <f>IF(OR(1170176.53664="",74.83124="",59.40173=""),"-",(59.40173-74.83124)/1170176.53664*100)</f>
        <v>-1.3185625858046766E-3</v>
      </c>
      <c r="G100" s="28">
        <f>IF(OR(1331502.34087="",117.22409="",59.40173=""),"-",(117.22409-59.40173)/1331502.34087*100)</f>
        <v>4.3426405065288155E-3</v>
      </c>
    </row>
    <row r="101" spans="1:7" x14ac:dyDescent="0.2">
      <c r="A101" s="27" t="s">
        <v>83</v>
      </c>
      <c r="B101" s="34">
        <v>106.1322</v>
      </c>
      <c r="C101" s="28">
        <f>IF(OR(104.18641="",106.1322=""),"-",106.1322/104.18641*100)</f>
        <v>101.86760442172833</v>
      </c>
      <c r="D101" s="28">
        <f>IF(104.18641="","-",104.18641/1331502.34087*100)</f>
        <v>7.8247260107650197E-3</v>
      </c>
      <c r="E101" s="28">
        <f>IF(106.1322="","-",106.1322/2290386.35979*100)</f>
        <v>4.6338120879191314E-3</v>
      </c>
      <c r="F101" s="28">
        <f>IF(OR(1170176.53664="",249.24138="",104.18641=""),"-",(104.18641-249.24138)/1170176.53664*100)</f>
        <v>-1.2395990302156053E-2</v>
      </c>
      <c r="G101" s="28">
        <f>IF(OR(1331502.34087="",106.1322="",104.18641=""),"-",(106.1322-104.18641)/1331502.34087*100)</f>
        <v>1.4613492896517393E-4</v>
      </c>
    </row>
    <row r="102" spans="1:7" x14ac:dyDescent="0.2">
      <c r="A102" s="27" t="s">
        <v>304</v>
      </c>
      <c r="B102" s="34">
        <v>105.38431</v>
      </c>
      <c r="C102" s="28" t="s">
        <v>313</v>
      </c>
      <c r="D102" s="28">
        <f>IF(24.63456="","-",24.63456/1331502.34087*100)</f>
        <v>1.8501326842507724E-3</v>
      </c>
      <c r="E102" s="28">
        <f>IF(105.38431="","-",105.38431/2290386.35979*100)</f>
        <v>4.6011586451144611E-3</v>
      </c>
      <c r="F102" s="28" t="str">
        <f>IF(OR(1170176.53664="",""="",24.63456=""),"-",(24.63456-"")/1170176.53664*100)</f>
        <v>-</v>
      </c>
      <c r="G102" s="28">
        <f>IF(OR(1331502.34087="",105.38431="",24.63456=""),"-",(105.38431-24.63456)/1331502.34087*100)</f>
        <v>6.0645593718775094E-3</v>
      </c>
    </row>
    <row r="103" spans="1:7" x14ac:dyDescent="0.2">
      <c r="A103" s="27" t="s">
        <v>97</v>
      </c>
      <c r="B103" s="34">
        <v>97.943200000000004</v>
      </c>
      <c r="C103" s="28">
        <f>IF(OR(275.38569="",97.9432=""),"-",97.9432/275.38569*100)</f>
        <v>35.565827694242209</v>
      </c>
      <c r="D103" s="28">
        <f>IF(275.38569="","-",275.38569/1331502.34087*100)</f>
        <v>2.0682328640899254E-2</v>
      </c>
      <c r="E103" s="28">
        <f>IF(97.9432="","-",97.9432/2290386.35979*100)</f>
        <v>4.2762741570369894E-3</v>
      </c>
      <c r="F103" s="28">
        <f>IF(OR(1170176.53664="",68.83726="",275.38569=""),"-",(275.38569-68.83726)/1170176.53664*100)</f>
        <v>1.765104866938071E-2</v>
      </c>
      <c r="G103" s="28">
        <f>IF(OR(1331502.34087="",97.9432="",275.38569=""),"-",(97.9432-275.38569)/1331502.34087*100)</f>
        <v>-1.3326487273320121E-2</v>
      </c>
    </row>
    <row r="104" spans="1:7" x14ac:dyDescent="0.2">
      <c r="A104" s="27" t="s">
        <v>346</v>
      </c>
      <c r="B104" s="34">
        <v>84.910650000000004</v>
      </c>
      <c r="C104" s="28" t="str">
        <f>IF(OR(""="",84.91065=""),"-",84.91065/""*100)</f>
        <v>-</v>
      </c>
      <c r="D104" s="28" t="str">
        <f>IF(""="","-",""/1331502.34087*100)</f>
        <v>-</v>
      </c>
      <c r="E104" s="28">
        <f>IF(84.91065="","-",84.91065/2290386.35979*100)</f>
        <v>3.7072631714321442E-3</v>
      </c>
      <c r="F104" s="28" t="str">
        <f>IF(OR(1170176.53664="",""="",""=""),"-",(""-"")/1170176.53664*100)</f>
        <v>-</v>
      </c>
      <c r="G104" s="28" t="str">
        <f>IF(OR(1331502.34087="",84.91065="",""=""),"-",(84.91065-"")/1331502.34087*100)</f>
        <v>-</v>
      </c>
    </row>
    <row r="105" spans="1:7" x14ac:dyDescent="0.2">
      <c r="A105" s="27" t="s">
        <v>319</v>
      </c>
      <c r="B105" s="32">
        <v>72.69</v>
      </c>
      <c r="C105" s="28" t="s">
        <v>195</v>
      </c>
      <c r="D105" s="28">
        <f>IF(39.46925="","-",39.46925/1331502.34087*100)</f>
        <v>2.9642644093446279E-3</v>
      </c>
      <c r="E105" s="28">
        <f>IF(72.69="","-",72.69/2290386.35979*100)</f>
        <v>3.1737003536235152E-3</v>
      </c>
      <c r="F105" s="28" t="str">
        <f>IF(OR(1170176.53664="",""="",39.46925=""),"-",(39.46925-"")/1170176.53664*100)</f>
        <v>-</v>
      </c>
      <c r="G105" s="28">
        <f>IF(OR(1331502.34087="",72.69="",39.46925=""),"-",(72.69-39.46925)/1331502.34087*100)</f>
        <v>2.494982470574828E-3</v>
      </c>
    </row>
    <row r="106" spans="1:7" x14ac:dyDescent="0.2">
      <c r="A106" s="27" t="s">
        <v>71</v>
      </c>
      <c r="B106" s="34">
        <v>55.929729999999999</v>
      </c>
      <c r="C106" s="28">
        <f>IF(OR(45.75="",55.92973=""),"-",55.92973/45.75*100)</f>
        <v>122.25077595628416</v>
      </c>
      <c r="D106" s="28">
        <f>IF(45.75="","-",45.75/1331502.34087*100)</f>
        <v>3.4359684242167444E-3</v>
      </c>
      <c r="E106" s="28">
        <f>IF(55.92973="","-",55.92973/2290386.35979*100)</f>
        <v>2.4419342946631964E-3</v>
      </c>
      <c r="F106" s="28">
        <f>IF(OR(1170176.53664="",42.02936="",45.75=""),"-",(45.75-42.02936)/1170176.53664*100)</f>
        <v>3.1795544377289482E-4</v>
      </c>
      <c r="G106" s="28">
        <f>IF(OR(1331502.34087="",55.92973="",45.75=""),"-",(55.92973-45.75)/1331502.34087*100)</f>
        <v>7.645296360011348E-4</v>
      </c>
    </row>
    <row r="107" spans="1:7" x14ac:dyDescent="0.2">
      <c r="A107" s="27" t="s">
        <v>331</v>
      </c>
      <c r="B107" s="34">
        <v>50.638629999999999</v>
      </c>
      <c r="C107" s="28">
        <f>IF(OR(150.50017="",50.63863=""),"-",50.63863/150.50017*100)</f>
        <v>33.646892226101805</v>
      </c>
      <c r="D107" s="28">
        <f>IF(150.50017="","-",150.50017/1331502.34087*100)</f>
        <v>1.130303457834431E-2</v>
      </c>
      <c r="E107" s="28">
        <f>IF(50.63863="","-",50.63863/2290386.35979*100)</f>
        <v>2.2109208685927961E-3</v>
      </c>
      <c r="F107" s="28">
        <f>IF(OR(1170176.53664="",129.00573="",150.50017=""),"-",(150.50017-129.00573)/1170176.53664*100)</f>
        <v>1.8368544682769239E-3</v>
      </c>
      <c r="G107" s="28">
        <f>IF(OR(1331502.34087="",50.63863="",150.50017=""),"-",(50.63863-150.50017)/1331502.34087*100)</f>
        <v>-7.4999147154897784E-3</v>
      </c>
    </row>
    <row r="108" spans="1:7" x14ac:dyDescent="0.2">
      <c r="A108" s="27" t="s">
        <v>201</v>
      </c>
      <c r="B108" s="34">
        <v>48.742350000000002</v>
      </c>
      <c r="C108" s="28">
        <f>IF(OR(2085.50385="",48.74235=""),"-",48.74235/2085.50385*100)</f>
        <v>2.3371977951515173</v>
      </c>
      <c r="D108" s="28">
        <f>IF(2085.50385="","-",2085.50385/1331502.34087*100)</f>
        <v>0.15662787709688422</v>
      </c>
      <c r="E108" s="28">
        <f>IF(48.74235="","-",48.74235/2290386.35979*100)</f>
        <v>2.1281278502055466E-3</v>
      </c>
      <c r="F108" s="28">
        <f>IF(OR(1170176.53664="",15.83932="",2085.50385=""),"-",(2085.50385-15.83932)/1170176.53664*100)</f>
        <v>0.17686771740807206</v>
      </c>
      <c r="G108" s="28">
        <f>IF(OR(1331502.34087="",48.74235="",2085.50385=""),"-",(48.74235-2085.50385)/1331502.34087*100)</f>
        <v>-0.15296717380678324</v>
      </c>
    </row>
    <row r="109" spans="1:7" x14ac:dyDescent="0.2">
      <c r="A109" s="35" t="s">
        <v>320</v>
      </c>
      <c r="B109" s="36">
        <v>44.763089999999998</v>
      </c>
      <c r="C109" s="37">
        <f>IF(OR(83.75028="",44.76309=""),"-",44.76309/83.75028*100)</f>
        <v>53.448286978861439</v>
      </c>
      <c r="D109" s="37">
        <f>IF(83.75028="","-",83.75028/1331502.34087*100)</f>
        <v>6.2899085814057086E-3</v>
      </c>
      <c r="E109" s="37">
        <f>IF(44.76309="","-",44.76309/2290386.35979*100)</f>
        <v>1.9543903502858887E-3</v>
      </c>
      <c r="F109" s="37">
        <f>IF(OR(1170176.53664="",255.3744="",83.75028=""),"-",(83.75028-255.3744)/1170176.53664*100)</f>
        <v>-1.466651523306004E-2</v>
      </c>
      <c r="G109" s="37">
        <f>IF(OR(1331502.34087="",44.76309="",83.75028=""),"-",(44.76309-83.75028)/1331502.34087*100)</f>
        <v>-2.9280601921079525E-3</v>
      </c>
    </row>
    <row r="110" spans="1:7" x14ac:dyDescent="0.2">
      <c r="A110" s="38" t="s">
        <v>347</v>
      </c>
      <c r="B110" s="39">
        <v>43.611890000000002</v>
      </c>
      <c r="C110" s="40" t="str">
        <f>IF(OR(""="",43.61189=""),"-",43.61189/""*100)</f>
        <v>-</v>
      </c>
      <c r="D110" s="40" t="str">
        <f>IF(""="","-",""/1331502.34087*100)</f>
        <v>-</v>
      </c>
      <c r="E110" s="40">
        <f>IF(43.61189="","-",43.61189/2290386.35979*100)</f>
        <v>1.9041280879789498E-3</v>
      </c>
      <c r="F110" s="40" t="str">
        <f>IF(OR(1170176.53664="",""="",""=""),"-",(""-"")/1170176.53664*100)</f>
        <v>-</v>
      </c>
      <c r="G110" s="40" t="str">
        <f>IF(OR(1331502.34087="",43.61189="",""=""),"-",(43.61189-"")/1331502.34087*100)</f>
        <v>-</v>
      </c>
    </row>
    <row r="111" spans="1:7" x14ac:dyDescent="0.2">
      <c r="A111" s="41" t="s">
        <v>279</v>
      </c>
      <c r="B111" s="42"/>
      <c r="C111" s="42"/>
      <c r="D111" s="42"/>
      <c r="E111" s="42"/>
    </row>
    <row r="112" spans="1:7" ht="13.5" x14ac:dyDescent="0.2">
      <c r="A112" s="43" t="s">
        <v>414</v>
      </c>
      <c r="B112" s="43"/>
      <c r="C112" s="43"/>
      <c r="D112" s="43"/>
      <c r="E112" s="43"/>
    </row>
  </sheetData>
  <mergeCells count="10">
    <mergeCell ref="A112:E11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21"/>
  <sheetViews>
    <sheetView zoomScaleNormal="100" workbookViewId="0">
      <selection sqref="A1:G1"/>
    </sheetView>
  </sheetViews>
  <sheetFormatPr defaultRowHeight="12" x14ac:dyDescent="0.2"/>
  <cols>
    <col min="1" max="1" width="30.5" style="3" customWidth="1"/>
    <col min="2" max="2" width="11.75" style="3" customWidth="1"/>
    <col min="3" max="3" width="10.25" style="3" customWidth="1"/>
    <col min="4" max="5" width="8.875" style="3" customWidth="1"/>
    <col min="6" max="6" width="9.625" style="3" customWidth="1"/>
    <col min="7" max="7" width="10.125" style="3" customWidth="1"/>
    <col min="8" max="16384" width="9" style="3"/>
  </cols>
  <sheetData>
    <row r="1" spans="1:7" x14ac:dyDescent="0.2">
      <c r="A1" s="44" t="s">
        <v>422</v>
      </c>
      <c r="B1" s="44"/>
      <c r="C1" s="44"/>
      <c r="D1" s="44"/>
      <c r="E1" s="44"/>
      <c r="F1" s="44"/>
      <c r="G1" s="44"/>
    </row>
    <row r="2" spans="1:7" x14ac:dyDescent="0.2">
      <c r="A2" s="129"/>
    </row>
    <row r="3" spans="1:7" ht="55.5" customHeight="1" x14ac:dyDescent="0.2">
      <c r="A3" s="4"/>
      <c r="B3" s="5" t="s">
        <v>342</v>
      </c>
      <c r="C3" s="6"/>
      <c r="D3" s="5" t="s">
        <v>104</v>
      </c>
      <c r="E3" s="6"/>
      <c r="F3" s="7" t="s">
        <v>114</v>
      </c>
      <c r="G3" s="8"/>
    </row>
    <row r="4" spans="1:7" ht="21" customHeight="1" x14ac:dyDescent="0.2">
      <c r="A4" s="9"/>
      <c r="B4" s="10" t="s">
        <v>95</v>
      </c>
      <c r="C4" s="11" t="s">
        <v>411</v>
      </c>
      <c r="D4" s="12" t="s">
        <v>343</v>
      </c>
      <c r="E4" s="12"/>
      <c r="F4" s="12" t="s">
        <v>423</v>
      </c>
      <c r="G4" s="5"/>
    </row>
    <row r="5" spans="1:7" ht="30" customHeight="1" x14ac:dyDescent="0.2">
      <c r="A5" s="13"/>
      <c r="B5" s="14"/>
      <c r="C5" s="15"/>
      <c r="D5" s="16" t="s">
        <v>300</v>
      </c>
      <c r="E5" s="16" t="s">
        <v>301</v>
      </c>
      <c r="F5" s="16" t="s">
        <v>300</v>
      </c>
      <c r="G5" s="17" t="s">
        <v>301</v>
      </c>
    </row>
    <row r="6" spans="1:7" x14ac:dyDescent="0.2">
      <c r="A6" s="19" t="s">
        <v>117</v>
      </c>
      <c r="B6" s="94">
        <v>4347054.0604900001</v>
      </c>
      <c r="C6" s="21">
        <f>IF(3266113.78787="","-",4347054.06049/3266113.78787*100)</f>
        <v>133.09560973149487</v>
      </c>
      <c r="D6" s="21">
        <v>100</v>
      </c>
      <c r="E6" s="21">
        <v>100</v>
      </c>
      <c r="F6" s="21">
        <f>IF(2393616.81978="","-",(3266113.78787-2393616.81978)/2393616.81978*100)</f>
        <v>36.450987513122186</v>
      </c>
      <c r="G6" s="21">
        <f>IF(3266113.78787="","-",(4347054.06049-3266113.78787)/3266113.78787*100)</f>
        <v>33.095609731494882</v>
      </c>
    </row>
    <row r="7" spans="1:7" x14ac:dyDescent="0.2">
      <c r="A7" s="109" t="s">
        <v>120</v>
      </c>
      <c r="B7" s="23"/>
      <c r="C7" s="23"/>
      <c r="D7" s="23"/>
      <c r="E7" s="23"/>
      <c r="F7" s="23"/>
      <c r="G7" s="23"/>
    </row>
    <row r="8" spans="1:7" ht="16.5" customHeight="1" x14ac:dyDescent="0.2">
      <c r="A8" s="25" t="s">
        <v>129</v>
      </c>
      <c r="B8" s="20">
        <v>1997430.13203</v>
      </c>
      <c r="C8" s="26">
        <f>IF(1548407.22914="","-",1997430.13203/1548407.22914*100)</f>
        <v>128.99901876196947</v>
      </c>
      <c r="D8" s="26">
        <f>IF(1548407.22914="","-",1548407.22914/3266113.78787*100)</f>
        <v>47.408245079844427</v>
      </c>
      <c r="E8" s="26">
        <f>IF(1997430.13203="","-",1997430.13203/4347054.06049*100)</f>
        <v>45.949052030074121</v>
      </c>
      <c r="F8" s="26">
        <f>IF(2393616.81978="","-",(1548407.22914-1118395.29231)/2393616.81978*100)</f>
        <v>17.964944650978971</v>
      </c>
      <c r="G8" s="26">
        <f>IF(3266113.78787="","-",(1997430.13203-1548407.22914)/3266113.78787*100)</f>
        <v>13.74792588542455</v>
      </c>
    </row>
    <row r="9" spans="1:7" x14ac:dyDescent="0.2">
      <c r="A9" s="27" t="s">
        <v>2</v>
      </c>
      <c r="B9" s="32">
        <v>702529.03610000003</v>
      </c>
      <c r="C9" s="28" t="s">
        <v>99</v>
      </c>
      <c r="D9" s="28">
        <f>IF(420001.61284="","-",420001.61284/3266113.78787*100)</f>
        <v>12.859368660082863</v>
      </c>
      <c r="E9" s="28">
        <f>IF(702529.0361="","-",702529.0361/4347054.06049*100)</f>
        <v>16.161037482492475</v>
      </c>
      <c r="F9" s="28">
        <f>IF(OR(2393616.81978="",294046.1009="",420001.61284=""),"-",(420001.61284-294046.1009)/2393616.81978*100)</f>
        <v>5.2621418306868648</v>
      </c>
      <c r="G9" s="28">
        <f>IF(OR(3266113.78787="",702529.0361="",420001.61284=""),"-",(702529.0361-420001.61284)/3266113.78787*100)</f>
        <v>8.6502627161759307</v>
      </c>
    </row>
    <row r="10" spans="1:7" s="31" customFormat="1" x14ac:dyDescent="0.2">
      <c r="A10" s="27" t="s">
        <v>4</v>
      </c>
      <c r="B10" s="34">
        <v>287720.74501999997</v>
      </c>
      <c r="C10" s="28">
        <f>IF(OR(271859.44526="",287720.74502=""),"-",287720.74502/271859.44526*100)</f>
        <v>105.83437509218435</v>
      </c>
      <c r="D10" s="28">
        <f>IF(271859.44526="","-",271859.44526/3266113.78787*100)</f>
        <v>8.3236366800708872</v>
      </c>
      <c r="E10" s="28">
        <f>IF(287720.74502="","-",287720.74502/4347054.06049*100)</f>
        <v>6.618752401426728</v>
      </c>
      <c r="F10" s="28">
        <f>IF(OR(2393616.81978="",197851.2621="",271859.44526=""),"-",(271859.44526-197851.2621)/2393616.81978*100)</f>
        <v>3.091897690073977</v>
      </c>
      <c r="G10" s="28">
        <f>IF(OR(3266113.78787="",287720.74502="",271859.44526=""),"-",(287720.74502-271859.44526)/3266113.78787*100)</f>
        <v>0.48563218522597551</v>
      </c>
    </row>
    <row r="11" spans="1:7" s="31" customFormat="1" x14ac:dyDescent="0.2">
      <c r="A11" s="27" t="s">
        <v>3</v>
      </c>
      <c r="B11" s="32">
        <v>228255.82307000001</v>
      </c>
      <c r="C11" s="28">
        <f>IF(OR(220030.28975="",228255.82307=""),"-",228255.82307/220030.28975*100)</f>
        <v>103.73836408130259</v>
      </c>
      <c r="D11" s="28">
        <f>IF(220030.28975="","-",220030.28975/3266113.78787*100)</f>
        <v>6.7367613022904811</v>
      </c>
      <c r="E11" s="28">
        <f>IF(228255.82307="","-",228255.82307/4347054.06049*100)</f>
        <v>5.2508162975150814</v>
      </c>
      <c r="F11" s="28">
        <f>IF(OR(2393616.81978="",160819.39079="",220030.28975=""),"-",(220030.28975-160819.39079)/2393616.81978*100)</f>
        <v>2.4736999870113769</v>
      </c>
      <c r="G11" s="28">
        <f>IF(OR(3266113.78787="",228255.82307="",220030.28975=""),"-",(228255.82307-220030.28975)/3266113.78787*100)</f>
        <v>0.25184466476792006</v>
      </c>
    </row>
    <row r="12" spans="1:7" s="31" customFormat="1" x14ac:dyDescent="0.2">
      <c r="A12" s="27" t="s">
        <v>5</v>
      </c>
      <c r="B12" s="32">
        <v>145107.88436</v>
      </c>
      <c r="C12" s="28">
        <f>IF(OR(124518.41497="",145107.88436=""),"-",145107.88436/124518.41497*100)</f>
        <v>116.53528066106573</v>
      </c>
      <c r="D12" s="28">
        <f>IF(124518.41497="","-",124518.41497/3266113.78787*100)</f>
        <v>3.8124334624362497</v>
      </c>
      <c r="E12" s="28">
        <f>IF(145107.88436="","-",145107.88436/4347054.06049*100)</f>
        <v>3.3380740690315553</v>
      </c>
      <c r="F12" s="28">
        <f>IF(OR(2393616.81978="",93094.12442="",124518.41497=""),"-",(124518.41497-93094.12442)/2393616.81978*100)</f>
        <v>1.3128371379379029</v>
      </c>
      <c r="G12" s="28">
        <f>IF(OR(3266113.78787="",145107.88436="",124518.41497=""),"-",(145107.88436-124518.41497)/3266113.78787*100)</f>
        <v>0.63039657303022023</v>
      </c>
    </row>
    <row r="13" spans="1:7" s="31" customFormat="1" x14ac:dyDescent="0.2">
      <c r="A13" s="27" t="s">
        <v>292</v>
      </c>
      <c r="B13" s="32">
        <v>102933.22986000001</v>
      </c>
      <c r="C13" s="28">
        <f>IF(OR(86471.03108="",102933.22986=""),"-",102933.22986/86471.03108*100)</f>
        <v>119.03781945744321</v>
      </c>
      <c r="D13" s="28">
        <f>IF(86471.03108="","-",86471.03108/3266113.78787*100)</f>
        <v>2.6475204691625942</v>
      </c>
      <c r="E13" s="28">
        <f>IF(102933.22986="","-",102933.22986/4347054.06049*100)</f>
        <v>2.367884742808958</v>
      </c>
      <c r="F13" s="28">
        <f>IF(OR(2393616.81978="",66048.39994="",86471.03108=""),"-",(86471.03108-66048.39994)/2393616.81978*100)</f>
        <v>0.85321221722853147</v>
      </c>
      <c r="G13" s="28">
        <f>IF(OR(3266113.78787="",102933.22986="",86471.03108=""),"-",(102933.22986-86471.03108)/3266113.78787*100)</f>
        <v>0.50403016701802816</v>
      </c>
    </row>
    <row r="14" spans="1:7" s="31" customFormat="1" x14ac:dyDescent="0.2">
      <c r="A14" s="126" t="s">
        <v>40</v>
      </c>
      <c r="B14" s="34">
        <v>92595.310209999996</v>
      </c>
      <c r="C14" s="28">
        <f>IF(OR(63833.50964="",92595.31021=""),"-",92595.31021/63833.50964*100)</f>
        <v>145.05752657531616</v>
      </c>
      <c r="D14" s="28">
        <f>IF(63833.50964="","-",63833.50964/3266113.78787*100)</f>
        <v>1.9544178122964015</v>
      </c>
      <c r="E14" s="28">
        <f>IF(92595.31021="","-",92595.31021/4347054.06049*100)</f>
        <v>2.1300703630900477</v>
      </c>
      <c r="F14" s="28">
        <f>IF(OR(2393616.81978="",48560.99087="",63833.50964=""),"-",(63833.50964-48560.99087)/2393616.81978*100)</f>
        <v>0.63805194899172335</v>
      </c>
      <c r="G14" s="28">
        <f>IF(OR(3266113.78787="",92595.31021="",63833.50964=""),"-",(92595.31021-63833.50964)/3266113.78787*100)</f>
        <v>0.88061232516816379</v>
      </c>
    </row>
    <row r="15" spans="1:7" s="31" customFormat="1" x14ac:dyDescent="0.2">
      <c r="A15" s="27" t="s">
        <v>302</v>
      </c>
      <c r="B15" s="32">
        <v>64464.638189999998</v>
      </c>
      <c r="C15" s="28">
        <f>IF(OR(55912.70591="",64464.63819=""),"-",64464.63819/55912.70591*100)</f>
        <v>115.29515007512896</v>
      </c>
      <c r="D15" s="28">
        <f>IF(55912.70591="","-",55912.70591/3266113.78787*100)</f>
        <v>1.7119031834608409</v>
      </c>
      <c r="E15" s="28">
        <f>IF(64464.63819="","-",64464.63819/4347054.06049*100)</f>
        <v>1.4829499999991613</v>
      </c>
      <c r="F15" s="28">
        <f>IF(OR(2393616.81978="",38660.09692="",55912.70591=""),"-",(55912.70591-38660.09692)/2393616.81978*100)</f>
        <v>0.72077572514658794</v>
      </c>
      <c r="G15" s="28">
        <f>IF(OR(3266113.78787="",64464.63819="",55912.70591=""),"-",(64464.63819-55912.70591)/3266113.78787*100)</f>
        <v>0.26183816105124597</v>
      </c>
    </row>
    <row r="16" spans="1:7" s="31" customFormat="1" x14ac:dyDescent="0.2">
      <c r="A16" s="27" t="s">
        <v>6</v>
      </c>
      <c r="B16" s="32">
        <v>63155.058590000001</v>
      </c>
      <c r="C16" s="28" t="s">
        <v>99</v>
      </c>
      <c r="D16" s="28">
        <f>IF(37083.88166="","-",37083.88166/3266113.78787*100)</f>
        <v>1.1354130342220654</v>
      </c>
      <c r="E16" s="28">
        <f>IF(63155.05859="","-",63155.05859/4347054.06049*100)</f>
        <v>1.452824319900019</v>
      </c>
      <c r="F16" s="28">
        <f>IF(OR(2393616.81978="",25828.23999="",37083.88166=""),"-",(37083.88166-25828.23999)/2393616.81978*100)</f>
        <v>0.47023573602037599</v>
      </c>
      <c r="G16" s="28">
        <f>IF(OR(3266113.78787="",63155.05859="",37083.88166=""),"-",(63155.05859-37083.88166)/3266113.78787*100)</f>
        <v>0.79823235267630854</v>
      </c>
    </row>
    <row r="17" spans="1:7" s="31" customFormat="1" x14ac:dyDescent="0.2">
      <c r="A17" s="27" t="s">
        <v>38</v>
      </c>
      <c r="B17" s="34">
        <v>54429.526279999998</v>
      </c>
      <c r="C17" s="28">
        <f>IF(OR(45979.51005="",54429.52628=""),"-",54429.52628/45979.51005*100)</f>
        <v>118.37778658539663</v>
      </c>
      <c r="D17" s="28">
        <f>IF(45979.51005="","-",45979.51005/3266113.78787*100)</f>
        <v>1.4077742857815614</v>
      </c>
      <c r="E17" s="28">
        <f>IF(54429.52628="","-",54429.52628/4347054.06049*100)</f>
        <v>1.2521014351927497</v>
      </c>
      <c r="F17" s="28">
        <f>IF(OR(2393616.81978="",36709.59168="",45979.51005=""),"-",(45979.51005-36709.59168)/2393616.81978*100)</f>
        <v>0.38727662228125587</v>
      </c>
      <c r="G17" s="28">
        <f>IF(OR(3266113.78787="",54429.52628="",45979.51005=""),"-",(54429.52628-45979.51005)/3266113.78787*100)</f>
        <v>0.25871775384502721</v>
      </c>
    </row>
    <row r="18" spans="1:7" s="31" customFormat="1" x14ac:dyDescent="0.2">
      <c r="A18" s="27" t="s">
        <v>330</v>
      </c>
      <c r="B18" s="32">
        <v>44127.912989999997</v>
      </c>
      <c r="C18" s="28">
        <f>IF(OR(35613.92266="",44127.91299=""),"-",44127.91299/35613.92266*100)</f>
        <v>123.90635373497496</v>
      </c>
      <c r="D18" s="28">
        <f>IF(35613.92266="","-",35613.92266/3266113.78787*100)</f>
        <v>1.0904066720598138</v>
      </c>
      <c r="E18" s="28">
        <f>IF(44127.91299="","-",44127.91299/4347054.06049*100)</f>
        <v>1.0151222500560735</v>
      </c>
      <c r="F18" s="28">
        <f>IF(OR(2393616.81978="",26354.94037="",35613.92266=""),"-",(35613.92266-26354.94037)/2393616.81978*100)</f>
        <v>0.38681973712279477</v>
      </c>
      <c r="G18" s="28">
        <f>IF(OR(3266113.78787="",44127.91299="",35613.92266=""),"-",(44127.91299-35613.92266)/3266113.78787*100)</f>
        <v>0.26067647617238743</v>
      </c>
    </row>
    <row r="19" spans="1:7" s="31" customFormat="1" x14ac:dyDescent="0.2">
      <c r="A19" s="27" t="s">
        <v>7</v>
      </c>
      <c r="B19" s="34">
        <v>40837.83829</v>
      </c>
      <c r="C19" s="28">
        <f>IF(OR(49025.34159="",40837.83829=""),"-",40837.83829/49025.34159*100)</f>
        <v>83.299446705599181</v>
      </c>
      <c r="D19" s="28">
        <f>IF(49025.34159="","-",49025.34159/3266113.78787*100)</f>
        <v>1.5010298101699615</v>
      </c>
      <c r="E19" s="28">
        <f>IF(40837.83829="","-",40837.83829/4347054.06049*100)</f>
        <v>0.9394370928388398</v>
      </c>
      <c r="F19" s="28">
        <f>IF(OR(2393616.81978="",27493.31414="",49025.34159=""),"-",(49025.34159-27493.31414)/2393616.81978*100)</f>
        <v>0.89956033363681986</v>
      </c>
      <c r="G19" s="28">
        <f>IF(OR(3266113.78787="",40837.83829="",49025.34159=""),"-",(40837.83829-49025.34159)/3266113.78787*100)</f>
        <v>-0.25068028341227799</v>
      </c>
    </row>
    <row r="20" spans="1:7" s="31" customFormat="1" ht="15.75" customHeight="1" x14ac:dyDescent="0.2">
      <c r="A20" s="27" t="s">
        <v>39</v>
      </c>
      <c r="B20" s="32">
        <v>26824.487410000002</v>
      </c>
      <c r="C20" s="28">
        <f>IF(OR(22943.97734="",26824.48741=""),"-",26824.48741/22943.97734*100)</f>
        <v>116.91297900314261</v>
      </c>
      <c r="D20" s="28">
        <f>IF(22943.97734="","-",22943.97734/3266113.78787*100)</f>
        <v>0.7024855479687051</v>
      </c>
      <c r="E20" s="28">
        <f>IF(26824.48741="","-",26824.48741/4347054.06049*100)</f>
        <v>0.61707278162941326</v>
      </c>
      <c r="F20" s="28">
        <f>IF(OR(2393616.81978="",18458.9539="",22943.97734=""),"-",(22943.97734-18458.9539)/2393616.81978*100)</f>
        <v>0.18737432837776535</v>
      </c>
      <c r="G20" s="28">
        <f>IF(OR(3266113.78787="",26824.48741="",22943.97734=""),"-",(26824.48741-22943.97734)/3266113.78787*100)</f>
        <v>0.11881123322805846</v>
      </c>
    </row>
    <row r="21" spans="1:7" s="31" customFormat="1" x14ac:dyDescent="0.2">
      <c r="A21" s="27" t="s">
        <v>42</v>
      </c>
      <c r="B21" s="32">
        <v>24908.563870000002</v>
      </c>
      <c r="C21" s="28">
        <f>IF(OR(18119.66087="",24908.56387=""),"-",24908.56387/18119.66087*100)</f>
        <v>137.46705332239478</v>
      </c>
      <c r="D21" s="28">
        <f>IF(18119.66087="","-",18119.66087/3266113.78787*100)</f>
        <v>0.5547773913234284</v>
      </c>
      <c r="E21" s="28">
        <f>IF(24908.56387="","-",24908.56387/4347054.06049*100)</f>
        <v>0.5729987141496995</v>
      </c>
      <c r="F21" s="28">
        <f>IF(OR(2393616.81978="",11956.75441="",18119.66087=""),"-",(18119.66087-11956.75441)/2393616.81978*100)</f>
        <v>0.25747255822535703</v>
      </c>
      <c r="G21" s="28">
        <f>IF(OR(3266113.78787="",24908.56387="",18119.66087=""),"-",(24908.56387-18119.66087)/3266113.78787*100)</f>
        <v>0.20785874102773966</v>
      </c>
    </row>
    <row r="22" spans="1:7" s="31" customFormat="1" x14ac:dyDescent="0.2">
      <c r="A22" s="27" t="s">
        <v>8</v>
      </c>
      <c r="B22" s="34">
        <v>22027.944390000001</v>
      </c>
      <c r="C22" s="28">
        <f>IF(OR(14219.91602="",22027.94439=""),"-",22027.94439/14219.91602*100)</f>
        <v>154.90910325362103</v>
      </c>
      <c r="D22" s="28">
        <f>IF(14219.91602="","-",14219.91602/3266113.78787*100)</f>
        <v>0.4353772386256492</v>
      </c>
      <c r="E22" s="28">
        <f>IF(22027.94439="","-",22027.94439/4347054.06049*100)</f>
        <v>0.50673269951275945</v>
      </c>
      <c r="F22" s="28">
        <f>IF(OR(2393616.81978="",12257.49323="",14219.91602=""),"-",(14219.91602-12257.49323)/2393616.81978*100)</f>
        <v>8.198567012828599E-2</v>
      </c>
      <c r="G22" s="28">
        <f>IF(OR(3266113.78787="",22027.94439="",14219.91602=""),"-",(22027.94439-14219.91602)/3266113.78787*100)</f>
        <v>0.23906173749972179</v>
      </c>
    </row>
    <row r="23" spans="1:7" s="31" customFormat="1" x14ac:dyDescent="0.2">
      <c r="A23" s="27" t="s">
        <v>48</v>
      </c>
      <c r="B23" s="32">
        <v>16692.968629999999</v>
      </c>
      <c r="C23" s="28">
        <f>IF(OR(13021.85895="",16692.96863=""),"-",16692.96863/13021.85895*100)</f>
        <v>128.19190174072651</v>
      </c>
      <c r="D23" s="28">
        <f>IF(13021.85895="","-",13021.85895/3266113.78787*100)</f>
        <v>0.39869581391688808</v>
      </c>
      <c r="E23" s="28">
        <f>IF(16692.96863="","-",16692.96863/4347054.06049*100)</f>
        <v>0.38400646501549068</v>
      </c>
      <c r="F23" s="28">
        <f>IF(OR(2393616.81978="",9232.00166="",13021.85895=""),"-",(13021.85895-9232.00166)/2393616.81978*100)</f>
        <v>0.15833182899961112</v>
      </c>
      <c r="G23" s="28">
        <f>IF(OR(3266113.78787="",16692.96863="",13021.85895=""),"-",(16692.96863-13021.85895)/3266113.78787*100)</f>
        <v>0.11239993210383885</v>
      </c>
    </row>
    <row r="24" spans="1:7" s="31" customFormat="1" x14ac:dyDescent="0.2">
      <c r="A24" s="27" t="s">
        <v>50</v>
      </c>
      <c r="B24" s="32">
        <v>14630.46243</v>
      </c>
      <c r="C24" s="28">
        <f>IF(OR(15626.33486="",14630.46243=""),"-",14630.46243/15626.33486*100)</f>
        <v>93.626960903357983</v>
      </c>
      <c r="D24" s="28">
        <f>IF(15626.33486="","-",15626.33486/3266113.78787*100)</f>
        <v>0.47843816458674981</v>
      </c>
      <c r="E24" s="28">
        <f>IF(14630.46243="","-",14630.46243/4347054.06049*100)</f>
        <v>0.33656039760294248</v>
      </c>
      <c r="F24" s="28">
        <f>IF(OR(2393616.81978="",11444.07206="",15626.33486=""),"-",(15626.33486-11444.07206)/2393616.81978*100)</f>
        <v>0.17472566057521258</v>
      </c>
      <c r="G24" s="28">
        <f>IF(OR(3266113.78787="",14630.46243="",15626.33486=""),"-",(14630.46243-15626.33486)/3266113.78787*100)</f>
        <v>-3.049105128237007E-2</v>
      </c>
    </row>
    <row r="25" spans="1:7" s="31" customFormat="1" x14ac:dyDescent="0.2">
      <c r="A25" s="27" t="s">
        <v>49</v>
      </c>
      <c r="B25" s="32">
        <v>13985.03406</v>
      </c>
      <c r="C25" s="28">
        <f>IF(OR(13553.17427="",13985.03406=""),"-",13985.03406/13553.17427*100)</f>
        <v>103.18641066215702</v>
      </c>
      <c r="D25" s="28">
        <f>IF(13553.17427="","-",13553.17427/3266113.78787*100)</f>
        <v>0.41496332186389373</v>
      </c>
      <c r="E25" s="28">
        <f>IF(13985.03406="","-",13985.03406/4347054.06049*100)</f>
        <v>0.32171290868242863</v>
      </c>
      <c r="F25" s="28">
        <f>IF(OR(2393616.81978="",8245.95119="",13553.17427=""),"-",(13553.17427-8245.95119)/2393616.81978*100)</f>
        <v>0.22172400511823745</v>
      </c>
      <c r="G25" s="28">
        <f>IF(OR(3266113.78787="",13985.03406="",13553.17427=""),"-",(13985.03406-13553.17427)/3266113.78787*100)</f>
        <v>1.3222435531912019E-2</v>
      </c>
    </row>
    <row r="26" spans="1:7" s="31" customFormat="1" x14ac:dyDescent="0.2">
      <c r="A26" s="27" t="s">
        <v>46</v>
      </c>
      <c r="B26" s="32">
        <v>10636.209779999999</v>
      </c>
      <c r="C26" s="28">
        <f>IF(OR(8570.39556="",10636.20978=""),"-",10636.20978/8570.39556*100)</f>
        <v>124.10407087441362</v>
      </c>
      <c r="D26" s="28">
        <f>IF(8570.39556="","-",8570.39556/3266113.78787*100)</f>
        <v>0.26240345917614816</v>
      </c>
      <c r="E26" s="28">
        <f>IF(10636.20978="","-",10636.20978/4347054.06049*100)</f>
        <v>0.24467627114812288</v>
      </c>
      <c r="F26" s="28">
        <f>IF(OR(2393616.81978="",6045.97596="",8570.39556=""),"-",(8570.39556-6045.97596)/2393616.81978*100)</f>
        <v>0.10546464994476532</v>
      </c>
      <c r="G26" s="28">
        <f>IF(OR(3266113.78787="",10636.20978="",8570.39556=""),"-",(10636.20978-8570.39556)/3266113.78787*100)</f>
        <v>6.3249915776731752E-2</v>
      </c>
    </row>
    <row r="27" spans="1:7" s="31" customFormat="1" x14ac:dyDescent="0.2">
      <c r="A27" s="27" t="s">
        <v>47</v>
      </c>
      <c r="B27" s="32">
        <v>9882.3434500000003</v>
      </c>
      <c r="C27" s="28">
        <f>IF(OR(6743.38876="",9882.34345=""),"-",9882.34345/6743.38876*100)</f>
        <v>146.54862416682028</v>
      </c>
      <c r="D27" s="28">
        <f>IF(6743.38876="","-",6743.38876/3266113.78787*100)</f>
        <v>0.20646521211368168</v>
      </c>
      <c r="E27" s="28">
        <f>IF(9882.34345="","-",9882.34345/4347054.06049*100)</f>
        <v>0.22733426620615946</v>
      </c>
      <c r="F27" s="28">
        <f>IF(OR(2393616.81978="",4749.71207="",6743.38876=""),"-",(6743.38876-4749.71207)/2393616.81978*100)</f>
        <v>8.3291388727091298E-2</v>
      </c>
      <c r="G27" s="28">
        <f>IF(OR(3266113.78787="",9882.34345="",6743.38876=""),"-",(9882.34345-6743.38876)/3266113.78787*100)</f>
        <v>9.610671562202594E-2</v>
      </c>
    </row>
    <row r="28" spans="1:7" s="31" customFormat="1" x14ac:dyDescent="0.2">
      <c r="A28" s="27" t="s">
        <v>43</v>
      </c>
      <c r="B28" s="32">
        <v>9120.9298199999994</v>
      </c>
      <c r="C28" s="28">
        <f>IF(OR(7554.54149="",9120.92982=""),"-",9120.92982/7554.54149*100)</f>
        <v>120.73439310742337</v>
      </c>
      <c r="D28" s="28">
        <f>IF(7554.54149="","-",7554.54149/3266113.78787*100)</f>
        <v>0.23130062149263642</v>
      </c>
      <c r="E28" s="28">
        <f>IF(9120.92982="","-",9120.92982/4347054.06049*100)</f>
        <v>0.20981864253539756</v>
      </c>
      <c r="F28" s="28">
        <f>IF(OR(2393616.81978="",5097.40527="",7554.54149=""),"-",(7554.54149-5097.40527)/2393616.81978*100)</f>
        <v>0.10265369961035942</v>
      </c>
      <c r="G28" s="28">
        <f>IF(OR(3266113.78787="",9120.92982="",7554.54149=""),"-",(9120.92982-7554.54149)/3266113.78787*100)</f>
        <v>4.7958780120196658E-2</v>
      </c>
    </row>
    <row r="29" spans="1:7" s="31" customFormat="1" x14ac:dyDescent="0.2">
      <c r="A29" s="27" t="s">
        <v>41</v>
      </c>
      <c r="B29" s="32">
        <v>8158.2853500000001</v>
      </c>
      <c r="C29" s="28">
        <f>IF(OR(5190.61813="",8158.28535=""),"-",8158.28535/5190.61813*100)</f>
        <v>157.17367653859756</v>
      </c>
      <c r="D29" s="28">
        <f>IF(5190.61813="","-",5190.61813/3266113.78787*100)</f>
        <v>0.15892337092716746</v>
      </c>
      <c r="E29" s="28">
        <f>IF(8158.28535="","-",8158.28535/4347054.06049*100)</f>
        <v>0.18767388756790382</v>
      </c>
      <c r="F29" s="28">
        <f>IF(OR(2393616.81978="",6471.39272="",5190.61813=""),"-",(5190.61813-6471.39272)/2393616.81978*100)</f>
        <v>-5.3507920708784018E-2</v>
      </c>
      <c r="G29" s="28">
        <f>IF(OR(3266113.78787="",8158.28535="",5190.61813=""),"-",(8158.28535-5190.61813)/3266113.78787*100)</f>
        <v>9.086233403813429E-2</v>
      </c>
    </row>
    <row r="30" spans="1:7" s="31" customFormat="1" x14ac:dyDescent="0.2">
      <c r="A30" s="27" t="s">
        <v>293</v>
      </c>
      <c r="B30" s="32">
        <v>5011.32845</v>
      </c>
      <c r="C30" s="28">
        <f>IF(OR(4181.37859="",5011.32845=""),"-",5011.32845/4181.37859*100)</f>
        <v>119.84871357941304</v>
      </c>
      <c r="D30" s="28">
        <f>IF(4181.37859="","-",4181.37859/3266113.78787*100)</f>
        <v>0.1280230531321106</v>
      </c>
      <c r="E30" s="28">
        <f>IF(5011.32845="","-",5011.32845/4347054.06049*100)</f>
        <v>0.11528102435043384</v>
      </c>
      <c r="F30" s="28">
        <f>IF(OR(2393616.81978="",2694.65721="",4181.37859=""),"-",(4181.37859-2694.65721)/2393616.81978*100)</f>
        <v>6.2111920659742303E-2</v>
      </c>
      <c r="G30" s="28">
        <f>IF(OR(3266113.78787="",5011.32845="",4181.37859=""),"-",(5011.32845-4181.37859)/3266113.78787*100)</f>
        <v>2.541092913181241E-2</v>
      </c>
    </row>
    <row r="31" spans="1:7" s="31" customFormat="1" x14ac:dyDescent="0.2">
      <c r="A31" s="27" t="s">
        <v>51</v>
      </c>
      <c r="B31" s="32">
        <v>4740.8751899999997</v>
      </c>
      <c r="C31" s="28">
        <f>IF(OR(3354.34275="",4740.87519=""),"-",4740.87519/3354.34275*100)</f>
        <v>141.33544313561873</v>
      </c>
      <c r="D31" s="28">
        <f>IF(3354.34275="","-",3354.34275/3266113.78787*100)</f>
        <v>0.10270134379450196</v>
      </c>
      <c r="E31" s="28">
        <f>IF(4740.87519="","-",4740.87519/4347054.06049*100)</f>
        <v>0.10905949463774574</v>
      </c>
      <c r="F31" s="28">
        <f>IF(OR(2393616.81978="",3823.7802="",3354.34275=""),"-",(3354.34275-3823.7802)/2393616.81978*100)</f>
        <v>-1.961205511762517E-2</v>
      </c>
      <c r="G31" s="28">
        <f>IF(OR(3266113.78787="",4740.87519="",3354.34275=""),"-",(4740.87519-3354.34275)/3266113.78787*100)</f>
        <v>4.2452055563692671E-2</v>
      </c>
    </row>
    <row r="32" spans="1:7" s="31" customFormat="1" x14ac:dyDescent="0.2">
      <c r="A32" s="27" t="s">
        <v>44</v>
      </c>
      <c r="B32" s="32">
        <v>2849.0479</v>
      </c>
      <c r="C32" s="28">
        <f>IF(OR(3236.53901="",2849.0479=""),"-",2849.0479/3236.53901*100)</f>
        <v>88.027608849985711</v>
      </c>
      <c r="D32" s="28">
        <f>IF(3236.53901="","-",3236.53901/3266113.78787*100)</f>
        <v>9.9094496401814364E-2</v>
      </c>
      <c r="E32" s="28">
        <f>IF(2849.0479="","-",2849.0479/4347054.06049*100)</f>
        <v>6.5539739335076397E-2</v>
      </c>
      <c r="F32" s="28">
        <f>IF(OR(2393616.81978="",1673.0394="",3236.53901=""),"-",(3236.53901-1673.0394)/2393616.81978*100)</f>
        <v>6.531954476087376E-2</v>
      </c>
      <c r="G32" s="28">
        <f>IF(OR(3266113.78787="",2849.0479="",3236.53901=""),"-",(2849.0479-3236.53901)/3266113.78787*100)</f>
        <v>-1.1863980717362046E-2</v>
      </c>
    </row>
    <row r="33" spans="1:7" s="31" customFormat="1" x14ac:dyDescent="0.2">
      <c r="A33" s="27" t="s">
        <v>52</v>
      </c>
      <c r="B33" s="32">
        <v>1306.8866800000001</v>
      </c>
      <c r="C33" s="28">
        <f>IF(OR(1309.69256="",1306.88668=""),"-",1306.88668/1309.69256*100)</f>
        <v>99.785760407770823</v>
      </c>
      <c r="D33" s="28">
        <f>IF(1309.69256="","-",1309.69256/3266113.78787*100)</f>
        <v>4.0099416158250793E-2</v>
      </c>
      <c r="E33" s="28">
        <f>IF(1306.88668="","-",1306.88668/4347054.06049*100)</f>
        <v>3.0063731939250091E-2</v>
      </c>
      <c r="F33" s="28">
        <f>IF(OR(2393616.81978="",517.66669="",1309.69256=""),"-",(1309.69256-517.66669)/2393616.81978*100)</f>
        <v>3.3089083576576632E-2</v>
      </c>
      <c r="G33" s="28">
        <f>IF(OR(3266113.78787="",1306.88668="",1309.69256=""),"-",(1306.88668-1309.69256)/3266113.78787*100)</f>
        <v>-8.5908825663717807E-5</v>
      </c>
    </row>
    <row r="34" spans="1:7" s="31" customFormat="1" x14ac:dyDescent="0.2">
      <c r="A34" s="27" t="s">
        <v>45</v>
      </c>
      <c r="B34" s="32">
        <v>389.48167999999998</v>
      </c>
      <c r="C34" s="28">
        <f>IF(OR(369.24063="",389.48168=""),"-",389.48168/369.24063*100)</f>
        <v>105.48180464322141</v>
      </c>
      <c r="D34" s="28">
        <f>IF(369.24063="","-",369.24063/3266113.78787*100)</f>
        <v>1.1305197980894618E-2</v>
      </c>
      <c r="E34" s="28">
        <f>IF(389.48168="","-",389.48168/4347054.06049*100)</f>
        <v>8.9596695734696606E-3</v>
      </c>
      <c r="F34" s="28">
        <f>IF(OR(2393616.81978="",228.91915="",369.24063=""),"-",(369.24063-228.91915)/2393616.81978*100)</f>
        <v>5.8623201023836847E-3</v>
      </c>
      <c r="G34" s="28">
        <f>IF(OR(3266113.78787="",389.48168="",369.24063=""),"-",(389.48168-369.24063)/3266113.78787*100)</f>
        <v>6.1972886784205392E-4</v>
      </c>
    </row>
    <row r="35" spans="1:7" s="31" customFormat="1" ht="24" x14ac:dyDescent="0.2">
      <c r="A35" s="27" t="s">
        <v>323</v>
      </c>
      <c r="B35" s="32">
        <v>75.584540000000004</v>
      </c>
      <c r="C35" s="28" t="s">
        <v>360</v>
      </c>
      <c r="D35" s="28">
        <f>IF(17.02601="","-",17.02601/3266113.78787*100)</f>
        <v>5.2129261580636881E-4</v>
      </c>
      <c r="E35" s="28">
        <f>IF(75.58454="","-",75.58454/4347054.06049*100)</f>
        <v>1.7387531635960404E-3</v>
      </c>
      <c r="F35" s="28" t="str">
        <f>IF(OR(2393616.81978="",""="",17.02601=""),"-",(17.02601-"")/2393616.81978*100)</f>
        <v>-</v>
      </c>
      <c r="G35" s="28">
        <f>IF(OR(3266113.78787="",75.58454="",17.02601=""),"-",(75.58454-17.02601)/3266113.78787*100)</f>
        <v>1.7929115090074377E-3</v>
      </c>
    </row>
    <row r="36" spans="1:7" s="31" customFormat="1" x14ac:dyDescent="0.2">
      <c r="A36" s="27" t="s">
        <v>53</v>
      </c>
      <c r="B36" s="32">
        <v>32.695439999999998</v>
      </c>
      <c r="C36" s="28">
        <f>IF(OR(65.47793="",32.69544=""),"-",32.69544/65.47793*100)</f>
        <v>49.933527220545912</v>
      </c>
      <c r="D36" s="28">
        <f>IF(65.47793="","-",65.47793/3266113.78787*100)</f>
        <v>2.0047657323874657E-3</v>
      </c>
      <c r="E36" s="28">
        <f>IF(32.69544="","-",32.69544/4347054.06049*100)</f>
        <v>7.5212867254553003E-4</v>
      </c>
      <c r="F36" s="28">
        <f>IF(OR(2393616.81978="",31.06507="",65.47793=""),"-",(65.47793-31.06507)/2393616.81978*100)</f>
        <v>1.4376929388039195E-3</v>
      </c>
      <c r="G36" s="28">
        <f>IF(OR(3266113.78787="",32.69544="",65.47793=""),"-",(32.69544-65.47793)/3266113.78787*100)</f>
        <v>-1.0037154896975937E-3</v>
      </c>
    </row>
    <row r="37" spans="1:7" s="31" customFormat="1" x14ac:dyDescent="0.2">
      <c r="A37" s="25" t="s">
        <v>196</v>
      </c>
      <c r="B37" s="20">
        <v>1151297.96829</v>
      </c>
      <c r="C37" s="26">
        <f>IF(742616.42904="","-",1151297.96829/742616.42904*100)</f>
        <v>155.032655253576</v>
      </c>
      <c r="D37" s="26">
        <f>IF(742616.42904="","-",742616.42904/3266113.78787*100)</f>
        <v>22.737004197404222</v>
      </c>
      <c r="E37" s="26">
        <f>IF(1151297.96829="","-",1151297.96829/4347054.06049*100)</f>
        <v>26.484556029658062</v>
      </c>
      <c r="F37" s="26">
        <f>IF(2393616.81978="","-",(742616.42904-585629.02156)/2393616.81978*100)</f>
        <v>6.5585855757158669</v>
      </c>
      <c r="G37" s="26">
        <f>IF(3266113.78787="","-",(1151297.96829-742616.42904)/3266113.78787*100)</f>
        <v>12.512777134948571</v>
      </c>
    </row>
    <row r="38" spans="1:7" s="31" customFormat="1" x14ac:dyDescent="0.2">
      <c r="A38" s="27" t="s">
        <v>294</v>
      </c>
      <c r="B38" s="32">
        <v>663634.30098000006</v>
      </c>
      <c r="C38" s="28" t="s">
        <v>195</v>
      </c>
      <c r="D38" s="28">
        <f>IF(375174.6247="","-",375174.6247/3266113.78787*100)</f>
        <v>11.486881629579432</v>
      </c>
      <c r="E38" s="28">
        <f>IF(663634.30098="","-",663634.30098/4347054.06049*100)</f>
        <v>15.266299699645216</v>
      </c>
      <c r="F38" s="28">
        <f>IF(OR(2393616.81978="",295667.83921="",375174.6247=""),"-",(375174.6247-295667.83921)/2393616.81978*100)</f>
        <v>3.3216170956430502</v>
      </c>
      <c r="G38" s="28">
        <f>IF(OR(3266113.78787="",663634.30098="",375174.6247=""),"-",(663634.30098-375174.6247)/3266113.78787*100)</f>
        <v>8.8318930391007413</v>
      </c>
    </row>
    <row r="39" spans="1:7" s="31" customFormat="1" x14ac:dyDescent="0.2">
      <c r="A39" s="27" t="s">
        <v>10</v>
      </c>
      <c r="B39" s="32">
        <v>396338.40467999998</v>
      </c>
      <c r="C39" s="28">
        <f>IF(OR(294944.22176="",396338.40468=""),"-",396338.40468/294944.22176*100)</f>
        <v>134.37740950304351</v>
      </c>
      <c r="D39" s="28">
        <f>IF(294944.22176="","-",294944.22176/3266113.78787*100)</f>
        <v>9.030433136022129</v>
      </c>
      <c r="E39" s="28">
        <f>IF(396338.40468="","-",396338.40468/4347054.06049*100)</f>
        <v>9.1174022490837103</v>
      </c>
      <c r="F39" s="28">
        <f>IF(OR(2393616.81978="",228665.84046="",294944.22176=""),"-",(294944.22176-228665.84046)/2393616.81978*100)</f>
        <v>2.7689637185158023</v>
      </c>
      <c r="G39" s="28">
        <f>IF(OR(3266113.78787="",396338.40468="",294944.22176=""),"-",(396338.40468-294944.22176)/3266113.78787*100)</f>
        <v>3.1044289790688619</v>
      </c>
    </row>
    <row r="40" spans="1:7" s="31" customFormat="1" x14ac:dyDescent="0.2">
      <c r="A40" s="27" t="s">
        <v>9</v>
      </c>
      <c r="B40" s="32">
        <v>55022.695419999996</v>
      </c>
      <c r="C40" s="28">
        <f>IF(OR(58218.85956="",55022.69542=""),"-",55022.69542/58218.85956*100)</f>
        <v>94.510088029625422</v>
      </c>
      <c r="D40" s="28">
        <f>IF(58218.85956="","-",58218.85956/3266113.78787*100)</f>
        <v>1.7825116741559546</v>
      </c>
      <c r="E40" s="28">
        <f>IF(55022.69542="","-",55022.69542/4347054.06049*100)</f>
        <v>1.2657467483576186</v>
      </c>
      <c r="F40" s="28">
        <f>IF(OR(2393616.81978="",46724.68515="",58218.85956=""),"-",(58218.85956-46724.68515)/2393616.81978*100)</f>
        <v>0.48020110466371307</v>
      </c>
      <c r="G40" s="28">
        <f>IF(OR(3266113.78787="",55022.69542="",58218.85956=""),"-",(55022.69542-58218.85956)/3266113.78787*100)</f>
        <v>-9.7858321772811924E-2</v>
      </c>
    </row>
    <row r="41" spans="1:7" s="31" customFormat="1" x14ac:dyDescent="0.2">
      <c r="A41" s="27" t="s">
        <v>13</v>
      </c>
      <c r="B41" s="32">
        <v>9612.5715799999998</v>
      </c>
      <c r="C41" s="28" t="s">
        <v>195</v>
      </c>
      <c r="D41" s="28">
        <f>IF(5354.50612="","-",5354.50612/3266113.78787*100)</f>
        <v>0.16394119947339458</v>
      </c>
      <c r="E41" s="28">
        <f>IF(9612.57158="","-",9612.57158/4347054.06049*100)</f>
        <v>0.22112841124677596</v>
      </c>
      <c r="F41" s="28">
        <f>IF(OR(2393616.81978="",3704.9632="",5354.50612=""),"-",(5354.50612-3704.9632)/2393616.81978*100)</f>
        <v>6.8914243347922802E-2</v>
      </c>
      <c r="G41" s="28">
        <f>IF(OR(3266113.78787="",9612.57158="",5354.50612=""),"-",(9612.57158-5354.50612)/3266113.78787*100)</f>
        <v>0.13037100776506938</v>
      </c>
    </row>
    <row r="42" spans="1:7" s="31" customFormat="1" x14ac:dyDescent="0.2">
      <c r="A42" s="27" t="s">
        <v>11</v>
      </c>
      <c r="B42" s="32">
        <v>9279.0603599999995</v>
      </c>
      <c r="C42" s="28">
        <f>IF(OR(6849.27224="",9279.06036=""),"-",9279.06036/6849.27224*100)</f>
        <v>135.47512837655873</v>
      </c>
      <c r="D42" s="28">
        <f>IF(6849.27224="","-",6849.27224/3266113.78787*100)</f>
        <v>0.20970709181772754</v>
      </c>
      <c r="E42" s="28">
        <f>IF(9279.06036="","-",9279.06036/4347054.06049*100)</f>
        <v>0.21345629087838081</v>
      </c>
      <c r="F42" s="28">
        <f>IF(OR(2393616.81978="",5106.68649="",6849.27224=""),"-",(6849.27224-5106.68649)/2393616.81978*100)</f>
        <v>7.280136635069949E-2</v>
      </c>
      <c r="G42" s="28">
        <f>IF(OR(3266113.78787="",9279.06036="",6849.27224=""),"-",(9279.06036-6849.27224)/3266113.78787*100)</f>
        <v>7.4393860037086715E-2</v>
      </c>
    </row>
    <row r="43" spans="1:7" s="31" customFormat="1" x14ac:dyDescent="0.2">
      <c r="A43" s="27" t="s">
        <v>12</v>
      </c>
      <c r="B43" s="32">
        <v>8471.6584399999992</v>
      </c>
      <c r="C43" s="28" t="s">
        <v>361</v>
      </c>
      <c r="D43" s="28">
        <f>IF(829.36004="","-",829.36004/3266113.78787*100)</f>
        <v>2.5392870361104845E-2</v>
      </c>
      <c r="E43" s="28">
        <f>IF(8471.65844="","-",8471.65844/4347054.06049*100)</f>
        <v>0.19488274868716662</v>
      </c>
      <c r="F43" s="28">
        <f>IF(OR(2393616.81978="",3899.74063="",829.36004=""),"-",(829.36004-3899.74063)/2393616.81978*100)</f>
        <v>-0.12827368878040396</v>
      </c>
      <c r="G43" s="28">
        <f>IF(OR(3266113.78787="",8471.65844="",829.36004=""),"-",(8471.65844-829.36004)/3266113.78787*100)</f>
        <v>0.23398751226557643</v>
      </c>
    </row>
    <row r="44" spans="1:7" s="31" customFormat="1" x14ac:dyDescent="0.2">
      <c r="A44" s="27" t="s">
        <v>14</v>
      </c>
      <c r="B44" s="32">
        <v>4854.4811900000004</v>
      </c>
      <c r="C44" s="28" t="s">
        <v>340</v>
      </c>
      <c r="D44" s="28">
        <f>IF(752.05528="","-",752.05528/3266113.78787*100)</f>
        <v>2.3025997526266648E-2</v>
      </c>
      <c r="E44" s="28">
        <f>IF(4854.48119="","-",4854.48119/4347054.06049*100)</f>
        <v>0.11167289668932258</v>
      </c>
      <c r="F44" s="28">
        <f>IF(OR(2393616.81978="",1390.92304="",752.05528=""),"-",(752.05528-1390.92304)/2393616.81978*100)</f>
        <v>-2.6690477553492416E-2</v>
      </c>
      <c r="G44" s="28">
        <f>IF(OR(3266113.78787="",4854.48119="",752.05528=""),"-",(4854.48119-752.05528)/3266113.78787*100)</f>
        <v>0.12560572522720961</v>
      </c>
    </row>
    <row r="45" spans="1:7" s="31" customFormat="1" x14ac:dyDescent="0.2">
      <c r="A45" s="27" t="s">
        <v>303</v>
      </c>
      <c r="B45" s="32">
        <v>3035.8671899999999</v>
      </c>
      <c r="C45" s="28" t="s">
        <v>362</v>
      </c>
      <c r="D45" s="28">
        <f>IF(104.09096="","-",104.09096/3266113.78787*100)</f>
        <v>3.1869973540598236E-3</v>
      </c>
      <c r="E45" s="28">
        <f>IF(3035.86719="","-",3035.86719/4347054.06049*100)</f>
        <v>6.9837346114296928E-2</v>
      </c>
      <c r="F45" s="28">
        <f>IF(OR(2393616.81978="",56.69462="",104.09096=""),"-",(104.09096-56.69462)/2393616.81978*100)</f>
        <v>1.9801139266875743E-3</v>
      </c>
      <c r="G45" s="28">
        <f>IF(OR(3266113.78787="",3035.86719="",104.09096=""),"-",(3035.86719-104.09096)/3266113.78787*100)</f>
        <v>8.9763444277058124E-2</v>
      </c>
    </row>
    <row r="46" spans="1:7" s="31" customFormat="1" x14ac:dyDescent="0.2">
      <c r="A46" s="27" t="s">
        <v>15</v>
      </c>
      <c r="B46" s="32">
        <v>1047.3157000000001</v>
      </c>
      <c r="C46" s="28" t="s">
        <v>298</v>
      </c>
      <c r="D46" s="28">
        <f>IF(375.36851="","-",375.36851/3266113.78787*100)</f>
        <v>1.1492817898570431E-2</v>
      </c>
      <c r="E46" s="28">
        <f>IF(1047.3157="","-",1047.3157/4347054.06049*100)</f>
        <v>2.409253911790429E-2</v>
      </c>
      <c r="F46" s="28">
        <f>IF(OR(2393616.81978="",411.46325="",375.36851=""),"-",(375.36851-411.46325)/2393616.81978*100)</f>
        <v>-1.5079581536077905E-3</v>
      </c>
      <c r="G46" s="28">
        <f>IF(OR(3266113.78787="",1047.3157="",375.36851=""),"-",(1047.3157-375.36851)/3266113.78787*100)</f>
        <v>2.0573293940203206E-2</v>
      </c>
    </row>
    <row r="47" spans="1:7" s="31" customFormat="1" x14ac:dyDescent="0.2">
      <c r="A47" s="27" t="s">
        <v>16</v>
      </c>
      <c r="B47" s="32">
        <v>1.6127499999999999</v>
      </c>
      <c r="C47" s="28">
        <f>IF(OR(14.06987="",1.61275=""),"-",1.61275/14.06987*100)</f>
        <v>11.462437108516282</v>
      </c>
      <c r="D47" s="28">
        <f>IF(14.06987="","-",14.06987/3266113.78787*100)</f>
        <v>4.3078321558342526E-4</v>
      </c>
      <c r="E47" s="28">
        <f>IF(1.61275="","-",1.61275/4347054.06049*100)</f>
        <v>3.7099837673015064E-5</v>
      </c>
      <c r="F47" s="28">
        <f>IF(OR(2393616.81978="",0.18551="",14.06987=""),"-",(14.06987-0.18551)/2393616.81978*100)</f>
        <v>5.8005775549639258E-4</v>
      </c>
      <c r="G47" s="28">
        <f>IF(OR(3266113.78787="",1.61275="",14.06987=""),"-",(1.61275-14.06987)/3266113.78787*100)</f>
        <v>-3.8140496042313106E-4</v>
      </c>
    </row>
    <row r="48" spans="1:7" s="31" customFormat="1" x14ac:dyDescent="0.2">
      <c r="A48" s="25" t="s">
        <v>130</v>
      </c>
      <c r="B48" s="20">
        <v>1198325.9601700001</v>
      </c>
      <c r="C48" s="26">
        <f>IF(975090.12969="","-",1198325.96017/975090.12969*100)</f>
        <v>122.89386628813186</v>
      </c>
      <c r="D48" s="26">
        <f>IF(975090.12969="","-",975090.12969/3266113.78787*100)</f>
        <v>29.854750722751337</v>
      </c>
      <c r="E48" s="26">
        <f>IF(1198325.96017="","-",1198325.96017/4347054.06049*100)</f>
        <v>27.566391940267813</v>
      </c>
      <c r="F48" s="26">
        <f>IF(2393616.81978="","-",(975090.12969-689592.50591)/2393616.81978*100)</f>
        <v>11.927457286427341</v>
      </c>
      <c r="G48" s="26">
        <f>IF(3266113.78787="","-",(1198325.96017-975090.12969)/3266113.78787*100)</f>
        <v>6.8349067111217714</v>
      </c>
    </row>
    <row r="49" spans="1:7" s="31" customFormat="1" x14ac:dyDescent="0.2">
      <c r="A49" s="130" t="s">
        <v>57</v>
      </c>
      <c r="B49" s="32">
        <v>409665.86202</v>
      </c>
      <c r="C49" s="28">
        <f>IF(OR(384609.0143="",409665.86202=""),"-",409665.86202/384609.0143*100)</f>
        <v>106.51488831212244</v>
      </c>
      <c r="D49" s="28">
        <f>IF(384609.0143="","-",384609.0143/3266113.78787*100)</f>
        <v>11.775738363078379</v>
      </c>
      <c r="E49" s="28">
        <f>IF(409665.86202="","-",409665.86202/4347054.06049*100)</f>
        <v>9.4239882071727088</v>
      </c>
      <c r="F49" s="28">
        <f>IF(OR(2393616.81978="",262582.07315="",384609.0143=""),"-",(384609.0143-262582.07315)/2393616.81978*100)</f>
        <v>5.0980148594216343</v>
      </c>
      <c r="G49" s="28">
        <f>IF(OR(3266113.78787="",409665.86202="",384609.0143=""),"-",(409665.86202-384609.0143)/3266113.78787*100)</f>
        <v>0.76717620228231154</v>
      </c>
    </row>
    <row r="50" spans="1:7" s="31" customFormat="1" x14ac:dyDescent="0.2">
      <c r="A50" s="126" t="s">
        <v>54</v>
      </c>
      <c r="B50" s="34">
        <v>308245.26001999999</v>
      </c>
      <c r="C50" s="28">
        <f>IF(OR(234474.46346="",308245.26002=""),"-",308245.26002/234474.46346*100)</f>
        <v>131.46218802312555</v>
      </c>
      <c r="D50" s="28">
        <f>IF(234474.46346="","-",234474.46346/3266113.78787*100)</f>
        <v>7.1790047343363623</v>
      </c>
      <c r="E50" s="28">
        <f>IF(308245.26002="","-",308245.26002/4347054.06049*100)</f>
        <v>7.0909000838433229</v>
      </c>
      <c r="F50" s="28">
        <f>IF(OR(2393616.81978="",163423.44539="",234474.46346=""),"-",(234474.46346-163423.44539)/2393616.81978*100)</f>
        <v>2.9683538936917384</v>
      </c>
      <c r="G50" s="28">
        <f>IF(OR(3266113.78787="",308245.26002="",234474.46346=""),"-",(308245.26002-234474.46346)/3266113.78787*100)</f>
        <v>2.2586719677059901</v>
      </c>
    </row>
    <row r="51" spans="1:7" s="31" customFormat="1" x14ac:dyDescent="0.2">
      <c r="A51" s="130" t="s">
        <v>67</v>
      </c>
      <c r="B51" s="32">
        <v>112462.10705000001</v>
      </c>
      <c r="C51" s="28" t="s">
        <v>363</v>
      </c>
      <c r="D51" s="28">
        <f>IF(22060.36863="","-",22060.36863/3266113.78787*100)</f>
        <v>0.67543172292189779</v>
      </c>
      <c r="E51" s="28">
        <f>IF(112462.10705="","-",112462.10705/4347054.06049*100)</f>
        <v>2.5870878412154661</v>
      </c>
      <c r="F51" s="28">
        <f>IF(OR(2393616.81978="",16957.18039="",22060.36863=""),"-",(22060.36863-16957.18039)/2393616.81978*100)</f>
        <v>0.21319988219622552</v>
      </c>
      <c r="G51" s="28">
        <f>IF(OR(3266113.78787="",112462.10705="",22060.36863=""),"-",(112462.10705-22060.36863)/3266113.78787*100)</f>
        <v>2.7678686136331949</v>
      </c>
    </row>
    <row r="52" spans="1:7" s="31" customFormat="1" x14ac:dyDescent="0.2">
      <c r="A52" s="33" t="s">
        <v>17</v>
      </c>
      <c r="B52" s="34">
        <v>70246.969589999993</v>
      </c>
      <c r="C52" s="28">
        <f>IF(OR(53225.68476="",70246.96959=""),"-",70246.96959/53225.68476*100)</f>
        <v>131.9794567355041</v>
      </c>
      <c r="D52" s="28">
        <f>IF(53225.68476="","-",53225.68476/3266113.78787*100)</f>
        <v>1.6296335099430563</v>
      </c>
      <c r="E52" s="28">
        <f>IF(70246.96959="","-",70246.96959/4347054.06049*100)</f>
        <v>1.6159672415502868</v>
      </c>
      <c r="F52" s="28">
        <f>IF(OR(2393616.81978="",32555.63779="",53225.68476=""),"-",(53225.68476-32555.63779)/2393616.81978*100)</f>
        <v>0.86354870166310926</v>
      </c>
      <c r="G52" s="28">
        <f>IF(OR(3266113.78787="",70246.96959="",53225.68476=""),"-",(70246.96959-53225.68476)/3266113.78787*100)</f>
        <v>0.52114794325951663</v>
      </c>
    </row>
    <row r="53" spans="1:7" s="31" customFormat="1" ht="24" x14ac:dyDescent="0.2">
      <c r="A53" s="33" t="s">
        <v>296</v>
      </c>
      <c r="B53" s="34">
        <v>36197.704140000002</v>
      </c>
      <c r="C53" s="28">
        <f>IF(OR(30972.43787="",36197.70414=""),"-",36197.70414/30972.43787*100)</f>
        <v>116.87069739854481</v>
      </c>
      <c r="D53" s="28">
        <f>IF(30972.43787="","-",30972.43787/3266113.78787*100)</f>
        <v>0.94829635100370202</v>
      </c>
      <c r="E53" s="28">
        <f>IF(36197.70414="","-",36197.70414/4347054.06049*100)</f>
        <v>0.83269505362258589</v>
      </c>
      <c r="F53" s="28">
        <f>IF(OR(2393616.81978="",23617.74824="",30972.43787=""),"-",(30972.43787-23617.74824)/2393616.81978*100)</f>
        <v>0.3072626148522794</v>
      </c>
      <c r="G53" s="28">
        <f>IF(OR(3266113.78787="",36197.70414="",30972.43787=""),"-",(36197.70414-30972.43787)/3266113.78787*100)</f>
        <v>0.15998420781927697</v>
      </c>
    </row>
    <row r="54" spans="1:7" s="31" customFormat="1" x14ac:dyDescent="0.2">
      <c r="A54" s="130" t="s">
        <v>34</v>
      </c>
      <c r="B54" s="32">
        <v>30831.75333</v>
      </c>
      <c r="C54" s="28">
        <f>IF(OR(21630.94706="",30831.75333=""),"-",30831.75333/21630.94706*100)</f>
        <v>142.5353834230132</v>
      </c>
      <c r="D54" s="28">
        <f>IF(21630.94706="","-",21630.94706/3266113.78787*100)</f>
        <v>0.66228393941249197</v>
      </c>
      <c r="E54" s="28">
        <f>IF(30831.75333="","-",30831.75333/4347054.06049*100)</f>
        <v>0.70925626645012652</v>
      </c>
      <c r="F54" s="28">
        <f>IF(OR(2393616.81978="",18398.85963="",21630.94706=""),"-",(21630.94706-18398.85963)/2393616.81978*100)</f>
        <v>0.13502944177577531</v>
      </c>
      <c r="G54" s="28">
        <f>IF(OR(3266113.78787="",30831.75333="",21630.94706=""),"-",(30831.75333-21630.94706)/3266113.78787*100)</f>
        <v>0.28170501297813988</v>
      </c>
    </row>
    <row r="55" spans="1:7" s="31" customFormat="1" x14ac:dyDescent="0.2">
      <c r="A55" s="33" t="s">
        <v>73</v>
      </c>
      <c r="B55" s="34">
        <v>28818.401549999999</v>
      </c>
      <c r="C55" s="28">
        <f>IF(OR(31810.8532="",28818.40155=""),"-",28818.40155/31810.8532*100)</f>
        <v>90.592985258251417</v>
      </c>
      <c r="D55" s="28">
        <f>IF(31810.8532="","-",31810.8532/3266113.78787*100)</f>
        <v>0.973966471044032</v>
      </c>
      <c r="E55" s="28">
        <f>IF(28818.40155="","-",28818.40155/4347054.06049*100)</f>
        <v>0.66294095148086529</v>
      </c>
      <c r="F55" s="28">
        <f>IF(OR(2393616.81978="",24186.6149="",31810.8532=""),"-",(31810.8532-24186.6149)/2393616.81978*100)</f>
        <v>0.31852376023580725</v>
      </c>
      <c r="G55" s="28">
        <f>IF(OR(3266113.78787="",28818.40155="",31810.8532=""),"-",(28818.40155-31810.8532)/3266113.78787*100)</f>
        <v>-9.1621169510800585E-2</v>
      </c>
    </row>
    <row r="56" spans="1:7" s="31" customFormat="1" x14ac:dyDescent="0.2">
      <c r="A56" s="126" t="s">
        <v>69</v>
      </c>
      <c r="B56" s="34">
        <v>19774.93636</v>
      </c>
      <c r="C56" s="28">
        <f>IF(OR(22769.2908="",19774.93636=""),"-",19774.93636/22769.2908*100)</f>
        <v>86.84915368554212</v>
      </c>
      <c r="D56" s="28">
        <f>IF(22769.2908="","-",22769.2908/3266113.78787*100)</f>
        <v>0.69713709560771364</v>
      </c>
      <c r="E56" s="28">
        <f>IF(19774.93636="","-",19774.93636/4347054.06049*100)</f>
        <v>0.45490431185875263</v>
      </c>
      <c r="F56" s="28">
        <f>IF(OR(2393616.81978="",14979.21815="",22769.2908=""),"-",(22769.2908-14979.21815)/2393616.81978*100)</f>
        <v>0.32545195144125</v>
      </c>
      <c r="G56" s="28">
        <f>IF(OR(3266113.78787="",19774.93636="",22769.2908=""),"-",(19774.93636-22769.2908)/3266113.78787*100)</f>
        <v>-9.1679428044445774E-2</v>
      </c>
    </row>
    <row r="57" spans="1:7" s="31" customFormat="1" x14ac:dyDescent="0.2">
      <c r="A57" s="33" t="s">
        <v>64</v>
      </c>
      <c r="B57" s="34">
        <v>19513.945449999901</v>
      </c>
      <c r="C57" s="28">
        <f>IF(OR(13363.55597="",19513.9454499999=""),"-",19513.9454499999/13363.55597*100)</f>
        <v>146.02359951054183</v>
      </c>
      <c r="D57" s="28">
        <f>IF(13363.55597="","-",13363.55597/3266113.78787*100)</f>
        <v>0.40915769743328684</v>
      </c>
      <c r="E57" s="28">
        <f>IF(19513.9454499999="","-",19513.9454499999/4347054.06049*100)</f>
        <v>0.44890045484735214</v>
      </c>
      <c r="F57" s="28">
        <f>IF(OR(2393616.81978="",12810.4898="",13363.55597=""),"-",(13363.55597-12810.4898)/2393616.81978*100)</f>
        <v>2.3105877491737922E-2</v>
      </c>
      <c r="G57" s="28">
        <f>IF(OR(3266113.78787="",19513.9454499999="",13363.55597=""),"-",(19513.9454499999-13363.55597)/3266113.78787*100)</f>
        <v>0.18830910003325038</v>
      </c>
    </row>
    <row r="58" spans="1:7" s="31" customFormat="1" x14ac:dyDescent="0.2">
      <c r="A58" s="130" t="s">
        <v>295</v>
      </c>
      <c r="B58" s="32">
        <v>18977.089629999999</v>
      </c>
      <c r="C58" s="28">
        <f>IF(OR(18765.01271="",18977.08963=""),"-",18977.08963/18765.01271*100)</f>
        <v>101.13017200295837</v>
      </c>
      <c r="D58" s="28">
        <f>IF(18765.01271="","-",18765.01271/3266113.78787*100)</f>
        <v>0.57453640408032514</v>
      </c>
      <c r="E58" s="28">
        <f>IF(18977.08963="","-",18977.08963/4347054.06049*100)</f>
        <v>0.43655057806805608</v>
      </c>
      <c r="F58" s="28">
        <f>IF(OR(2393616.81978="",13937.06773="",18765.01271=""),"-",(18765.01271-13937.06773)/2393616.81978*100)</f>
        <v>0.20170082947711493</v>
      </c>
      <c r="G58" s="28">
        <f>IF(OR(3266113.78787="",18977.08963="",18765.01271=""),"-",(18977.08963-18765.01271)/3266113.78787*100)</f>
        <v>6.4932495857196E-3</v>
      </c>
    </row>
    <row r="59" spans="1:7" s="31" customFormat="1" x14ac:dyDescent="0.2">
      <c r="A59" s="130" t="s">
        <v>76</v>
      </c>
      <c r="B59" s="32">
        <v>11285.89157</v>
      </c>
      <c r="C59" s="28">
        <f>IF(OR(12396.60106="",11285.89157=""),"-",11285.89157/12396.60106*100)</f>
        <v>91.04020945238031</v>
      </c>
      <c r="D59" s="28">
        <f>IF(12396.60106="","-",12396.60106/3266113.78787*100)</f>
        <v>0.37955202620434297</v>
      </c>
      <c r="E59" s="28">
        <f>IF(11285.89157="","-",11285.89157/4347054.06049*100)</f>
        <v>0.25962160610277418</v>
      </c>
      <c r="F59" s="28">
        <f>IF(OR(2393616.81978="",10212.09971="",12396.60106=""),"-",(12396.60106-10212.09971)/2393616.81978*100)</f>
        <v>9.126361963820008E-2</v>
      </c>
      <c r="G59" s="28">
        <f>IF(OR(3266113.78787="",11285.89157="",12396.60106=""),"-",(11285.89157-12396.60106)/3266113.78787*100)</f>
        <v>-3.4007066567155686E-2</v>
      </c>
    </row>
    <row r="60" spans="1:7" s="31" customFormat="1" x14ac:dyDescent="0.2">
      <c r="A60" s="33" t="s">
        <v>60</v>
      </c>
      <c r="B60" s="34">
        <v>10655.18973</v>
      </c>
      <c r="C60" s="28" t="s">
        <v>99</v>
      </c>
      <c r="D60" s="28">
        <f>IF(6211.45011="","-",6211.45011/3266113.78787*100)</f>
        <v>0.19017861940599456</v>
      </c>
      <c r="E60" s="28">
        <f>IF(10655.18973="","-",10655.18973/4347054.06049*100)</f>
        <v>0.24511288752638488</v>
      </c>
      <c r="F60" s="28">
        <f>IF(OR(2393616.81978="",5704.74095="",6211.45011=""),"-",(6211.45011-5704.74095)/2393616.81978*100)</f>
        <v>2.1169184466483304E-2</v>
      </c>
      <c r="G60" s="28">
        <f>IF(OR(3266113.78787="",10655.18973="",6211.45011=""),"-",(10655.18973-6211.45011)/3266113.78787*100)</f>
        <v>0.13605587277772066</v>
      </c>
    </row>
    <row r="61" spans="1:7" s="31" customFormat="1" x14ac:dyDescent="0.2">
      <c r="A61" s="33" t="s">
        <v>71</v>
      </c>
      <c r="B61" s="34">
        <v>9698.9240000000009</v>
      </c>
      <c r="C61" s="28" t="s">
        <v>99</v>
      </c>
      <c r="D61" s="28">
        <f>IF(5788.84658="","-",5788.84658/3266113.78787*100)</f>
        <v>0.1772395867375828</v>
      </c>
      <c r="E61" s="28">
        <f>IF(9698.924="","-",9698.924/4347054.06049*100)</f>
        <v>0.22311486963441945</v>
      </c>
      <c r="F61" s="28">
        <f>IF(OR(2393616.81978="",4432.5405="",5788.84658=""),"-",(5788.84658-4432.5405)/2393616.81978*100)</f>
        <v>5.6663458778864188E-2</v>
      </c>
      <c r="G61" s="28">
        <f>IF(OR(3266113.78787="",9698.924="",5788.84658=""),"-",(9698.924-5788.84658)/3266113.78787*100)</f>
        <v>0.11971650940397768</v>
      </c>
    </row>
    <row r="62" spans="1:7" s="31" customFormat="1" x14ac:dyDescent="0.2">
      <c r="A62" s="33" t="s">
        <v>305</v>
      </c>
      <c r="B62" s="34">
        <v>9581.6521900000007</v>
      </c>
      <c r="C62" s="28">
        <f>IF(OR(11175.19251="",9581.65219=""),"-",9581.65219/11175.19251*100)</f>
        <v>85.740377012977291</v>
      </c>
      <c r="D62" s="28">
        <f>IF(11175.19251="","-",11175.19251/3266113.78787*100)</f>
        <v>0.34215563926472736</v>
      </c>
      <c r="E62" s="28">
        <f>IF(9581.65219="","-",9581.65219/4347054.06049*100)</f>
        <v>0.22041713897894238</v>
      </c>
      <c r="F62" s="28">
        <f>IF(OR(2393616.81978="",8011.77601="",11175.19251=""),"-",(11175.19251-8011.77601)/2393616.81978*100)</f>
        <v>0.13216052268093412</v>
      </c>
      <c r="G62" s="28">
        <f>IF(OR(3266113.78787="",9581.65219="",11175.19251=""),"-",(9581.65219-11175.19251)/3266113.78787*100)</f>
        <v>-4.8790104187987557E-2</v>
      </c>
    </row>
    <row r="63" spans="1:7" s="31" customFormat="1" x14ac:dyDescent="0.2">
      <c r="A63" s="33" t="s">
        <v>75</v>
      </c>
      <c r="B63" s="34">
        <v>7358.3185999999996</v>
      </c>
      <c r="C63" s="28">
        <f>IF(OR(6319.25872="",7358.3186=""),"-",7358.3186/6319.25872*100)</f>
        <v>116.4427494748941</v>
      </c>
      <c r="D63" s="28">
        <f>IF(6319.25872="","-",6319.25872/3266113.78787*100)</f>
        <v>0.19347944163700162</v>
      </c>
      <c r="E63" s="28">
        <f>IF(7358.3186="","-",7358.3186/4347054.06049*100)</f>
        <v>0.16927138465746547</v>
      </c>
      <c r="F63" s="28">
        <f>IF(OR(2393616.81978="",3968.80731="",6319.25872=""),"-",(6319.25872-3968.80731)/2393616.81978*100)</f>
        <v>9.8196644950716561E-2</v>
      </c>
      <c r="G63" s="28">
        <f>IF(OR(3266113.78787="",7358.3186="",6319.25872=""),"-",(7358.3186-6319.25872)/3266113.78787*100)</f>
        <v>3.1813339873796129E-2</v>
      </c>
    </row>
    <row r="64" spans="1:7" s="31" customFormat="1" x14ac:dyDescent="0.2">
      <c r="A64" s="126" t="s">
        <v>79</v>
      </c>
      <c r="B64" s="34">
        <v>6864.4956400000001</v>
      </c>
      <c r="C64" s="28">
        <f>IF(OR(6543.27781="",6864.49564=""),"-",6864.49564/6543.27781*100)</f>
        <v>104.90912718865593</v>
      </c>
      <c r="D64" s="28">
        <f>IF(6543.27781="","-",6543.27781/3266113.78787*100)</f>
        <v>0.20033832973918542</v>
      </c>
      <c r="E64" s="28">
        <f>IF(6864.49564="","-",6864.49564/4347054.06049*100)</f>
        <v>0.15791143943644062</v>
      </c>
      <c r="F64" s="28">
        <f>IF(OR(2393616.81978="",4380.70482="",6543.27781=""),"-",(6543.27781-4380.70482)/2393616.81978*100)</f>
        <v>9.0347501409969375E-2</v>
      </c>
      <c r="G64" s="28">
        <f>IF(OR(3266113.78787="",6864.49564="",6543.27781=""),"-",(6864.49564-6543.27781)/3266113.78787*100)</f>
        <v>9.8348634145255277E-3</v>
      </c>
    </row>
    <row r="65" spans="1:7" s="31" customFormat="1" x14ac:dyDescent="0.2">
      <c r="A65" s="130" t="s">
        <v>68</v>
      </c>
      <c r="B65" s="32">
        <v>6543.7351699999899</v>
      </c>
      <c r="C65" s="28">
        <f>IF(OR(5917.80441="",6543.73516999999=""),"-",6543.73516999999/5917.80441*100)</f>
        <v>110.57707752122192</v>
      </c>
      <c r="D65" s="28">
        <f>IF(5917.80441="","-",5917.80441/3266113.78787*100)</f>
        <v>0.18118794366497876</v>
      </c>
      <c r="E65" s="28">
        <f>IF(6543.73516999999="","-",6543.73516999999/4347054.06049*100)</f>
        <v>0.15053263840161168</v>
      </c>
      <c r="F65" s="28">
        <f>IF(OR(2393616.81978="",4381.92138="",5917.80441=""),"-",(5917.80441-4381.92138)/2393616.81978*100)</f>
        <v>6.4165785321527141E-2</v>
      </c>
      <c r="G65" s="28">
        <f>IF(OR(3266113.78787="",6543.73516999999="",5917.80441=""),"-",(6543.73516999999-5917.80441)/3266113.78787*100)</f>
        <v>1.9164389260552729E-2</v>
      </c>
    </row>
    <row r="66" spans="1:7" s="31" customFormat="1" x14ac:dyDescent="0.2">
      <c r="A66" s="33" t="s">
        <v>59</v>
      </c>
      <c r="B66" s="34">
        <v>5998.3954299999996</v>
      </c>
      <c r="C66" s="28">
        <f>IF(OR(7206.88043="",5998.39543=""),"-",5998.39543/7206.88043*100)</f>
        <v>83.231510336019269</v>
      </c>
      <c r="D66" s="28">
        <f>IF(7206.88043="","-",7206.88043/3266113.78787*100)</f>
        <v>0.22065613441777776</v>
      </c>
      <c r="E66" s="28">
        <f>IF(5998.39543="","-",5998.39543/4347054.06049*100)</f>
        <v>0.13798759680766107</v>
      </c>
      <c r="F66" s="28">
        <f>IF(OR(2393616.81978="",5121.43945="",7206.88043=""),"-",(7206.88043-5121.43945)/2393616.81978*100)</f>
        <v>8.7125097165371507E-2</v>
      </c>
      <c r="G66" s="28">
        <f>IF(OR(3266113.78787="",5998.39543="",7206.88043=""),"-",(5998.39543-7206.88043)/3266113.78787*100)</f>
        <v>-3.7000701092784506E-2</v>
      </c>
    </row>
    <row r="67" spans="1:7" s="31" customFormat="1" x14ac:dyDescent="0.2">
      <c r="A67" s="130" t="s">
        <v>80</v>
      </c>
      <c r="B67" s="32">
        <v>5286.2785199999998</v>
      </c>
      <c r="C67" s="28">
        <f>IF(OR(5123.05486="",5286.27852=""),"-",5286.27852/5123.05486*100)</f>
        <v>103.18606113852935</v>
      </c>
      <c r="D67" s="28">
        <f>IF(5123.05486="","-",5123.05486/3266113.78787*100)</f>
        <v>0.15685475744986233</v>
      </c>
      <c r="E67" s="28">
        <f>IF(5286.27852="","-",5286.27852/4347054.06049*100)</f>
        <v>0.12160599906144555</v>
      </c>
      <c r="F67" s="28">
        <f>IF(OR(2393616.81978="",4739.60809="",5123.05486=""),"-",(5123.05486-4739.60809)/2393616.81978*100)</f>
        <v>1.6019555295205667E-2</v>
      </c>
      <c r="G67" s="28">
        <f>IF(OR(3266113.78787="",5286.27852="",5123.05486=""),"-",(5286.27852-5123.05486)/3266113.78787*100)</f>
        <v>4.9974884710445484E-3</v>
      </c>
    </row>
    <row r="68" spans="1:7" s="31" customFormat="1" x14ac:dyDescent="0.2">
      <c r="A68" s="33" t="s">
        <v>81</v>
      </c>
      <c r="B68" s="34">
        <v>5157.7414699999999</v>
      </c>
      <c r="C68" s="28">
        <f>IF(OR(3830.49494="",5157.74147=""),"-",5157.74147/3830.49494*100)</f>
        <v>134.64947874333964</v>
      </c>
      <c r="D68" s="28">
        <f>IF(3830.49494="","-",3830.49494/3266113.78787*100)</f>
        <v>0.11727989864364345</v>
      </c>
      <c r="E68" s="28">
        <f>IF(5157.74147="","-",5157.74147/4347054.06049*100)</f>
        <v>0.11864912187033209</v>
      </c>
      <c r="F68" s="28">
        <f>IF(OR(2393616.81978="",2915.23802="",3830.49494=""),"-",(3830.49494-2915.23802)/2393616.81978*100)</f>
        <v>3.8237403432188552E-2</v>
      </c>
      <c r="G68" s="28">
        <f>IF(OR(3266113.78787="",5157.74147="",3830.49494=""),"-",(5157.74147-3830.49494)/3266113.78787*100)</f>
        <v>4.0636873550739493E-2</v>
      </c>
    </row>
    <row r="69" spans="1:7" s="31" customFormat="1" x14ac:dyDescent="0.2">
      <c r="A69" s="130" t="s">
        <v>63</v>
      </c>
      <c r="B69" s="32">
        <v>4577.6294699999999</v>
      </c>
      <c r="C69" s="28">
        <f>IF(OR(4017.04833="",4577.62947=""),"-",4577.62947/4017.04833*100)</f>
        <v>113.9550509216801</v>
      </c>
      <c r="D69" s="28">
        <f>IF(4017.04833="","-",4017.04833/3266113.78787*100)</f>
        <v>0.12299168341650835</v>
      </c>
      <c r="E69" s="28">
        <f>IF(4577.62947="","-",4577.62947/4347054.06049*100)</f>
        <v>0.10530417626055492</v>
      </c>
      <c r="F69" s="28">
        <f>IF(OR(2393616.81978="",2875.41159="",4017.04833=""),"-",(4017.04833-2875.41159)/2393616.81978*100)</f>
        <v>4.7695050041674132E-2</v>
      </c>
      <c r="G69" s="28">
        <f>IF(OR(3266113.78787="",4577.62947="",4017.04833=""),"-",(4577.62947-4017.04833)/3266113.78787*100)</f>
        <v>1.7163552050205311E-2</v>
      </c>
    </row>
    <row r="70" spans="1:7" s="31" customFormat="1" x14ac:dyDescent="0.2">
      <c r="A70" s="130" t="s">
        <v>66</v>
      </c>
      <c r="B70" s="32">
        <v>4361.4960600000004</v>
      </c>
      <c r="C70" s="28">
        <f>IF(OR(3184.32539="",4361.49606=""),"-",4361.49606/3184.32539*100)</f>
        <v>136.96766271740844</v>
      </c>
      <c r="D70" s="28">
        <f>IF(3184.32539="","-",3184.32539/3266113.78787*100)</f>
        <v>9.7495849710633048E-2</v>
      </c>
      <c r="E70" s="28">
        <f>IF(4361.49606="","-",4361.49606/4347054.06049*100)</f>
        <v>0.10033222498061992</v>
      </c>
      <c r="F70" s="28">
        <f>IF(OR(2393616.81978="",2307.18863="",3184.32539=""),"-",(3184.32539-2307.18863)/2393616.81978*100)</f>
        <v>3.6644827724790913E-2</v>
      </c>
      <c r="G70" s="28">
        <f>IF(OR(3266113.78787="",4361.49606="",3184.32539=""),"-",(4361.49606-3184.32539)/3266113.78787*100)</f>
        <v>3.6041936884498249E-2</v>
      </c>
    </row>
    <row r="71" spans="1:7" s="31" customFormat="1" x14ac:dyDescent="0.2">
      <c r="A71" s="130" t="s">
        <v>72</v>
      </c>
      <c r="B71" s="32">
        <v>3607.2395299999998</v>
      </c>
      <c r="C71" s="28">
        <f>IF(OR(2297.25068="",3607.23953=""),"-",3607.23953/2297.25068*100)</f>
        <v>157.02420120733188</v>
      </c>
      <c r="D71" s="28">
        <f>IF(2297.25068="","-",2297.25068/3266113.78787*100)</f>
        <v>7.0335904662346585E-2</v>
      </c>
      <c r="E71" s="28">
        <f>IF(3607.23953="","-",3607.23953/4347054.06049*100)</f>
        <v>8.2981243844788805E-2</v>
      </c>
      <c r="F71" s="28">
        <f>IF(OR(2393616.81978="",2640.98994="",2297.25068=""),"-",(2297.25068-2640.98994)/2393616.81978*100)</f>
        <v>-1.4360663626669922E-2</v>
      </c>
      <c r="G71" s="28">
        <f>IF(OR(3266113.78787="",3607.23953="",2297.25068=""),"-",(3607.23953-2297.25068)/3266113.78787*100)</f>
        <v>4.0108487795653638E-2</v>
      </c>
    </row>
    <row r="72" spans="1:7" s="31" customFormat="1" x14ac:dyDescent="0.2">
      <c r="A72" s="130" t="s">
        <v>61</v>
      </c>
      <c r="B72" s="32">
        <v>3460.0492399999998</v>
      </c>
      <c r="C72" s="28">
        <f>IF(OR(3778.33329="",3460.04924=""),"-",3460.04924/3778.33329*100)</f>
        <v>91.576072686800998</v>
      </c>
      <c r="D72" s="28">
        <f>IF(3778.33329="","-",3778.33329/3266113.78787*100)</f>
        <v>0.1156828431401358</v>
      </c>
      <c r="E72" s="28">
        <f>IF(3460.04924="","-",3460.04924/4347054.06049*100)</f>
        <v>7.9595265939940554E-2</v>
      </c>
      <c r="F72" s="28">
        <f>IF(OR(2393616.81978="",4705.85014="",3778.33329=""),"-",(3778.33329-4705.85014)/2393616.81978*100)</f>
        <v>-3.8749596106416422E-2</v>
      </c>
      <c r="G72" s="28">
        <f>IF(OR(3266113.78787="",3460.04924="",3778.33329=""),"-",(3460.04924-3778.33329)/3266113.78787*100)</f>
        <v>-9.7450386199670509E-3</v>
      </c>
    </row>
    <row r="73" spans="1:7" s="31" customFormat="1" x14ac:dyDescent="0.2">
      <c r="A73" s="33" t="s">
        <v>70</v>
      </c>
      <c r="B73" s="34">
        <v>2932.9325899999999</v>
      </c>
      <c r="C73" s="28">
        <f>IF(OR(2238.18964="",2932.93259=""),"-",2932.93259/2238.18964*100)</f>
        <v>131.04039700585869</v>
      </c>
      <c r="D73" s="28">
        <f>IF(2238.18964="","-",2238.18964/3266113.78787*100)</f>
        <v>6.8527607590170278E-2</v>
      </c>
      <c r="E73" s="28">
        <f>IF(2932.93259="","-",2932.93259/4347054.06049*100)</f>
        <v>6.7469429852671306E-2</v>
      </c>
      <c r="F73" s="28">
        <f>IF(OR(2393616.81978="",1014.07489="",2238.18964=""),"-",(2238.18964-1014.07489)/2393616.81978*100)</f>
        <v>5.1140798305073322E-2</v>
      </c>
      <c r="G73" s="28">
        <f>IF(OR(3266113.78787="",2932.93259="",2238.18964=""),"-",(2932.93259-2238.18964)/3266113.78787*100)</f>
        <v>2.1271241454605821E-2</v>
      </c>
    </row>
    <row r="74" spans="1:7" s="31" customFormat="1" x14ac:dyDescent="0.2">
      <c r="A74" s="33" t="s">
        <v>122</v>
      </c>
      <c r="B74" s="34">
        <v>2815.7700100000002</v>
      </c>
      <c r="C74" s="28">
        <f>IF(OR(2986.07021="",2815.77001=""),"-",2815.77001/2986.07021*100)</f>
        <v>94.296845418112269</v>
      </c>
      <c r="D74" s="28">
        <f>IF(2986.07021="","-",2986.07021/3266113.78787*100)</f>
        <v>9.1425786238371345E-2</v>
      </c>
      <c r="E74" s="28">
        <f>IF(2815.77001="","-",2815.77001/4347054.06049*100)</f>
        <v>6.4774211933370962E-2</v>
      </c>
      <c r="F74" s="28">
        <f>IF(OR(2393616.81978="",2675.64728="",2986.07021=""),"-",(2986.07021-2675.64728)/2393616.81978*100)</f>
        <v>1.2968781278389036E-2</v>
      </c>
      <c r="G74" s="28">
        <f>IF(OR(3266113.78787="",2815.77001="",2986.07021=""),"-",(2815.77001-2986.07021)/3266113.78787*100)</f>
        <v>-5.2141539168805611E-3</v>
      </c>
    </row>
    <row r="75" spans="1:7" s="31" customFormat="1" x14ac:dyDescent="0.2">
      <c r="A75" s="33" t="s">
        <v>77</v>
      </c>
      <c r="B75" s="34">
        <v>2515.0860400000001</v>
      </c>
      <c r="C75" s="28">
        <f>IF(OR(1812.85935="",2515.08604=""),"-",2515.08604/1812.85935*100)</f>
        <v>138.73586166516449</v>
      </c>
      <c r="D75" s="28">
        <f>IF(1812.85935="","-",1812.85935/3266113.78787*100)</f>
        <v>5.5505088546907555E-2</v>
      </c>
      <c r="E75" s="28">
        <f>IF(2515.08604="","-",2515.08604/4347054.06049*100)</f>
        <v>5.7857252405931654E-2</v>
      </c>
      <c r="F75" s="28">
        <f>IF(OR(2393616.81978="",2414.04786="",1812.85935=""),"-",(1812.85935-2414.04786)/2393616.81978*100)</f>
        <v>-2.5116322087645429E-2</v>
      </c>
      <c r="G75" s="28">
        <f>IF(OR(3266113.78787="",2515.08604="",1812.85935=""),"-",(2515.08604-1812.85935)/3266113.78787*100)</f>
        <v>2.1500374316657168E-2</v>
      </c>
    </row>
    <row r="76" spans="1:7" s="31" customFormat="1" x14ac:dyDescent="0.2">
      <c r="A76" s="33" t="s">
        <v>82</v>
      </c>
      <c r="B76" s="34">
        <v>2331.0523600000001</v>
      </c>
      <c r="C76" s="28">
        <f>IF(OR(4006.59838="",2331.05236=""),"-",2331.05236/4006.59838*100)</f>
        <v>58.180335010268735</v>
      </c>
      <c r="D76" s="28">
        <f>IF(4006.59838="","-",4006.59838/3266113.78787*100)</f>
        <v>0.12267173283674565</v>
      </c>
      <c r="E76" s="28">
        <f>IF(2331.05236="","-",2331.05236/4347054.06049*100)</f>
        <v>5.3623726035218519E-2</v>
      </c>
      <c r="F76" s="28">
        <f>IF(OR(2393616.81978="",2197.62702="",4006.59838=""),"-",(4006.59838-2197.62702)/2393616.81978*100)</f>
        <v>7.5574809846392393E-2</v>
      </c>
      <c r="G76" s="28">
        <f>IF(OR(3266113.78787="",2331.05236="",4006.59838=""),"-",(2331.05236-4006.59838)/3266113.78787*100)</f>
        <v>-5.1300907709425178E-2</v>
      </c>
    </row>
    <row r="77" spans="1:7" s="31" customFormat="1" x14ac:dyDescent="0.2">
      <c r="A77" s="130" t="s">
        <v>37</v>
      </c>
      <c r="B77" s="32">
        <v>2175.9157300000002</v>
      </c>
      <c r="C77" s="28">
        <f>IF(OR(1992.72081="",2175.91573=""),"-",2175.91573/1992.72081*100)</f>
        <v>109.19320554493532</v>
      </c>
      <c r="D77" s="28">
        <f>IF(1992.72081="","-",1992.72081/3266113.78787*100)</f>
        <v>6.1011983642479131E-2</v>
      </c>
      <c r="E77" s="28">
        <f>IF(2175.91573="","-",2175.91573/4347054.06049*100)</f>
        <v>5.005494985159515E-2</v>
      </c>
      <c r="F77" s="28">
        <f>IF(OR(2393616.81978="",1696.04439="",1992.72081=""),"-",(1992.72081-1696.04439)/2393616.81978*100)</f>
        <v>1.2394482590044126E-2</v>
      </c>
      <c r="G77" s="28">
        <f>IF(OR(3266113.78787="",2175.91573="",1992.72081=""),"-",(2175.91573-1992.72081)/3266113.78787*100)</f>
        <v>5.6089570632954257E-3</v>
      </c>
    </row>
    <row r="78" spans="1:7" s="31" customFormat="1" x14ac:dyDescent="0.2">
      <c r="A78" s="126" t="s">
        <v>87</v>
      </c>
      <c r="B78" s="34">
        <v>2130.4616900000001</v>
      </c>
      <c r="C78" s="28">
        <f>IF(OR(1706.01129="",2130.46169=""),"-",2130.46169/1706.01129*100)</f>
        <v>124.87969467071933</v>
      </c>
      <c r="D78" s="28">
        <f>IF(1706.01129="","-",1706.01129/3266113.78787*100)</f>
        <v>5.2233675885265993E-2</v>
      </c>
      <c r="E78" s="28">
        <f>IF(2130.46169="","-",2130.46169/4347054.06049*100)</f>
        <v>4.900932126341797E-2</v>
      </c>
      <c r="F78" s="28">
        <f>IF(OR(2393616.81978="",866.66793="",1706.01129=""),"-",(1706.01129-866.66793)/2393616.81978*100)</f>
        <v>3.5065903325209126E-2</v>
      </c>
      <c r="G78" s="28">
        <f>IF(OR(3266113.78787="",2130.46169="",1706.01129=""),"-",(2130.46169-1706.01129)/3266113.78787*100)</f>
        <v>1.2995579075547334E-2</v>
      </c>
    </row>
    <row r="79" spans="1:7" s="31" customFormat="1" x14ac:dyDescent="0.2">
      <c r="A79" s="130" t="s">
        <v>84</v>
      </c>
      <c r="B79" s="32">
        <v>1895.01017</v>
      </c>
      <c r="C79" s="28">
        <f>IF(OR(1740.97582="",1895.01017=""),"-",1895.01017/1740.97582*100)</f>
        <v>108.84758698142056</v>
      </c>
      <c r="D79" s="28">
        <f>IF(1740.97582="","-",1740.97582/3266113.78787*100)</f>
        <v>5.3304199825058129E-2</v>
      </c>
      <c r="E79" s="28">
        <f>IF(1895.01017="","-",1895.01017/4347054.06049*100)</f>
        <v>4.3592974543923538E-2</v>
      </c>
      <c r="F79" s="28">
        <f>IF(OR(2393616.81978="",1047.85769="",1740.97582=""),"-",(1740.97582-1047.85769)/2393616.81978*100)</f>
        <v>2.8956937646507069E-2</v>
      </c>
      <c r="G79" s="28">
        <f>IF(OR(3266113.78787="",1895.01017="",1740.97582=""),"-",(1895.01017-1740.97582)/3266113.78787*100)</f>
        <v>4.7161354442722455E-3</v>
      </c>
    </row>
    <row r="80" spans="1:7" s="31" customFormat="1" x14ac:dyDescent="0.2">
      <c r="A80" s="130" t="s">
        <v>78</v>
      </c>
      <c r="B80" s="32">
        <v>1824.0309600000001</v>
      </c>
      <c r="C80" s="28">
        <f>IF(OR(13061.48344="",1824.03096=""),"-",1824.03096/13061.48344*100)</f>
        <v>13.964960169945293</v>
      </c>
      <c r="D80" s="28">
        <f>IF(13061.48344="","-",13061.48344/3266113.78787*100)</f>
        <v>0.39990901384112715</v>
      </c>
      <c r="E80" s="28">
        <f>IF(1824.03096="","-",1824.03096/4347054.06049*100)</f>
        <v>4.1960162781927657E-2</v>
      </c>
      <c r="F80" s="28">
        <f>IF(OR(2393616.81978="",2482.86478="",13061.48344=""),"-",(13061.48344-2482.86478)/2393616.81978*100)</f>
        <v>0.44195121677714033</v>
      </c>
      <c r="G80" s="28">
        <f>IF(OR(3266113.78787="",1824.03096="",13061.48344=""),"-",(1824.03096-13061.48344)/3266113.78787*100)</f>
        <v>-0.34406187934219268</v>
      </c>
    </row>
    <row r="81" spans="1:7" s="31" customFormat="1" x14ac:dyDescent="0.2">
      <c r="A81" s="130" t="s">
        <v>85</v>
      </c>
      <c r="B81" s="32">
        <v>1813.4890399999999</v>
      </c>
      <c r="C81" s="28">
        <f>IF(OR(3002.41274="",1813.48904=""),"-",1813.48904/3002.41274*100)</f>
        <v>60.401057317655791</v>
      </c>
      <c r="D81" s="28">
        <f>IF(3002.41274="","-",3002.41274/3266113.78787*100)</f>
        <v>9.1926152455270915E-2</v>
      </c>
      <c r="E81" s="28">
        <f>IF(1813.48904="","-",1813.48904/4347054.06049*100)</f>
        <v>4.1717655560869267E-2</v>
      </c>
      <c r="F81" s="28">
        <f>IF(OR(2393616.81978="",1190.72494="",3002.41274=""),"-",(3002.41274-1190.72494)/2393616.81978*100)</f>
        <v>7.5688296682612483E-2</v>
      </c>
      <c r="G81" s="28">
        <f>IF(OR(3266113.78787="",1813.48904="",3002.41274=""),"-",(1813.48904-3002.41274)/3266113.78787*100)</f>
        <v>-3.6401784420847086E-2</v>
      </c>
    </row>
    <row r="82" spans="1:7" s="31" customFormat="1" x14ac:dyDescent="0.2">
      <c r="A82" s="130" t="s">
        <v>297</v>
      </c>
      <c r="B82" s="32">
        <v>1700.2540100000001</v>
      </c>
      <c r="C82" s="28">
        <f>IF(OR(1155.11582="",1700.25401=""),"-",1700.25401/1155.11582*100)</f>
        <v>147.19337927516221</v>
      </c>
      <c r="D82" s="28">
        <f>IF(1155.11582="","-",1155.11582/3266113.78787*100)</f>
        <v>3.5366674127826701E-2</v>
      </c>
      <c r="E82" s="28">
        <f>IF(1700.25401="","-",1700.25401/4347054.06049*100)</f>
        <v>3.9112787334610405E-2</v>
      </c>
      <c r="F82" s="28">
        <f>IF(OR(2393616.81978="",850.62993="",1155.11582=""),"-",(1155.11582-850.62993)/2393616.81978*100)</f>
        <v>1.2720744919731374E-2</v>
      </c>
      <c r="G82" s="28">
        <f>IF(OR(3266113.78787="",1700.25401="",1155.11582=""),"-",(1700.25401-1155.11582)/3266113.78787*100)</f>
        <v>1.6690728658155927E-2</v>
      </c>
    </row>
    <row r="83" spans="1:7" s="31" customFormat="1" x14ac:dyDescent="0.2">
      <c r="A83" s="130" t="s">
        <v>56</v>
      </c>
      <c r="B83" s="32">
        <v>1389.34789</v>
      </c>
      <c r="C83" s="28">
        <f>IF(OR(1838.89782="",1389.34789=""),"-",1389.34789/1838.89782*100)</f>
        <v>75.553294744783599</v>
      </c>
      <c r="D83" s="28">
        <f>IF(1838.89782="","-",1838.89782/3266113.78787*100)</f>
        <v>5.6302319497546945E-2</v>
      </c>
      <c r="E83" s="28">
        <f>IF(1389.34789="","-",1389.34789/4347054.06049*100)</f>
        <v>3.1960676602291731E-2</v>
      </c>
      <c r="F83" s="28">
        <f>IF(OR(2393616.81978="",3041.24285="",1838.89782=""),"-",(1838.89782-3041.24285)/2393616.81978*100)</f>
        <v>-5.0231307704067238E-2</v>
      </c>
      <c r="G83" s="28">
        <f>IF(OR(3266113.78787="",1389.34789="",1838.89782=""),"-",(1389.34789-1838.89782)/3266113.78787*100)</f>
        <v>-1.3764062099415539E-2</v>
      </c>
    </row>
    <row r="84" spans="1:7" s="31" customFormat="1" x14ac:dyDescent="0.2">
      <c r="A84" s="130" t="s">
        <v>86</v>
      </c>
      <c r="B84" s="32">
        <v>1372.8633299999999</v>
      </c>
      <c r="C84" s="28">
        <f>IF(OR(1816.04702="",1372.86333=""),"-",1372.86333/1816.04702*100)</f>
        <v>75.596243647920531</v>
      </c>
      <c r="D84" s="28">
        <f>IF(1816.04702="","-",1816.04702/3266113.78787*100)</f>
        <v>5.560268679997022E-2</v>
      </c>
      <c r="E84" s="28">
        <f>IF(1372.86333="","-",1372.86333/4347054.06049*100)</f>
        <v>3.1581464387062413E-2</v>
      </c>
      <c r="F84" s="28">
        <f>IF(OR(2393616.81978="",621.68512="",1816.04702=""),"-",(1816.04702-621.68512)/2393616.81978*100)</f>
        <v>4.9897790244880336E-2</v>
      </c>
      <c r="G84" s="28">
        <f>IF(OR(3266113.78787="",1372.86333="",1816.04702=""),"-",(1372.86333-1816.04702)/3266113.78787*100)</f>
        <v>-1.3569144211874589E-2</v>
      </c>
    </row>
    <row r="85" spans="1:7" s="31" customFormat="1" x14ac:dyDescent="0.2">
      <c r="A85" s="130" t="s">
        <v>98</v>
      </c>
      <c r="B85" s="32">
        <v>1249.40769</v>
      </c>
      <c r="C85" s="28" t="s">
        <v>354</v>
      </c>
      <c r="D85" s="28">
        <f>IF(489.60993="","-",489.60993/3266113.78787*100)</f>
        <v>1.4990596219224186E-2</v>
      </c>
      <c r="E85" s="28">
        <f>IF(1249.40769="","-",1249.40769/4347054.06049*100)</f>
        <v>2.874148038221468E-2</v>
      </c>
      <c r="F85" s="28">
        <f>IF(OR(2393616.81978="",408.4775="",489.60993=""),"-",(489.60993-408.4775)/2393616.81978*100)</f>
        <v>3.3895329164447033E-3</v>
      </c>
      <c r="G85" s="28">
        <f>IF(OR(3266113.78787="",1249.40769="",489.60993=""),"-",(1249.40769-489.60993)/3266113.78787*100)</f>
        <v>2.3263052341342429E-2</v>
      </c>
    </row>
    <row r="86" spans="1:7" s="31" customFormat="1" x14ac:dyDescent="0.2">
      <c r="A86" s="33" t="s">
        <v>93</v>
      </c>
      <c r="B86" s="34">
        <v>1164.4763600000001</v>
      </c>
      <c r="C86" s="28">
        <f>IF(OR(941.47814="",1164.47636=""),"-",1164.47636/941.47814*100)</f>
        <v>123.68596895940675</v>
      </c>
      <c r="D86" s="28">
        <f>IF(941.47814="","-",941.47814/3266113.78787*100)</f>
        <v>2.8825638086968981E-2</v>
      </c>
      <c r="E86" s="28">
        <f>IF(1164.47636="","-",1164.47636/4347054.06049*100)</f>
        <v>2.6787712869361931E-2</v>
      </c>
      <c r="F86" s="28">
        <f>IF(OR(2393616.81978="",743.62848="",941.47814=""),"-",(941.47814-743.62848)/2393616.81978*100)</f>
        <v>8.2657198247037995E-3</v>
      </c>
      <c r="G86" s="28">
        <f>IF(OR(3266113.78787="",1164.47636="",941.47814=""),"-",(1164.47636-941.47814)/3266113.78787*100)</f>
        <v>6.8276316896304029E-3</v>
      </c>
    </row>
    <row r="87" spans="1:7" s="31" customFormat="1" x14ac:dyDescent="0.2">
      <c r="A87" s="33" t="s">
        <v>83</v>
      </c>
      <c r="B87" s="34">
        <v>1093.70984</v>
      </c>
      <c r="C87" s="28">
        <f>IF(OR(1232.78216="",1093.70984=""),"-",1093.70984/1232.78216*100)</f>
        <v>88.718824419068483</v>
      </c>
      <c r="D87" s="28">
        <f>IF(1232.78216="","-",1232.78216/3266113.78787*100)</f>
        <v>3.7744617611867107E-2</v>
      </c>
      <c r="E87" s="28">
        <f>IF(1093.70984="","-",1093.70984/4347054.06049*100)</f>
        <v>2.5159793846150535E-2</v>
      </c>
      <c r="F87" s="28">
        <f>IF(OR(2393616.81978="",2621.44151="",1232.78216=""),"-",(1232.78216-2621.44151)/2393616.81978*100)</f>
        <v>-5.8015106617091423E-2</v>
      </c>
      <c r="G87" s="28">
        <f>IF(OR(3266113.78787="",1093.70984="",1232.78216=""),"-",(1093.70984-1232.78216)/3266113.78787*100)</f>
        <v>-4.2580365851459254E-3</v>
      </c>
    </row>
    <row r="88" spans="1:7" x14ac:dyDescent="0.2">
      <c r="A88" s="130" t="s">
        <v>36</v>
      </c>
      <c r="B88" s="32">
        <v>1054.7692199999999</v>
      </c>
      <c r="C88" s="28">
        <f>IF(OR(1112.54844="",1054.76922=""),"-",1054.76922/1112.54844*100)</f>
        <v>94.806588376502503</v>
      </c>
      <c r="D88" s="28">
        <f>IF(1112.54844="","-",1112.54844/3266113.78787*100)</f>
        <v>3.4063370484270536E-2</v>
      </c>
      <c r="E88" s="28">
        <f>IF(1054.76922="","-",1054.76922/4347054.06049*100)</f>
        <v>2.4264000523635226E-2</v>
      </c>
      <c r="F88" s="28">
        <f>IF(OR(2393616.81978="",1482.21709="",1112.54844=""),"-",(1112.54844-1482.21709)/2393616.81978*100)</f>
        <v>-1.5443936011194002E-2</v>
      </c>
      <c r="G88" s="28">
        <f>IF(OR(3266113.78787="",1054.76922="",1112.54844=""),"-",(1054.76922-1112.54844)/3266113.78787*100)</f>
        <v>-1.7690510420851229E-3</v>
      </c>
    </row>
    <row r="89" spans="1:7" x14ac:dyDescent="0.2">
      <c r="A89" s="130" t="s">
        <v>89</v>
      </c>
      <c r="B89" s="32">
        <v>880.06781000000001</v>
      </c>
      <c r="C89" s="28">
        <f>IF(OR(1266.25293="",880.06781=""),"-",880.06781/1266.25293*100)</f>
        <v>69.501739277317995</v>
      </c>
      <c r="D89" s="28">
        <f>IF(1266.25293="","-",1266.25293/3266113.78787*100)</f>
        <v>3.8769406464120415E-2</v>
      </c>
      <c r="E89" s="28">
        <f>IF(880.06781="","-",880.06781/4347054.06049*100)</f>
        <v>2.0245154482868306E-2</v>
      </c>
      <c r="F89" s="28">
        <f>IF(OR(2393616.81978="",539.14358="",1266.25293=""),"-",(1266.25293-539.14358)/2393616.81978*100)</f>
        <v>3.0377015401605905E-2</v>
      </c>
      <c r="G89" s="28">
        <f>IF(OR(3266113.78787="",880.06781="",1266.25293=""),"-",(880.06781-1266.25293)/3266113.78787*100)</f>
        <v>-1.1823994664063777E-2</v>
      </c>
    </row>
    <row r="90" spans="1:7" x14ac:dyDescent="0.2">
      <c r="A90" s="130" t="s">
        <v>88</v>
      </c>
      <c r="B90" s="32">
        <v>860.83893999999998</v>
      </c>
      <c r="C90" s="28" t="s">
        <v>364</v>
      </c>
      <c r="D90" s="28">
        <f>IF(320.51028="","-",320.51028/3266113.78787*100)</f>
        <v>9.8132000541543037E-3</v>
      </c>
      <c r="E90" s="28">
        <f>IF(860.83894="","-",860.83894/4347054.06049*100)</f>
        <v>1.9802811927831562E-2</v>
      </c>
      <c r="F90" s="28">
        <f>IF(OR(2393616.81978="",384.60837="",320.51028=""),"-",(320.51028-384.60837)/2393616.81978*100)</f>
        <v>-2.6778759854257411E-3</v>
      </c>
      <c r="G90" s="28">
        <f>IF(OR(3266113.78787="",860.83894="",320.51028=""),"-",(860.83894-320.51028)/3266113.78787*100)</f>
        <v>1.6543473225174309E-2</v>
      </c>
    </row>
    <row r="91" spans="1:7" x14ac:dyDescent="0.2">
      <c r="A91" s="130" t="s">
        <v>348</v>
      </c>
      <c r="B91" s="32">
        <v>817.61275000000001</v>
      </c>
      <c r="C91" s="28" t="s">
        <v>365</v>
      </c>
      <c r="D91" s="28">
        <f>IF(0.62654="","-",0.62654/3266113.78787*100)</f>
        <v>1.9183042621690125E-5</v>
      </c>
      <c r="E91" s="28">
        <f>IF(817.61275="","-",817.61275/4347054.06049*100)</f>
        <v>1.8808432989854251E-2</v>
      </c>
      <c r="F91" s="28" t="str">
        <f>IF(OR(2393616.81978="",""="",0.62654=""),"-",(0.62654-"")/2393616.81978*100)</f>
        <v>-</v>
      </c>
      <c r="G91" s="28">
        <f>IF(OR(3266113.78787="",817.61275="",0.62654=""),"-",(817.61275-0.62654)/3266113.78787*100)</f>
        <v>2.5014015526164463E-2</v>
      </c>
    </row>
    <row r="92" spans="1:7" x14ac:dyDescent="0.2">
      <c r="A92" s="130" t="s">
        <v>35</v>
      </c>
      <c r="B92" s="32">
        <v>754.73428000000001</v>
      </c>
      <c r="C92" s="28">
        <f>IF(OR(1383.30526="",754.73428=""),"-",754.73428/1383.30526*100)</f>
        <v>54.560211821937266</v>
      </c>
      <c r="D92" s="28">
        <f>IF(1383.30526="","-",1383.30526/3266113.78787*100)</f>
        <v>4.2353247616094977E-2</v>
      </c>
      <c r="E92" s="28">
        <f>IF(754.73428="","-",754.73428/4347054.06049*100)</f>
        <v>1.7361971337318184E-2</v>
      </c>
      <c r="F92" s="28">
        <f>IF(OR(2393616.81978="",1790.79367="",1383.30526=""),"-",(1383.30526-1790.79367)/2393616.81978*100)</f>
        <v>-1.7023961673090709E-2</v>
      </c>
      <c r="G92" s="28">
        <f>IF(OR(3266113.78787="",754.73428="",1383.30526=""),"-",(754.73428-1383.30526)/3266113.78787*100)</f>
        <v>-1.9245226003283964E-2</v>
      </c>
    </row>
    <row r="93" spans="1:7" x14ac:dyDescent="0.2">
      <c r="A93" s="33" t="s">
        <v>65</v>
      </c>
      <c r="B93" s="34">
        <v>750.65751999999998</v>
      </c>
      <c r="C93" s="28">
        <f>IF(OR(533.55592="",750.65752=""),"-",750.65752/533.55592*100)</f>
        <v>140.6895682087081</v>
      </c>
      <c r="D93" s="28">
        <f>IF(533.55592="","-",533.55592/3266113.78787*100)</f>
        <v>1.6336109353616828E-2</v>
      </c>
      <c r="E93" s="28">
        <f>IF(750.65752="","-",750.65752/4347054.06049*100)</f>
        <v>1.726818920479185E-2</v>
      </c>
      <c r="F93" s="28">
        <f>IF(OR(2393616.81978="",583.97011="",533.55592=""),"-",(533.55592-583.97011)/2393616.81978*100)</f>
        <v>-2.1061930039676774E-3</v>
      </c>
      <c r="G93" s="28">
        <f>IF(OR(3266113.78787="",750.65752="",533.55592=""),"-",(750.65752-533.55592)/3266113.78787*100)</f>
        <v>6.6470923580890622E-3</v>
      </c>
    </row>
    <row r="94" spans="1:7" x14ac:dyDescent="0.2">
      <c r="A94" s="33" t="s">
        <v>306</v>
      </c>
      <c r="B94" s="34">
        <v>747.20231999999999</v>
      </c>
      <c r="C94" s="28">
        <f>IF(OR(1610.39855="",747.20232=""),"-",747.20232/1610.39855*100)</f>
        <v>46.398596173599387</v>
      </c>
      <c r="D94" s="28">
        <f>IF(1610.39855="","-",1610.39855/3266113.78787*100)</f>
        <v>4.9306259811916199E-2</v>
      </c>
      <c r="E94" s="28">
        <f>IF(747.20232="","-",747.20232/4347054.06049*100)</f>
        <v>1.7188705491179821E-2</v>
      </c>
      <c r="F94" s="28">
        <f>IF(OR(2393616.81978="",827.17652="",1610.39855=""),"-",(1610.39855-827.17652)/2393616.81978*100)</f>
        <v>3.2721278674503411E-2</v>
      </c>
      <c r="G94" s="28">
        <f>IF(OR(3266113.78787="",747.20232="",1610.39855=""),"-",(747.20232-1610.39855)/3266113.78787*100)</f>
        <v>-2.642884743347948E-2</v>
      </c>
    </row>
    <row r="95" spans="1:7" x14ac:dyDescent="0.2">
      <c r="A95" s="33" t="s">
        <v>299</v>
      </c>
      <c r="B95" s="34">
        <v>737.41618000000005</v>
      </c>
      <c r="C95" s="28">
        <f>IF(OR(653.21791="",737.41618=""),"-",737.41618/653.21791*100)</f>
        <v>112.88976752030575</v>
      </c>
      <c r="D95" s="28">
        <f>IF(653.21791="","-",653.21791/3266113.78787*100)</f>
        <v>1.999985157975763E-2</v>
      </c>
      <c r="E95" s="28">
        <f>IF(737.41618="","-",737.41618/4347054.06049*100)</f>
        <v>1.6963584297290255E-2</v>
      </c>
      <c r="F95" s="28">
        <f>IF(OR(2393616.81978="",384.172="",653.21791=""),"-",(653.21791-384.172)/2393616.81978*100)</f>
        <v>1.1240141186204073E-2</v>
      </c>
      <c r="G95" s="28">
        <f>IF(OR(3266113.78787="",737.41618="",653.21791=""),"-",(737.41618-653.21791)/3266113.78787*100)</f>
        <v>2.5779343730369568E-3</v>
      </c>
    </row>
    <row r="96" spans="1:7" x14ac:dyDescent="0.2">
      <c r="A96" s="130" t="s">
        <v>134</v>
      </c>
      <c r="B96" s="32">
        <v>726.82930999999996</v>
      </c>
      <c r="C96" s="28">
        <f>IF(OR(706.29035="",726.82931=""),"-",726.82931/706.29035*100)</f>
        <v>102.90800518511969</v>
      </c>
      <c r="D96" s="28">
        <f>IF(706.29035="","-",706.29035/3266113.78787*100)</f>
        <v>2.1624793129470486E-2</v>
      </c>
      <c r="E96" s="28">
        <f>IF(726.82931="","-",726.82931/4347054.06049*100)</f>
        <v>1.6720043042622562E-2</v>
      </c>
      <c r="F96" s="28">
        <f>IF(OR(2393616.81978="",420.05081="",706.29035=""),"-",(706.29035-420.05081)/2393616.81978*100)</f>
        <v>1.1958452900005464E-2</v>
      </c>
      <c r="G96" s="28">
        <f>IF(OR(3266113.78787="",726.82931="",706.29035=""),"-",(726.82931-706.29035)/3266113.78787*100)</f>
        <v>6.2885010547640715E-4</v>
      </c>
    </row>
    <row r="97" spans="1:7" x14ac:dyDescent="0.2">
      <c r="A97" s="33" t="s">
        <v>62</v>
      </c>
      <c r="B97" s="34">
        <v>595.50818000000004</v>
      </c>
      <c r="C97" s="28">
        <f>IF(OR(523.69906="",595.50818=""),"-",595.50818/523.69906*100)</f>
        <v>113.71190545959735</v>
      </c>
      <c r="D97" s="28">
        <f>IF(523.69906="","-",523.69906/3266113.78787*100)</f>
        <v>1.6034317663547508E-2</v>
      </c>
      <c r="E97" s="28">
        <f>IF(595.50818="","-",595.50818/4347054.06049*100)</f>
        <v>1.3699120639251364E-2</v>
      </c>
      <c r="F97" s="28">
        <f>IF(OR(2393616.81978="",362.93412="",523.69906=""),"-",(523.69906-362.93412)/2393616.81978*100)</f>
        <v>6.7164025031699152E-3</v>
      </c>
      <c r="G97" s="28">
        <f>IF(OR(3266113.78787="",595.50818="",523.69906=""),"-",(595.50818-523.69906)/3266113.78787*100)</f>
        <v>2.1986104791171532E-3</v>
      </c>
    </row>
    <row r="98" spans="1:7" x14ac:dyDescent="0.2">
      <c r="A98" s="130" t="s">
        <v>289</v>
      </c>
      <c r="B98" s="32">
        <v>532.74995000000001</v>
      </c>
      <c r="C98" s="28" t="s">
        <v>366</v>
      </c>
      <c r="D98" s="28">
        <f>IF(20.70533="","-",20.70533/3266113.78787*100)</f>
        <v>6.3394392678226333E-4</v>
      </c>
      <c r="E98" s="28">
        <f>IF(532.74995="","-",532.74995/4347054.06049*100)</f>
        <v>1.2255424997865069E-2</v>
      </c>
      <c r="F98" s="28">
        <f>IF(OR(2393616.81978="",17.88279="",20.70533=""),"-",(20.70533-17.88279)/2393616.81978*100)</f>
        <v>1.1791945881544326E-4</v>
      </c>
      <c r="G98" s="28">
        <f>IF(OR(3266113.78787="",532.74995="",20.70533=""),"-",(532.74995-20.70533)/3266113.78787*100)</f>
        <v>1.5677488699312295E-2</v>
      </c>
    </row>
    <row r="99" spans="1:7" x14ac:dyDescent="0.2">
      <c r="A99" s="33" t="s">
        <v>97</v>
      </c>
      <c r="B99" s="34">
        <v>525.70271000000002</v>
      </c>
      <c r="C99" s="28" t="s">
        <v>367</v>
      </c>
      <c r="D99" s="28">
        <f>IF(207.85608="","-",207.85608/3266113.78787*100)</f>
        <v>6.3640183257532368E-3</v>
      </c>
      <c r="E99" s="28">
        <f>IF(525.70271="","-",525.70271/4347054.06049*100)</f>
        <v>1.209330969168446E-2</v>
      </c>
      <c r="F99" s="28">
        <f>IF(OR(2393616.81978="",219.88377="",207.85608=""),"-",(207.85608-219.88377)/2393616.81978*100)</f>
        <v>-5.024902023000275E-4</v>
      </c>
      <c r="G99" s="28">
        <f>IF(OR(3266113.78787="",525.70271="",207.85608=""),"-",(525.70271-207.85608)/3266113.78787*100)</f>
        <v>9.7316459451121592E-3</v>
      </c>
    </row>
    <row r="100" spans="1:7" x14ac:dyDescent="0.2">
      <c r="A100" s="33" t="s">
        <v>90</v>
      </c>
      <c r="B100" s="34">
        <v>498.94900999999999</v>
      </c>
      <c r="C100" s="28" t="s">
        <v>100</v>
      </c>
      <c r="D100" s="28">
        <f>IF(303.98348="","-",303.98348/3266113.78787*100)</f>
        <v>9.3071919640081852E-3</v>
      </c>
      <c r="E100" s="28">
        <f>IF(498.94901="","-",498.94901/4347054.06049*100)</f>
        <v>1.1477865309633588E-2</v>
      </c>
      <c r="F100" s="28">
        <f>IF(OR(2393616.81978="",454.35975="",303.98348=""),"-",(303.98348-454.35975)/2393616.81978*100)</f>
        <v>-6.2823869199674694E-3</v>
      </c>
      <c r="G100" s="28">
        <f>IF(OR(3266113.78787="",498.94901="",303.98348=""),"-",(498.94901-303.98348)/3266113.78787*100)</f>
        <v>5.9693428540083717E-3</v>
      </c>
    </row>
    <row r="101" spans="1:7" x14ac:dyDescent="0.2">
      <c r="A101" s="33" t="s">
        <v>103</v>
      </c>
      <c r="B101" s="34">
        <v>347.37981000000002</v>
      </c>
      <c r="C101" s="28" t="s">
        <v>100</v>
      </c>
      <c r="D101" s="28">
        <f>IF(216.4014="","-",216.4014/3266113.78787*100)</f>
        <v>6.625654035805238E-3</v>
      </c>
      <c r="E101" s="28">
        <f>IF(347.37981="","-",347.37981/4347054.06049*100)</f>
        <v>7.9911545880532106E-3</v>
      </c>
      <c r="F101" s="28">
        <f>IF(OR(2393616.81978="",152.31187="",216.4014=""),"-",(216.4014-152.31187)/2393616.81978*100)</f>
        <v>2.6775183676178605E-3</v>
      </c>
      <c r="G101" s="28">
        <f>IF(OR(3266113.78787="",347.37981="",216.4014=""),"-",(347.37981-216.4014)/3266113.78787*100)</f>
        <v>4.0102218877505107E-3</v>
      </c>
    </row>
    <row r="102" spans="1:7" x14ac:dyDescent="0.2">
      <c r="A102" s="33" t="s">
        <v>58</v>
      </c>
      <c r="B102" s="34">
        <v>338.74203999999997</v>
      </c>
      <c r="C102" s="28" t="s">
        <v>100</v>
      </c>
      <c r="D102" s="28">
        <f>IF(205.82144="","-",205.82144/3266113.78787*100)</f>
        <v>6.3017228843771141E-3</v>
      </c>
      <c r="E102" s="28">
        <f>IF(338.74204="","-",338.74204/4347054.06049*100)</f>
        <v>7.7924505949626254E-3</v>
      </c>
      <c r="F102" s="28">
        <f>IF(OR(2393616.81978="",108.38257="",205.82144=""),"-",(205.82144-108.38257)/2393616.81978*100)</f>
        <v>4.0707798004592779E-3</v>
      </c>
      <c r="G102" s="28">
        <f>IF(OR(3266113.78787="",338.74204="",205.82144=""),"-",(338.74204-205.82144)/3266113.78787*100)</f>
        <v>4.0696867480138925E-3</v>
      </c>
    </row>
    <row r="103" spans="1:7" x14ac:dyDescent="0.2">
      <c r="A103" s="33" t="s">
        <v>94</v>
      </c>
      <c r="B103" s="34">
        <v>304.70548000000002</v>
      </c>
      <c r="C103" s="28">
        <f>IF(OR(503.27562="",304.70548=""),"-",304.70548/503.27562*100)</f>
        <v>60.544454746287933</v>
      </c>
      <c r="D103" s="28">
        <f>IF(503.27562="","-",503.27562/3266113.78787*100)</f>
        <v>1.5409004483221382E-2</v>
      </c>
      <c r="E103" s="28">
        <f>IF(304.70548="","-",304.70548/4347054.06049*100)</f>
        <v>7.0094706842834531E-3</v>
      </c>
      <c r="F103" s="28">
        <f>IF(OR(2393616.81978="",221.3578="",503.27562=""),"-",(503.27562-221.3578)/2393616.81978*100)</f>
        <v>1.1777901027028687E-2</v>
      </c>
      <c r="G103" s="28">
        <f>IF(OR(3266113.78787="",304.70548="",503.27562=""),"-",(304.70548-503.27562)/3266113.78787*100)</f>
        <v>-6.079706737023933E-3</v>
      </c>
    </row>
    <row r="104" spans="1:7" x14ac:dyDescent="0.2">
      <c r="A104" s="33" t="s">
        <v>203</v>
      </c>
      <c r="B104" s="34">
        <v>220.09882999999999</v>
      </c>
      <c r="C104" s="28">
        <f>IF(OR(414.77334="",220.09883=""),"-",220.09883/414.77334*100)</f>
        <v>53.064845006672797</v>
      </c>
      <c r="D104" s="28">
        <f>IF(414.77334="","-",414.77334/3266113.78787*100)</f>
        <v>1.2699292398826525E-2</v>
      </c>
      <c r="E104" s="28">
        <f>IF(220.09883="","-",220.09883/4347054.06049*100)</f>
        <v>5.0631721376658114E-3</v>
      </c>
      <c r="F104" s="28">
        <f>IF(OR(2393616.81978="",117.71513="",414.77334=""),"-",(414.77334-117.71513)/2393616.81978*100)</f>
        <v>1.2410432929164619E-2</v>
      </c>
      <c r="G104" s="28">
        <f>IF(OR(3266113.78787="",220.09883="",414.77334=""),"-",(220.09883-414.77334)/3266113.78787*100)</f>
        <v>-5.9604325704450496E-3</v>
      </c>
    </row>
    <row r="105" spans="1:7" x14ac:dyDescent="0.2">
      <c r="A105" s="130" t="s">
        <v>118</v>
      </c>
      <c r="B105" s="32">
        <v>208.89345</v>
      </c>
      <c r="C105" s="28">
        <f>IF(OR(394.26863="",208.89345=""),"-",208.89345/394.26863*100)</f>
        <v>52.98251854325818</v>
      </c>
      <c r="D105" s="28">
        <f>IF(394.26863="","-",394.26863/3266113.78787*100)</f>
        <v>1.2071490940219897E-2</v>
      </c>
      <c r="E105" s="28">
        <f>IF(208.89345="","-",208.89345/4347054.06049*100)</f>
        <v>4.8054026265422958E-3</v>
      </c>
      <c r="F105" s="28">
        <f>IF(OR(2393616.81978="",143.5722="",394.26863=""),"-",(394.26863-143.5722)/2393616.81978*100)</f>
        <v>1.0473540623893249E-2</v>
      </c>
      <c r="G105" s="28">
        <f>IF(OR(3266113.78787="",208.89345="",394.26863=""),"-",(208.89345-394.26863)/3266113.78787*100)</f>
        <v>-5.6757110143701578E-3</v>
      </c>
    </row>
    <row r="106" spans="1:7" x14ac:dyDescent="0.2">
      <c r="A106" s="130" t="s">
        <v>202</v>
      </c>
      <c r="B106" s="32">
        <v>185.34322</v>
      </c>
      <c r="C106" s="28" t="s">
        <v>360</v>
      </c>
      <c r="D106" s="28">
        <f>IF(42.11537="","-",42.11537/3266113.78787*100)</f>
        <v>1.2894642604434669E-3</v>
      </c>
      <c r="E106" s="28">
        <f>IF(185.34322="","-",185.34322/4347054.06049*100)</f>
        <v>4.263651139850516E-3</v>
      </c>
      <c r="F106" s="28">
        <f>IF(OR(2393616.81978="",1.12235="",42.11537=""),"-",(42.11537-1.12235)/2393616.81978*100)</f>
        <v>1.7125974241678213E-3</v>
      </c>
      <c r="G106" s="28">
        <f>IF(OR(3266113.78787="",185.34322="",42.11537=""),"-",(185.34322-42.11537)/3266113.78787*100)</f>
        <v>4.3852682209644086E-3</v>
      </c>
    </row>
    <row r="107" spans="1:7" x14ac:dyDescent="0.2">
      <c r="A107" s="126" t="s">
        <v>125</v>
      </c>
      <c r="B107" s="34">
        <v>184.40502000000001</v>
      </c>
      <c r="C107" s="28" t="s">
        <v>18</v>
      </c>
      <c r="D107" s="28">
        <f>IF(94.52166="","-",94.52166/3266113.78787*100)</f>
        <v>2.8940100112569075E-3</v>
      </c>
      <c r="E107" s="28">
        <f>IF(184.40502="","-",184.40502/4347054.06049*100)</f>
        <v>4.2420687075424559E-3</v>
      </c>
      <c r="F107" s="28">
        <f>IF(OR(2393616.81978="",114.48174="",94.52166=""),"-",(94.52166-114.48174)/2393616.81978*100)</f>
        <v>-8.3388785686401383E-4</v>
      </c>
      <c r="G107" s="28">
        <f>IF(OR(3266113.78787="",184.40502="",94.52166=""),"-",(184.40502-94.52166)/3266113.78787*100)</f>
        <v>2.7519972002756688E-3</v>
      </c>
    </row>
    <row r="108" spans="1:7" x14ac:dyDescent="0.2">
      <c r="A108" s="33" t="s">
        <v>349</v>
      </c>
      <c r="B108" s="34">
        <v>175.24554000000001</v>
      </c>
      <c r="C108" s="28" t="s">
        <v>368</v>
      </c>
      <c r="D108" s="28">
        <f>IF(4.89148="","-",4.89148/3266113.78787*100)</f>
        <v>1.4976453111237084E-4</v>
      </c>
      <c r="E108" s="28">
        <f>IF(175.24554="","-",175.24554/4347054.06049*100)</f>
        <v>4.0313632533993914E-3</v>
      </c>
      <c r="F108" s="28">
        <f>IF(OR(2393616.81978="",2.97246="",4.89148=""),"-",(4.89148-2.97246)/2393616.81978*100)</f>
        <v>8.017239786008768E-5</v>
      </c>
      <c r="G108" s="28">
        <f>IF(OR(3266113.78787="",175.24554="",4.89148=""),"-",(175.24554-4.89148)/3266113.78787*100)</f>
        <v>5.2158029714909774E-3</v>
      </c>
    </row>
    <row r="109" spans="1:7" x14ac:dyDescent="0.2">
      <c r="A109" s="33" t="s">
        <v>324</v>
      </c>
      <c r="B109" s="34">
        <v>111.60003</v>
      </c>
      <c r="C109" s="28" t="s">
        <v>369</v>
      </c>
      <c r="D109" s="28">
        <f>IF(19.08884="","-",19.08884/3266113.78787*100)</f>
        <v>5.8445116244553157E-4</v>
      </c>
      <c r="E109" s="28">
        <f>IF(111.60003="","-",111.60003/4347054.06049*100)</f>
        <v>2.5672565477002705E-3</v>
      </c>
      <c r="F109" s="28">
        <f>IF(OR(2393616.81978="",336.77539="",19.08884=""),"-",(19.08884-336.77539)/2393616.81978*100)</f>
        <v>-1.3272239206156604E-2</v>
      </c>
      <c r="G109" s="28">
        <f>IF(OR(3266113.78787="",111.60003="",19.08884=""),"-",(111.60003-19.08884)/3266113.78787*100)</f>
        <v>2.8324545930878691E-3</v>
      </c>
    </row>
    <row r="110" spans="1:7" x14ac:dyDescent="0.2">
      <c r="A110" s="33" t="s">
        <v>314</v>
      </c>
      <c r="B110" s="34">
        <v>106.7026</v>
      </c>
      <c r="C110" s="28">
        <f>IF(OR(80.63134="",106.7026=""),"-",106.7026/80.63134*100)</f>
        <v>132.33390391378836</v>
      </c>
      <c r="D110" s="28">
        <f>IF(80.63134="","-",80.63134/3266113.78787*100)</f>
        <v>2.4687241546652852E-3</v>
      </c>
      <c r="E110" s="28">
        <f>IF(106.7026="","-",106.7026/4347054.06049*100)</f>
        <v>2.4545956529459971E-3</v>
      </c>
      <c r="F110" s="28">
        <f>IF(OR(2393616.81978="",56.18831="",80.63134=""),"-",(80.63134-56.18831)/2393616.81978*100)</f>
        <v>1.021175561518931E-3</v>
      </c>
      <c r="G110" s="28">
        <f>IF(OR(3266113.78787="",106.7026="",80.63134=""),"-",(106.7026-80.63134)/3266113.78787*100)</f>
        <v>7.9823489606595775E-4</v>
      </c>
    </row>
    <row r="111" spans="1:7" x14ac:dyDescent="0.2">
      <c r="A111" s="33" t="s">
        <v>325</v>
      </c>
      <c r="B111" s="34">
        <v>104.59751</v>
      </c>
      <c r="C111" s="28" t="s">
        <v>101</v>
      </c>
      <c r="D111" s="28">
        <f>IF(53.92962="","-",53.92962/3266113.78787*100)</f>
        <v>1.6511861956643667E-3</v>
      </c>
      <c r="E111" s="28">
        <f>IF(104.59751="","-",104.59751/4347054.06049*100)</f>
        <v>2.4061699841894709E-3</v>
      </c>
      <c r="F111" s="28">
        <f>IF(OR(2393616.81978="",41.42354="",53.92962=""),"-",(53.92962-41.42354)/2393616.81978*100)</f>
        <v>5.2247627509358183E-4</v>
      </c>
      <c r="G111" s="28">
        <f>IF(OR(3266113.78787="",104.59751="",53.92962=""),"-",(104.59751-53.92962)/3266113.78787*100)</f>
        <v>1.5513204159688242E-3</v>
      </c>
    </row>
    <row r="112" spans="1:7" x14ac:dyDescent="0.2">
      <c r="A112" s="33" t="s">
        <v>287</v>
      </c>
      <c r="B112" s="34">
        <v>93.59881</v>
      </c>
      <c r="C112" s="28" t="s">
        <v>370</v>
      </c>
      <c r="D112" s="28">
        <f>IF(8.00161="","-",8.00161/3266113.78787*100)</f>
        <v>2.4498870889670563E-4</v>
      </c>
      <c r="E112" s="28">
        <f>IF(93.59881="","-",93.59881/4347054.06049*100)</f>
        <v>2.1531549573011186E-3</v>
      </c>
      <c r="F112" s="28">
        <f>IF(OR(2393616.81978="",79.51236="",8.00161=""),"-",(8.00161-79.51236)/2393616.81978*100)</f>
        <v>-2.9875604737174531E-3</v>
      </c>
      <c r="G112" s="28">
        <f>IF(OR(3266113.78787="",93.59881="",8.00161=""),"-",(93.59881-8.00161)/3266113.78787*100)</f>
        <v>2.6207660099871262E-3</v>
      </c>
    </row>
    <row r="113" spans="1:7" x14ac:dyDescent="0.2">
      <c r="A113" s="126" t="s">
        <v>326</v>
      </c>
      <c r="B113" s="34">
        <v>83.795320000000004</v>
      </c>
      <c r="C113" s="28" t="s">
        <v>371</v>
      </c>
      <c r="D113" s="28">
        <f>IF(1.59103="","-",1.59103/3266113.78787*100)</f>
        <v>4.8713244649005081E-5</v>
      </c>
      <c r="E113" s="28">
        <f>IF(83.79532="","-",83.79532/4347054.06049*100)</f>
        <v>1.92763464254122E-3</v>
      </c>
      <c r="F113" s="28">
        <f>IF(OR(2393616.81978="",0.21914="",1.59103=""),"-",(1.59103-0.21914)/2393616.81978*100)</f>
        <v>5.7314520380337732E-5</v>
      </c>
      <c r="G113" s="28">
        <f>IF(OR(3266113.78787="",83.79532="",1.59103=""),"-",(83.79532-1.59103)/3266113.78787*100)</f>
        <v>2.5168838362367536E-3</v>
      </c>
    </row>
    <row r="114" spans="1:7" x14ac:dyDescent="0.2">
      <c r="A114" s="130" t="s">
        <v>123</v>
      </c>
      <c r="B114" s="32">
        <v>82.761070000000004</v>
      </c>
      <c r="C114" s="28">
        <f>IF(OR(113.22028="",82.76107=""),"-",82.76107/113.22028*100)</f>
        <v>73.097390326185391</v>
      </c>
      <c r="D114" s="28">
        <f>IF(113.22028="","-",113.22028/3266113.78787*100)</f>
        <v>3.4665136413951072E-3</v>
      </c>
      <c r="E114" s="28">
        <f>IF(82.76107="","-",82.76107/4347054.06049*100)</f>
        <v>1.9038426678933728E-3</v>
      </c>
      <c r="F114" s="28">
        <f>IF(OR(2393616.81978="",857.74555="",113.22028=""),"-",(113.22028-857.74555)/2393616.81978*100)</f>
        <v>-3.1104613898411279E-2</v>
      </c>
      <c r="G114" s="28">
        <f>IF(OR(3266113.78787="",82.76107="",113.22028=""),"-",(82.76107-113.22028)/3266113.78787*100)</f>
        <v>-9.3258263423406354E-4</v>
      </c>
    </row>
    <row r="115" spans="1:7" x14ac:dyDescent="0.2">
      <c r="A115" s="33" t="s">
        <v>311</v>
      </c>
      <c r="B115" s="34">
        <v>80.197100000000006</v>
      </c>
      <c r="C115" s="28" t="s">
        <v>354</v>
      </c>
      <c r="D115" s="28">
        <f>IF(30.30531="","-",30.30531/3266113.78787*100)</f>
        <v>9.2787061224108922E-4</v>
      </c>
      <c r="E115" s="28">
        <f>IF(80.1971="","-",80.1971/4347054.06049*100)</f>
        <v>1.8448608847289141E-3</v>
      </c>
      <c r="F115" s="28">
        <f>IF(OR(2393616.81978="",82.95822="",30.30531=""),"-",(30.30531-82.95822)/2393616.81978*100)</f>
        <v>-2.1997217585076707E-3</v>
      </c>
      <c r="G115" s="28">
        <f>IF(OR(3266113.78787="",80.1971="",30.30531=""),"-",(80.1971-30.30531)/3266113.78787*100)</f>
        <v>1.5275582309867103E-3</v>
      </c>
    </row>
    <row r="116" spans="1:7" x14ac:dyDescent="0.2">
      <c r="A116" s="130" t="s">
        <v>126</v>
      </c>
      <c r="B116" s="32">
        <v>79.822559999999996</v>
      </c>
      <c r="C116" s="28">
        <f>IF(OR(199.42235="",79.82256=""),"-",79.82256/199.42235*100)</f>
        <v>40.026887658279023</v>
      </c>
      <c r="D116" s="28">
        <f>IF(199.42235="","-",199.42235/3266113.78787*100)</f>
        <v>6.1057992143639765E-3</v>
      </c>
      <c r="E116" s="28">
        <f>IF(79.82256="","-",79.82256/4347054.06049*100)</f>
        <v>1.8362449348284017E-3</v>
      </c>
      <c r="F116" s="28">
        <f>IF(OR(2393616.81978="",68.43114="",199.42235=""),"-",(199.42235-68.43114)/2393616.81978*100)</f>
        <v>5.4725221229035117E-3</v>
      </c>
      <c r="G116" s="28">
        <f>IF(OR(3266113.78787="",79.82256="",199.42235=""),"-",(79.82256-199.42235)/3266113.78787*100)</f>
        <v>-3.6618378221904249E-3</v>
      </c>
    </row>
    <row r="117" spans="1:7" x14ac:dyDescent="0.2">
      <c r="A117" s="33" t="s">
        <v>288</v>
      </c>
      <c r="B117" s="34">
        <v>76.053309999999996</v>
      </c>
      <c r="C117" s="28" t="s">
        <v>372</v>
      </c>
      <c r="D117" s="28">
        <f>IF(0.83585="","-",0.83585/3266113.78787*100)</f>
        <v>2.5591576236696291E-5</v>
      </c>
      <c r="E117" s="28">
        <f>IF(76.05331="","-",76.05331/4347054.06049*100)</f>
        <v>1.7495367884021039E-3</v>
      </c>
      <c r="F117" s="28">
        <f>IF(OR(2393616.81978="",0.18638="",0.83585=""),"-",(0.83585-0.18638)/2393616.81978*100)</f>
        <v>2.7133415617445962E-5</v>
      </c>
      <c r="G117" s="28">
        <f>IF(OR(3266113.78787="",76.05331="",0.83585=""),"-",(76.05331-0.83585)/3266113.78787*100)</f>
        <v>2.3029650797638974E-3</v>
      </c>
    </row>
    <row r="118" spans="1:7" x14ac:dyDescent="0.2">
      <c r="A118" s="130" t="s">
        <v>350</v>
      </c>
      <c r="B118" s="32">
        <v>70.886520000000004</v>
      </c>
      <c r="C118" s="28">
        <f>IF(OR(87.42707="",70.88652=""),"-",70.88652/87.42707*100)</f>
        <v>81.080745357244624</v>
      </c>
      <c r="D118" s="28">
        <f>IF(87.42707="","-",87.42707/3266113.78787*100)</f>
        <v>2.6767919208661637E-3</v>
      </c>
      <c r="E118" s="28">
        <f>IF(70.88652="","-",70.88652/4347054.06049*100)</f>
        <v>1.6306795133808312E-3</v>
      </c>
      <c r="F118" s="28">
        <f>IF(OR(2393616.81978="",8.60914="",87.42707=""),"-",(87.42707-8.60914)/2393616.81978*100)</f>
        <v>3.2928382416382023E-3</v>
      </c>
      <c r="G118" s="28">
        <f>IF(OR(3266113.78787="",70.88652="",87.42707=""),"-",(70.88652-87.42707)/3266113.78787*100)</f>
        <v>-5.0642907976537256E-4</v>
      </c>
    </row>
    <row r="119" spans="1:7" x14ac:dyDescent="0.2">
      <c r="A119" s="131" t="s">
        <v>327</v>
      </c>
      <c r="B119" s="96">
        <v>70.025819999999996</v>
      </c>
      <c r="C119" s="40" t="s">
        <v>194</v>
      </c>
      <c r="D119" s="40">
        <f>IF(31.28226="","-",31.28226/3266113.78787*100)</f>
        <v>9.5778230740701663E-4</v>
      </c>
      <c r="E119" s="40">
        <f>IF(70.02582="","-",70.02582/4347054.06049*100)</f>
        <v>1.6108798976405343E-3</v>
      </c>
      <c r="F119" s="40">
        <f>IF(OR(2393616.81978="",43.49346="",31.28226=""),"-",(31.28226-43.49346)/2393616.81978*100)</f>
        <v>-5.1015684294541106E-4</v>
      </c>
      <c r="G119" s="40">
        <f>IF(OR(3266113.78787="",70.02582="",31.28226=""),"-",(70.02582-31.28226)/3266113.78787*100)</f>
        <v>1.1862281143997329E-3</v>
      </c>
    </row>
    <row r="120" spans="1:7" x14ac:dyDescent="0.2">
      <c r="A120" s="41" t="s">
        <v>279</v>
      </c>
      <c r="B120" s="42"/>
      <c r="C120" s="42"/>
      <c r="D120" s="42"/>
      <c r="E120" s="42"/>
      <c r="F120" s="31"/>
      <c r="G120" s="31"/>
    </row>
    <row r="121" spans="1:7" ht="13.5" x14ac:dyDescent="0.2">
      <c r="A121" s="43" t="s">
        <v>414</v>
      </c>
      <c r="B121" s="43"/>
      <c r="C121" s="43"/>
      <c r="D121" s="43"/>
      <c r="E121" s="43"/>
      <c r="F121" s="31"/>
      <c r="G121" s="31"/>
    </row>
  </sheetData>
  <mergeCells count="10">
    <mergeCell ref="A121:E121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37"/>
  <sheetViews>
    <sheetView workbookViewId="0">
      <selection sqref="A1:G1"/>
    </sheetView>
  </sheetViews>
  <sheetFormatPr defaultRowHeight="12" x14ac:dyDescent="0.2"/>
  <cols>
    <col min="1" max="1" width="44.125" style="3" customWidth="1"/>
    <col min="2" max="2" width="14.625" style="3" customWidth="1"/>
    <col min="3" max="3" width="14.875" style="3" customWidth="1"/>
    <col min="4" max="4" width="16" style="3" customWidth="1"/>
    <col min="5" max="16384" width="9" style="3"/>
  </cols>
  <sheetData>
    <row r="1" spans="1:4" x14ac:dyDescent="0.2">
      <c r="A1" s="44" t="s">
        <v>421</v>
      </c>
      <c r="B1" s="44"/>
      <c r="C1" s="44"/>
      <c r="D1" s="44"/>
    </row>
    <row r="2" spans="1:4" x14ac:dyDescent="0.2">
      <c r="A2" s="45"/>
    </row>
    <row r="3" spans="1:4" ht="23.25" customHeight="1" x14ac:dyDescent="0.2">
      <c r="A3" s="46"/>
      <c r="B3" s="47" t="s">
        <v>344</v>
      </c>
      <c r="C3" s="48"/>
      <c r="D3" s="49" t="s">
        <v>410</v>
      </c>
    </row>
    <row r="4" spans="1:4" ht="24" customHeight="1" x14ac:dyDescent="0.2">
      <c r="A4" s="50"/>
      <c r="B4" s="51" t="s">
        <v>300</v>
      </c>
      <c r="C4" s="52" t="s">
        <v>301</v>
      </c>
      <c r="D4" s="53"/>
    </row>
    <row r="5" spans="1:4" ht="16.5" customHeight="1" x14ac:dyDescent="0.2">
      <c r="A5" s="25" t="s">
        <v>200</v>
      </c>
      <c r="B5" s="21">
        <f>IF(-1934611.447="","-",-1934611.447)</f>
        <v>-1934611.4469999999</v>
      </c>
      <c r="C5" s="21">
        <f>IF(-2056667.7007="","-",-2056667.7007)</f>
        <v>-2056667.7006999999</v>
      </c>
      <c r="D5" s="121">
        <f>IF(-1934611.447="","-",-2056667.7007/-1934611.447*100)</f>
        <v>106.3090836089734</v>
      </c>
    </row>
    <row r="6" spans="1:4" x14ac:dyDescent="0.2">
      <c r="A6" s="109" t="s">
        <v>124</v>
      </c>
      <c r="B6" s="122"/>
      <c r="C6" s="122"/>
      <c r="D6" s="123"/>
    </row>
    <row r="7" spans="1:4" x14ac:dyDescent="0.2">
      <c r="A7" s="25" t="s">
        <v>338</v>
      </c>
      <c r="B7" s="26">
        <f>IF(-689083.58565="","-",-689083.58565)</f>
        <v>-689083.58565000002</v>
      </c>
      <c r="C7" s="26">
        <f>IF(-587147.83792="","-",-587147.83792)</f>
        <v>-587147.83791999996</v>
      </c>
      <c r="D7" s="124">
        <f>IF(-689083.58565="","-",-587147.83792/-689083.58565*100)</f>
        <v>85.207056175362823</v>
      </c>
    </row>
    <row r="8" spans="1:4" x14ac:dyDescent="0.2">
      <c r="A8" s="27" t="s">
        <v>4</v>
      </c>
      <c r="B8" s="28">
        <f>IF(-137220.06822="","-",-137220.06822)</f>
        <v>-137220.06821999999</v>
      </c>
      <c r="C8" s="28">
        <f>IF(-158805.85351="","-",-158805.85351)</f>
        <v>-158805.85350999999</v>
      </c>
      <c r="D8" s="125">
        <f>IF(OR(-137220.06822="",-158805.85351="",-137220.06822=0),"-",-158805.85351/-137220.06822*100)</f>
        <v>115.73077871918289</v>
      </c>
    </row>
    <row r="9" spans="1:4" x14ac:dyDescent="0.2">
      <c r="A9" s="27" t="s">
        <v>5</v>
      </c>
      <c r="B9" s="28">
        <f>IF(-72737.1603="","-",-72737.1603)</f>
        <v>-72737.160300000003</v>
      </c>
      <c r="C9" s="28">
        <f>IF(-82095.72621="","-",-82095.72621)</f>
        <v>-82095.726209999993</v>
      </c>
      <c r="D9" s="125">
        <f>IF(OR(-72737.1603="",-82095.72621="",-72737.1603=0),"-",-82095.72621/-72737.1603*100)</f>
        <v>112.86627890255978</v>
      </c>
    </row>
    <row r="10" spans="1:4" x14ac:dyDescent="0.2">
      <c r="A10" s="27" t="s">
        <v>292</v>
      </c>
      <c r="B10" s="28">
        <f>IF(-68630.039="","-",-68630.039)</f>
        <v>-68630.039000000004</v>
      </c>
      <c r="C10" s="28">
        <f>IF(-79577.322="","-",-79577.322)</f>
        <v>-79577.322</v>
      </c>
      <c r="D10" s="125">
        <f>IF(OR(-68630.039="",-79577.322="",-68630.039=0),"-",-79577.322/-68630.039*100)</f>
        <v>115.95115369233579</v>
      </c>
    </row>
    <row r="11" spans="1:4" x14ac:dyDescent="0.2">
      <c r="A11" s="27" t="s">
        <v>40</v>
      </c>
      <c r="B11" s="28">
        <f>IF(-44615.23113="","-",-44615.23113)</f>
        <v>-44615.23113</v>
      </c>
      <c r="C11" s="28">
        <f>IF(-65200.90027="","-",-65200.90027)</f>
        <v>-65200.900269999998</v>
      </c>
      <c r="D11" s="125">
        <f>IF(OR(-44615.23113="",-65200.90027="",-44615.23113=0),"-",-65200.90027/-44615.23113*100)</f>
        <v>146.1404516319044</v>
      </c>
    </row>
    <row r="12" spans="1:4" x14ac:dyDescent="0.2">
      <c r="A12" s="27" t="s">
        <v>38</v>
      </c>
      <c r="B12" s="28">
        <f>IF(-27373.60578="","-",-27373.60578)</f>
        <v>-27373.605780000002</v>
      </c>
      <c r="C12" s="28">
        <f>IF(-39732.10908="","-",-39732.10908)</f>
        <v>-39732.109080000002</v>
      </c>
      <c r="D12" s="125">
        <f>IF(OR(-27373.60578="",-39732.10908="",-27373.60578=0),"-",-39732.10908/-27373.60578*100)</f>
        <v>145.14751691583686</v>
      </c>
    </row>
    <row r="13" spans="1:4" x14ac:dyDescent="0.2">
      <c r="A13" s="27" t="s">
        <v>2</v>
      </c>
      <c r="B13" s="28">
        <f>IF(-47203.76713="","-",-47203.76713)</f>
        <v>-47203.76713</v>
      </c>
      <c r="C13" s="28">
        <f>IF(-38434.46636="","-",-38434.46636)</f>
        <v>-38434.466359999999</v>
      </c>
      <c r="D13" s="125">
        <f>IF(OR(-47203.76713="",-38434.46636="",-47203.76713=0),"-",-38434.46636/-47203.76713*100)</f>
        <v>81.422455657301256</v>
      </c>
    </row>
    <row r="14" spans="1:4" x14ac:dyDescent="0.2">
      <c r="A14" s="27" t="s">
        <v>3</v>
      </c>
      <c r="B14" s="28">
        <f>IF(-125768.09273="","-",-125768.09273)</f>
        <v>-125768.09273</v>
      </c>
      <c r="C14" s="28">
        <f>IF(-33377.78171="","-",-33377.78171)</f>
        <v>-33377.781710000003</v>
      </c>
      <c r="D14" s="125">
        <f>IF(OR(-125768.09273="",-33377.78171="",-125768.09273=0),"-",-33377.78171/-125768.09273*100)</f>
        <v>26.539149147833307</v>
      </c>
    </row>
    <row r="15" spans="1:4" x14ac:dyDescent="0.2">
      <c r="A15" s="27" t="s">
        <v>7</v>
      </c>
      <c r="B15" s="28">
        <f>IF(-38992.30391="","-",-38992.30391)</f>
        <v>-38992.303910000002</v>
      </c>
      <c r="C15" s="28">
        <f>IF(-29689.97474="","-",-29689.97474)</f>
        <v>-29689.974740000001</v>
      </c>
      <c r="D15" s="125">
        <f>IF(OR(-38992.30391="",-29689.97474="",-38992.30391=0),"-",-29689.97474/-38992.30391*100)</f>
        <v>76.143166119470266</v>
      </c>
    </row>
    <row r="16" spans="1:4" x14ac:dyDescent="0.2">
      <c r="A16" s="27" t="s">
        <v>42</v>
      </c>
      <c r="B16" s="28">
        <f>IF(-11638.25156="","-",-11638.25156)</f>
        <v>-11638.251560000001</v>
      </c>
      <c r="C16" s="28">
        <f>IF(-18932.91095="","-",-18932.91095)</f>
        <v>-18932.910950000001</v>
      </c>
      <c r="D16" s="125" t="s">
        <v>100</v>
      </c>
    </row>
    <row r="17" spans="1:4" x14ac:dyDescent="0.2">
      <c r="A17" s="27" t="s">
        <v>48</v>
      </c>
      <c r="B17" s="28">
        <f>IF(-12565.38168="","-",-12565.38168)</f>
        <v>-12565.38168</v>
      </c>
      <c r="C17" s="28">
        <f>IF(-15794.02669="","-",-15794.02669)</f>
        <v>-15794.026690000001</v>
      </c>
      <c r="D17" s="125">
        <f>IF(OR(-12565.38168="",-15794.02669="",-12565.38168=0),"-",-15794.02669/-12565.38168*100)</f>
        <v>125.69476273959073</v>
      </c>
    </row>
    <row r="18" spans="1:4" x14ac:dyDescent="0.2">
      <c r="A18" s="27" t="s">
        <v>39</v>
      </c>
      <c r="B18" s="28">
        <f>IF(-11441.74098="","-",-11441.74098)</f>
        <v>-11441.74098</v>
      </c>
      <c r="C18" s="28">
        <f>IF(-15701.26478="","-",-15701.26478)</f>
        <v>-15701.26478</v>
      </c>
      <c r="D18" s="125">
        <f>IF(OR(-11441.74098="",-15701.26478="",-11441.74098=0),"-",-15701.26478/-11441.74098*100)</f>
        <v>137.22793417055661</v>
      </c>
    </row>
    <row r="19" spans="1:4" x14ac:dyDescent="0.2">
      <c r="A19" s="27" t="s">
        <v>50</v>
      </c>
      <c r="B19" s="28">
        <f>IF(-15433.84547="","-",-15433.84547)</f>
        <v>-15433.84547</v>
      </c>
      <c r="C19" s="28">
        <f>IF(-14581.31761="","-",-14581.31761)</f>
        <v>-14581.31761</v>
      </c>
      <c r="D19" s="125">
        <f>IF(OR(-15433.84547="",-14581.31761="",-15433.84547=0),"-",-14581.31761/-15433.84547*100)</f>
        <v>94.476244681488311</v>
      </c>
    </row>
    <row r="20" spans="1:4" x14ac:dyDescent="0.2">
      <c r="A20" s="27" t="s">
        <v>302</v>
      </c>
      <c r="B20" s="28">
        <f>IF(-13365.74998="","-",-13365.74998)</f>
        <v>-13365.749980000001</v>
      </c>
      <c r="C20" s="28">
        <f>IF(-14230.22136="","-",-14230.22136)</f>
        <v>-14230.22136</v>
      </c>
      <c r="D20" s="125">
        <f>IF(OR(-13365.74998="",-14230.22136="",-13365.74998=0),"-",-14230.22136/-13365.74998*100)</f>
        <v>106.46781049543468</v>
      </c>
    </row>
    <row r="21" spans="1:4" x14ac:dyDescent="0.2">
      <c r="A21" s="27" t="s">
        <v>47</v>
      </c>
      <c r="B21" s="28">
        <f>IF(-5819.97405="","-",-5819.97405)</f>
        <v>-5819.9740499999998</v>
      </c>
      <c r="C21" s="28">
        <f>IF(-9757.7041="","-",-9757.7041)</f>
        <v>-9757.7041000000008</v>
      </c>
      <c r="D21" s="125" t="s">
        <v>99</v>
      </c>
    </row>
    <row r="22" spans="1:4" x14ac:dyDescent="0.2">
      <c r="A22" s="27" t="s">
        <v>46</v>
      </c>
      <c r="B22" s="28">
        <f>IF(-7786.60781="","-",-7786.60781)</f>
        <v>-7786.6078100000004</v>
      </c>
      <c r="C22" s="28">
        <f>IF(-9679.17174="","-",-9679.17174)</f>
        <v>-9679.1717399999998</v>
      </c>
      <c r="D22" s="125">
        <f>IF(OR(-7786.60781="",-9679.17174="",-7786.60781=0),"-",-9679.17174/-7786.60781*100)</f>
        <v>124.305371172919</v>
      </c>
    </row>
    <row r="23" spans="1:4" x14ac:dyDescent="0.2">
      <c r="A23" s="27" t="s">
        <v>43</v>
      </c>
      <c r="B23" s="28">
        <f>IF(-5112.95751="","-",-5112.95751)</f>
        <v>-5112.9575100000002</v>
      </c>
      <c r="C23" s="28">
        <f>IF(-6485.46099="","-",-6485.46099)</f>
        <v>-6485.4609899999996</v>
      </c>
      <c r="D23" s="125">
        <f>IF(OR(-5112.95751="",-6485.46099="",-5112.95751=0),"-",-6485.46099/-5112.95751*100)</f>
        <v>126.84363164207089</v>
      </c>
    </row>
    <row r="24" spans="1:4" x14ac:dyDescent="0.2">
      <c r="A24" s="27" t="s">
        <v>51</v>
      </c>
      <c r="B24" s="28">
        <f>IF(-3006.14438="","-",-3006.14438)</f>
        <v>-3006.1443800000002</v>
      </c>
      <c r="C24" s="28">
        <f>IF(-4255.87123="","-",-4255.87123)</f>
        <v>-4255.8712299999997</v>
      </c>
      <c r="D24" s="125">
        <f>IF(OR(-3006.14438="",-4255.87123="",-3006.14438=0),"-",-4255.87123/-3006.14438*100)</f>
        <v>141.57241609266947</v>
      </c>
    </row>
    <row r="25" spans="1:4" x14ac:dyDescent="0.2">
      <c r="A25" s="27" t="s">
        <v>293</v>
      </c>
      <c r="B25" s="28">
        <f>IF(-3776.19805="","-",-3776.19805)</f>
        <v>-3776.19805</v>
      </c>
      <c r="C25" s="28">
        <f>IF(-3771.91879="","-",-3771.91879)</f>
        <v>-3771.9187900000002</v>
      </c>
      <c r="D25" s="125">
        <f>IF(OR(-3776.19805="",-3771.91879="",-3776.19805=0),"-",-3771.91879/-3776.19805*100)</f>
        <v>99.88667808352902</v>
      </c>
    </row>
    <row r="26" spans="1:4" x14ac:dyDescent="0.2">
      <c r="A26" s="27" t="s">
        <v>41</v>
      </c>
      <c r="B26" s="28">
        <f>IF(-1673.67501="","-",-1673.67501)</f>
        <v>-1673.6750099999999</v>
      </c>
      <c r="C26" s="28">
        <f>IF(-3219.25405="","-",-3219.25405)</f>
        <v>-3219.25405</v>
      </c>
      <c r="D26" s="125" t="s">
        <v>101</v>
      </c>
    </row>
    <row r="27" spans="1:4" x14ac:dyDescent="0.2">
      <c r="A27" s="27" t="s">
        <v>8</v>
      </c>
      <c r="B27" s="28">
        <f>IF(-613.68517="","-",-613.68517)</f>
        <v>-613.68516999999997</v>
      </c>
      <c r="C27" s="28">
        <f>IF(-2343.27551="","-",-2343.27551)</f>
        <v>-2343.2755099999999</v>
      </c>
      <c r="D27" s="125" t="s">
        <v>373</v>
      </c>
    </row>
    <row r="28" spans="1:4" x14ac:dyDescent="0.2">
      <c r="A28" s="27" t="s">
        <v>52</v>
      </c>
      <c r="B28" s="28">
        <f>IF(-1306.04642="","-",-1306.04642)</f>
        <v>-1306.0464199999999</v>
      </c>
      <c r="C28" s="28">
        <f>IF(-1285.12732="","-",-1285.12732)</f>
        <v>-1285.1273200000001</v>
      </c>
      <c r="D28" s="125">
        <f>IF(OR(-1306.04642="",-1285.12732="",-1306.04642=0),"-",-1285.12732/-1306.04642*100)</f>
        <v>98.39828817110498</v>
      </c>
    </row>
    <row r="29" spans="1:4" x14ac:dyDescent="0.2">
      <c r="A29" s="27" t="s">
        <v>44</v>
      </c>
      <c r="B29" s="28">
        <f>IF(-1908.08982="","-",-1908.08982)</f>
        <v>-1908.0898199999999</v>
      </c>
      <c r="C29" s="28">
        <f>IF(-1183.78781="","-",-1183.78781)</f>
        <v>-1183.78781</v>
      </c>
      <c r="D29" s="125">
        <f>IF(OR(-1908.08982="",-1183.78781="",-1908.08982=0),"-",-1183.78781/-1908.08982*100)</f>
        <v>62.040465684157361</v>
      </c>
    </row>
    <row r="30" spans="1:4" x14ac:dyDescent="0.2">
      <c r="A30" s="27" t="s">
        <v>323</v>
      </c>
      <c r="B30" s="28">
        <f>IF(-17.02601="","-",-17.02601)</f>
        <v>-17.026009999999999</v>
      </c>
      <c r="C30" s="28">
        <f>IF(-75.58454="","-",-75.58454)</f>
        <v>-75.584540000000004</v>
      </c>
      <c r="D30" s="125" t="s">
        <v>360</v>
      </c>
    </row>
    <row r="31" spans="1:4" x14ac:dyDescent="0.2">
      <c r="A31" s="27" t="s">
        <v>53</v>
      </c>
      <c r="B31" s="28">
        <f>IF(-65.47793="","-",-65.47793)</f>
        <v>-65.477930000000001</v>
      </c>
      <c r="C31" s="28">
        <f>IF(-22.84631="","-",-22.84631)</f>
        <v>-22.846309999999999</v>
      </c>
      <c r="D31" s="125">
        <f>IF(OR(-65.47793="",-22.84631="",-65.47793=0),"-",-22.84631/-65.47793*100)</f>
        <v>34.891619206654823</v>
      </c>
    </row>
    <row r="32" spans="1:4" x14ac:dyDescent="0.2">
      <c r="A32" s="27" t="s">
        <v>49</v>
      </c>
      <c r="B32" s="28">
        <f>IF(2564.79695="","-",2564.79695)</f>
        <v>2564.7969499999999</v>
      </c>
      <c r="C32" s="28">
        <f>IF(563.77755="","-",563.77755)</f>
        <v>563.77755000000002</v>
      </c>
      <c r="D32" s="125">
        <f>IF(OR(2564.79695="",563.77755="",2564.79695=0),"-",563.77755/2564.79695*100)</f>
        <v>21.981371663749055</v>
      </c>
    </row>
    <row r="33" spans="1:4" x14ac:dyDescent="0.2">
      <c r="A33" s="27" t="s">
        <v>330</v>
      </c>
      <c r="B33" s="28">
        <f>IF(-16815.88685="","-",-16815.88685)</f>
        <v>-16815.886849999999</v>
      </c>
      <c r="C33" s="28">
        <f>IF(848.02428="","-",848.02428)</f>
        <v>848.02427999999998</v>
      </c>
      <c r="D33" s="125" t="s">
        <v>20</v>
      </c>
    </row>
    <row r="34" spans="1:4" x14ac:dyDescent="0.2">
      <c r="A34" s="27" t="s">
        <v>45</v>
      </c>
      <c r="B34" s="28">
        <f>IF(3858.94945="","-",3858.94945)</f>
        <v>3858.9494500000001</v>
      </c>
      <c r="C34" s="28">
        <f>IF(11388.14157="","-",11388.14157)</f>
        <v>11388.14157</v>
      </c>
      <c r="D34" s="125" t="s">
        <v>374</v>
      </c>
    </row>
    <row r="35" spans="1:4" x14ac:dyDescent="0.2">
      <c r="A35" s="27" t="s">
        <v>6</v>
      </c>
      <c r="B35" s="28">
        <f>IF(-20620.32517="","-",-20620.32517)</f>
        <v>-20620.32517</v>
      </c>
      <c r="C35" s="28">
        <f>IF(48286.09634="","-",48286.09634)</f>
        <v>48286.096339999996</v>
      </c>
      <c r="D35" s="125" t="s">
        <v>20</v>
      </c>
    </row>
    <row r="36" spans="1:4" x14ac:dyDescent="0.2">
      <c r="A36" s="25" t="s">
        <v>196</v>
      </c>
      <c r="B36" s="26">
        <f>IF(-534182.36439="","-",-534182.36439)</f>
        <v>-534182.36439</v>
      </c>
      <c r="C36" s="26">
        <f>IF(-741316.87523="","-",-741316.87523)</f>
        <v>-741316.87523000001</v>
      </c>
      <c r="D36" s="124">
        <f>IF(-534182.36439="","-",-741316.87523/-534182.36439*100)</f>
        <v>138.77599199227282</v>
      </c>
    </row>
    <row r="37" spans="1:4" x14ac:dyDescent="0.2">
      <c r="A37" s="27" t="s">
        <v>294</v>
      </c>
      <c r="B37" s="28">
        <f>IF(-246655.93547="","-",-246655.93547)</f>
        <v>-246655.93547</v>
      </c>
      <c r="C37" s="28">
        <f>IF(-546737.13682="","-",-546737.13682)</f>
        <v>-546737.13682000001</v>
      </c>
      <c r="D37" s="125" t="s">
        <v>194</v>
      </c>
    </row>
    <row r="38" spans="1:4" x14ac:dyDescent="0.2">
      <c r="A38" s="27" t="s">
        <v>10</v>
      </c>
      <c r="B38" s="28">
        <f>IF(-257949.49621="","-",-257949.49621)</f>
        <v>-257949.49621000001</v>
      </c>
      <c r="C38" s="28">
        <f>IF(-147991.23828="","-",-147991.23828)</f>
        <v>-147991.23827999999</v>
      </c>
      <c r="D38" s="125">
        <f>IF(OR(-257949.49621="",-147991.23828="",-257949.49621=0),"-",-147991.23828/-257949.49621*100)</f>
        <v>57.372175737656185</v>
      </c>
    </row>
    <row r="39" spans="1:4" x14ac:dyDescent="0.2">
      <c r="A39" s="27" t="s">
        <v>9</v>
      </c>
      <c r="B39" s="28">
        <f>IF(-27590.29577="","-",-27590.29577)</f>
        <v>-27590.295770000001</v>
      </c>
      <c r="C39" s="28">
        <f>IF(-23854.88376="","-",-23854.88376)</f>
        <v>-23854.883760000001</v>
      </c>
      <c r="D39" s="125">
        <f>IF(OR(-27590.29577="",-23854.88376="",-27590.29577=0),"-",-23854.88376/-27590.29577*100)</f>
        <v>86.461138216351927</v>
      </c>
    </row>
    <row r="40" spans="1:4" x14ac:dyDescent="0.2">
      <c r="A40" s="27" t="s">
        <v>12</v>
      </c>
      <c r="B40" s="28">
        <f>IF(370.84756="","-",370.84756)</f>
        <v>370.84755999999999</v>
      </c>
      <c r="C40" s="28">
        <f>IF(-6971.2471="","-",-6971.2471)</f>
        <v>-6971.2470999999996</v>
      </c>
      <c r="D40" s="125" t="s">
        <v>20</v>
      </c>
    </row>
    <row r="41" spans="1:4" x14ac:dyDescent="0.2">
      <c r="A41" s="27" t="s">
        <v>13</v>
      </c>
      <c r="B41" s="28">
        <f>IF(-1875.37045="","-",-1875.37045)</f>
        <v>-1875.3704499999999</v>
      </c>
      <c r="C41" s="28">
        <f>IF(-5649.46637="","-",-5649.46637)</f>
        <v>-5649.4663700000001</v>
      </c>
      <c r="D41" s="125" t="s">
        <v>374</v>
      </c>
    </row>
    <row r="42" spans="1:4" x14ac:dyDescent="0.2">
      <c r="A42" s="27" t="s">
        <v>14</v>
      </c>
      <c r="B42" s="28">
        <f>IF(-303.97046="","-",-303.97046)</f>
        <v>-303.97046</v>
      </c>
      <c r="C42" s="28">
        <f>IF(-4013.67382="","-",-4013.67382)</f>
        <v>-4013.67382</v>
      </c>
      <c r="D42" s="125" t="s">
        <v>375</v>
      </c>
    </row>
    <row r="43" spans="1:4" x14ac:dyDescent="0.2">
      <c r="A43" s="27" t="s">
        <v>11</v>
      </c>
      <c r="B43" s="28">
        <f>IF(-958.95609="","-",-958.95609)</f>
        <v>-958.95609000000002</v>
      </c>
      <c r="C43" s="28">
        <f>IF(-3817.28647="","-",-3817.28647)</f>
        <v>-3817.28647</v>
      </c>
      <c r="D43" s="125" t="s">
        <v>376</v>
      </c>
    </row>
    <row r="44" spans="1:4" x14ac:dyDescent="0.2">
      <c r="A44" s="27" t="s">
        <v>303</v>
      </c>
      <c r="B44" s="28">
        <f>IF(575.40103="","-",575.40103)</f>
        <v>575.40102999999999</v>
      </c>
      <c r="C44" s="28">
        <f>IF(-2378.09402="","-",-2378.09402)</f>
        <v>-2378.09402</v>
      </c>
      <c r="D44" s="125" t="s">
        <v>20</v>
      </c>
    </row>
    <row r="45" spans="1:4" x14ac:dyDescent="0.2">
      <c r="A45" s="27" t="s">
        <v>16</v>
      </c>
      <c r="B45" s="28">
        <f>IF(158.89271="","-",158.89271)</f>
        <v>158.89270999999999</v>
      </c>
      <c r="C45" s="28">
        <f>IF(41.64903="","-",41.64903)</f>
        <v>41.649030000000003</v>
      </c>
      <c r="D45" s="125">
        <f>IF(OR(158.89271="",41.64903="",158.89271=0),"-",41.64903/158.89271*100)</f>
        <v>26.21204585156865</v>
      </c>
    </row>
    <row r="46" spans="1:4" x14ac:dyDescent="0.2">
      <c r="A46" s="27" t="s">
        <v>15</v>
      </c>
      <c r="B46" s="28">
        <f>IF(46.51876="","-",46.51876)</f>
        <v>46.51876</v>
      </c>
      <c r="C46" s="28">
        <f>IF(54.50238="","-",54.50238)</f>
        <v>54.502380000000002</v>
      </c>
      <c r="D46" s="125">
        <f>IF(OR(46.51876="",54.50238="",46.51876=0),"-",54.50238/46.51876*100)</f>
        <v>117.1621513557111</v>
      </c>
    </row>
    <row r="47" spans="1:4" x14ac:dyDescent="0.2">
      <c r="A47" s="25" t="s">
        <v>130</v>
      </c>
      <c r="B47" s="26">
        <f>IF(-711345.49696="","-",-711345.49696)</f>
        <v>-711345.49696000002</v>
      </c>
      <c r="C47" s="26">
        <f>IF(-728202.98755="","-",-728202.98755)</f>
        <v>-728202.98754999996</v>
      </c>
      <c r="D47" s="124">
        <f>IF(-711345.49696="","-",-728202.98755/-711345.49696*100)</f>
        <v>102.36980351489424</v>
      </c>
    </row>
    <row r="48" spans="1:4" x14ac:dyDescent="0.2">
      <c r="A48" s="27" t="s">
        <v>57</v>
      </c>
      <c r="B48" s="28">
        <f>IF(-378096.07614="","-",-378096.07614)</f>
        <v>-378096.07614000002</v>
      </c>
      <c r="C48" s="28">
        <f>IF(-405582.3051="","-",-405582.3051)</f>
        <v>-405582.3051</v>
      </c>
      <c r="D48" s="125">
        <f>IF(OR(-378096.07614="",-405582.3051="",-378096.07614=0),"-",-405582.3051/-378096.07614*100)</f>
        <v>107.26964142040514</v>
      </c>
    </row>
    <row r="49" spans="1:4" x14ac:dyDescent="0.2">
      <c r="A49" s="27" t="s">
        <v>67</v>
      </c>
      <c r="B49" s="28">
        <f>IF(-21870.17387="","-",-21870.17387)</f>
        <v>-21870.173869999999</v>
      </c>
      <c r="C49" s="28">
        <f>IF(-112446.72404="","-",-112446.72404)</f>
        <v>-112446.72404</v>
      </c>
      <c r="D49" s="125" t="s">
        <v>363</v>
      </c>
    </row>
    <row r="50" spans="1:4" x14ac:dyDescent="0.2">
      <c r="A50" s="126" t="s">
        <v>54</v>
      </c>
      <c r="B50" s="28">
        <f>IF(-119523.17296="","-",-119523.17296)</f>
        <v>-119523.17296</v>
      </c>
      <c r="C50" s="28">
        <f>IF(-96598.61789="","-",-96598.61789)</f>
        <v>-96598.617889999994</v>
      </c>
      <c r="D50" s="125">
        <f>IF(OR(-119523.17296="",-96598.61789="",-119523.17296=0),"-",-96598.61789/-119523.17296*100)</f>
        <v>80.819991218211712</v>
      </c>
    </row>
    <row r="51" spans="1:4" x14ac:dyDescent="0.2">
      <c r="A51" s="126" t="s">
        <v>17</v>
      </c>
      <c r="B51" s="28">
        <f>IF(-41718.37632="","-",-41718.37632)</f>
        <v>-41718.376320000003</v>
      </c>
      <c r="C51" s="28">
        <f>IF(-48784.82734="","-",-48784.82734)</f>
        <v>-48784.827340000003</v>
      </c>
      <c r="D51" s="125">
        <f>IF(OR(-41718.37632="",-48784.82734="",-41718.37632=0),"-",-48784.82734/-41718.37632*100)</f>
        <v>116.9384612809399</v>
      </c>
    </row>
    <row r="52" spans="1:4" x14ac:dyDescent="0.2">
      <c r="A52" s="27" t="s">
        <v>34</v>
      </c>
      <c r="B52" s="28">
        <f>IF(-21112.098="","-",-21112.098)</f>
        <v>-21112.098000000002</v>
      </c>
      <c r="C52" s="28">
        <f>IF(-29013.02416="","-",-29013.02416)</f>
        <v>-29013.024160000001</v>
      </c>
      <c r="D52" s="125">
        <f>IF(OR(-21112.098="",-29013.02416="",-21112.098=0),"-",-29013.02416/-21112.098*100)</f>
        <v>137.42369024622752</v>
      </c>
    </row>
    <row r="53" spans="1:4" x14ac:dyDescent="0.2">
      <c r="A53" s="27" t="s">
        <v>73</v>
      </c>
      <c r="B53" s="28">
        <f>IF(-30451.31006="","-",-30451.31006)</f>
        <v>-30451.31006</v>
      </c>
      <c r="C53" s="28">
        <f>IF(-27175.84667="","-",-27175.84667)</f>
        <v>-27175.846669999999</v>
      </c>
      <c r="D53" s="125">
        <f>IF(OR(-30451.31006="",-27175.84667="",-30451.31006=0),"-",-27175.84667/-30451.31006*100)</f>
        <v>89.243604352173477</v>
      </c>
    </row>
    <row r="54" spans="1:4" x14ac:dyDescent="0.2">
      <c r="A54" s="126" t="s">
        <v>69</v>
      </c>
      <c r="B54" s="28">
        <f>IF(-22309.11502="","-",-22309.11502)</f>
        <v>-22309.115020000001</v>
      </c>
      <c r="C54" s="28">
        <f>IF(-18992.51548="","-",-18992.51548)</f>
        <v>-18992.515479999998</v>
      </c>
      <c r="D54" s="125">
        <f>IF(OR(-22309.11502="",-18992.51548="",-22309.11502=0),"-",-18992.51548/-22309.11502*100)</f>
        <v>85.13343296214714</v>
      </c>
    </row>
    <row r="55" spans="1:4" x14ac:dyDescent="0.2">
      <c r="A55" s="126" t="s">
        <v>64</v>
      </c>
      <c r="B55" s="28">
        <f>IF(-8432.37561="","-",-8432.37561)</f>
        <v>-8432.3756099999991</v>
      </c>
      <c r="C55" s="28">
        <f>IF(-11459.38765="","-",-11459.38765)</f>
        <v>-11459.387650000001</v>
      </c>
      <c r="D55" s="125">
        <f>IF(OR(-8432.37561="",-11459.38765="",-8432.37561=0),"-",-11459.38765/-8432.37561*100)</f>
        <v>135.89750006404188</v>
      </c>
    </row>
    <row r="56" spans="1:4" x14ac:dyDescent="0.2">
      <c r="A56" s="27" t="s">
        <v>76</v>
      </c>
      <c r="B56" s="28">
        <f>IF(-12395.90106="","-",-12395.90106)</f>
        <v>-12395.90106</v>
      </c>
      <c r="C56" s="28">
        <f>IF(-11285.89157="","-",-11285.89157)</f>
        <v>-11285.89157</v>
      </c>
      <c r="D56" s="125">
        <f>IF(OR(-12395.90106="",-11285.89157="",-12395.90106=0),"-",-11285.89157/-12395.90106*100)</f>
        <v>91.045350518472105</v>
      </c>
    </row>
    <row r="57" spans="1:4" x14ac:dyDescent="0.2">
      <c r="A57" s="126" t="s">
        <v>71</v>
      </c>
      <c r="B57" s="28">
        <f>IF(-5743.09658="","-",-5743.09658)</f>
        <v>-5743.0965800000004</v>
      </c>
      <c r="C57" s="28">
        <f>IF(-9642.99427="","-",-9642.99427)</f>
        <v>-9642.9942699999992</v>
      </c>
      <c r="D57" s="125" t="s">
        <v>99</v>
      </c>
    </row>
    <row r="58" spans="1:4" x14ac:dyDescent="0.2">
      <c r="A58" s="126" t="s">
        <v>305</v>
      </c>
      <c r="B58" s="28">
        <f>IF(-11037.70267="","-",-11037.70267)</f>
        <v>-11037.702670000001</v>
      </c>
      <c r="C58" s="28">
        <f>IF(-9406.42289="","-",-9406.42289)</f>
        <v>-9406.4228899999998</v>
      </c>
      <c r="D58" s="125">
        <f>IF(OR(-11037.70267="",-9406.42289="",-11037.70267=0),"-",-9406.42289/-11037.70267*100)</f>
        <v>85.220839618793605</v>
      </c>
    </row>
    <row r="59" spans="1:4" x14ac:dyDescent="0.2">
      <c r="A59" s="126" t="s">
        <v>79</v>
      </c>
      <c r="B59" s="28">
        <f>IF(-6542.42466="","-",-6542.42466)</f>
        <v>-6542.4246599999997</v>
      </c>
      <c r="C59" s="28">
        <f>IF(-6649.00834="","-",-6649.00834)</f>
        <v>-6649.0083400000003</v>
      </c>
      <c r="D59" s="125">
        <f>IF(OR(-6542.42466="",-6649.00834="",-6542.42466=0),"-",-6649.00834/-6542.42466*100)</f>
        <v>101.62911589416761</v>
      </c>
    </row>
    <row r="60" spans="1:4" x14ac:dyDescent="0.2">
      <c r="A60" s="27" t="s">
        <v>60</v>
      </c>
      <c r="B60" s="28">
        <f>IF(-319.79864="","-",-319.79864)</f>
        <v>-319.79863999999998</v>
      </c>
      <c r="C60" s="28">
        <f>IF(-6525.80001="","-",-6525.80001)</f>
        <v>-6525.8000099999999</v>
      </c>
      <c r="D60" s="125" t="s">
        <v>377</v>
      </c>
    </row>
    <row r="61" spans="1:4" x14ac:dyDescent="0.2">
      <c r="A61" s="27" t="s">
        <v>68</v>
      </c>
      <c r="B61" s="28">
        <f>IF(-5917.80441="","-",-5917.80441)</f>
        <v>-5917.8044099999997</v>
      </c>
      <c r="C61" s="28">
        <f>IF(-6504.06401="","-",-6504.06401)</f>
        <v>-6504.0640100000001</v>
      </c>
      <c r="D61" s="125">
        <f>IF(OR(-5917.80441="",-6504.06401="",-5917.80441=0),"-",-6504.06401/-5917.80441*100)</f>
        <v>109.90670795082936</v>
      </c>
    </row>
    <row r="62" spans="1:4" x14ac:dyDescent="0.2">
      <c r="A62" s="126" t="s">
        <v>75</v>
      </c>
      <c r="B62" s="28">
        <f>IF(-6162.0977="","-",-6162.0977)</f>
        <v>-6162.0977000000003</v>
      </c>
      <c r="C62" s="28">
        <f>IF(-6422.23362="","-",-6422.23362)</f>
        <v>-6422.23362</v>
      </c>
      <c r="D62" s="125">
        <f>IF(OR(-6162.0977="",-6422.23362="",-6162.0977=0),"-",-6422.23362/-6162.0977*100)</f>
        <v>104.22154812637909</v>
      </c>
    </row>
    <row r="63" spans="1:4" x14ac:dyDescent="0.2">
      <c r="A63" s="126" t="s">
        <v>59</v>
      </c>
      <c r="B63" s="28">
        <f>IF(-7169.10281="","-",-7169.10281)</f>
        <v>-7169.1028100000003</v>
      </c>
      <c r="C63" s="28">
        <f>IF(-5859.35727="","-",-5859.35727)</f>
        <v>-5859.3572700000004</v>
      </c>
      <c r="D63" s="125">
        <f>IF(OR(-7169.10281="",-5859.35727="",-7169.10281=0),"-",-5859.35727/-7169.10281*100)</f>
        <v>81.730691068161704</v>
      </c>
    </row>
    <row r="64" spans="1:4" x14ac:dyDescent="0.2">
      <c r="A64" s="27" t="s">
        <v>80</v>
      </c>
      <c r="B64" s="28">
        <f>IF(-4785.46713="","-",-4785.46713)</f>
        <v>-4785.46713</v>
      </c>
      <c r="C64" s="28">
        <f>IF(-5060.90322="","-",-5060.90322)</f>
        <v>-5060.9032200000001</v>
      </c>
      <c r="D64" s="125">
        <f>IF(OR(-4785.46713="",-5060.90322="",-4785.46713=0),"-",-5060.90322/-4785.46713*100)</f>
        <v>105.75567823407033</v>
      </c>
    </row>
    <row r="65" spans="1:4" x14ac:dyDescent="0.2">
      <c r="A65" s="27" t="s">
        <v>63</v>
      </c>
      <c r="B65" s="28">
        <f>IF(-3092.52464="","-",-3092.52464)</f>
        <v>-3092.5246400000001</v>
      </c>
      <c r="C65" s="28">
        <f>IF(-4317.90085="","-",-4317.90085)</f>
        <v>-4317.90085</v>
      </c>
      <c r="D65" s="125">
        <f>IF(OR(-3092.52464="",-4317.90085="",-3092.52464=0),"-",-4317.90085/-3092.52464*100)</f>
        <v>139.62381395932871</v>
      </c>
    </row>
    <row r="66" spans="1:4" x14ac:dyDescent="0.2">
      <c r="A66" s="126" t="s">
        <v>81</v>
      </c>
      <c r="B66" s="28">
        <f>IF(-3803.15346="","-",-3803.15346)</f>
        <v>-3803.15346</v>
      </c>
      <c r="C66" s="28">
        <f>IF(-3397.92228="","-",-3397.92228)</f>
        <v>-3397.9222799999998</v>
      </c>
      <c r="D66" s="125">
        <f>IF(OR(-3803.15346="",-3397.92228="",-3803.15346=0),"-",-3397.92228/-3803.15346*100)</f>
        <v>89.344863827819339</v>
      </c>
    </row>
    <row r="67" spans="1:4" x14ac:dyDescent="0.2">
      <c r="A67" s="27" t="s">
        <v>77</v>
      </c>
      <c r="B67" s="28">
        <f>IF(-1744.9043="","-",-1744.9043)</f>
        <v>-1744.9042999999999</v>
      </c>
      <c r="C67" s="28">
        <f>IF(-2511.38392="","-",-2511.38392)</f>
        <v>-2511.3839200000002</v>
      </c>
      <c r="D67" s="125">
        <f>IF(OR(-1744.9043="",-2511.38392="",-1744.9043=0),"-",-2511.38392/-1744.9043*100)</f>
        <v>143.92674257264426</v>
      </c>
    </row>
    <row r="68" spans="1:4" x14ac:dyDescent="0.2">
      <c r="A68" s="27" t="s">
        <v>72</v>
      </c>
      <c r="B68" s="28">
        <f>IF(9506.39966="","-",9506.39966)</f>
        <v>9506.3996599999991</v>
      </c>
      <c r="C68" s="28">
        <f>IF(-2074.56799="","-",-2074.56799)</f>
        <v>-2074.56799</v>
      </c>
      <c r="D68" s="125" t="s">
        <v>20</v>
      </c>
    </row>
    <row r="69" spans="1:4" x14ac:dyDescent="0.2">
      <c r="A69" s="126" t="s">
        <v>82</v>
      </c>
      <c r="B69" s="28">
        <f>IF(-3918.665="","-",-3918.665)</f>
        <v>-3918.665</v>
      </c>
      <c r="C69" s="28">
        <f>IF(-2030.81844="","-",-2030.81844)</f>
        <v>-2030.81844</v>
      </c>
      <c r="D69" s="125">
        <f>IF(OR(-3918.665="",-2030.81844="",-3918.665=0),"-",-2030.81844/-3918.665*100)</f>
        <v>51.824242184519477</v>
      </c>
    </row>
    <row r="70" spans="1:4" x14ac:dyDescent="0.2">
      <c r="A70" s="27" t="s">
        <v>84</v>
      </c>
      <c r="B70" s="28">
        <f>IF(-1713.37992="","-",-1713.37992)</f>
        <v>-1713.3799200000001</v>
      </c>
      <c r="C70" s="28">
        <f>IF(-1566.55491="","-",-1566.55491)</f>
        <v>-1566.5549100000001</v>
      </c>
      <c r="D70" s="125">
        <f>IF(OR(-1713.37992="",-1566.55491="",-1713.37992=0),"-",-1566.55491/-1713.37992*100)</f>
        <v>91.430679892641677</v>
      </c>
    </row>
    <row r="71" spans="1:4" x14ac:dyDescent="0.2">
      <c r="A71" s="27" t="s">
        <v>85</v>
      </c>
      <c r="B71" s="28">
        <f>IF(-2331.06744="","-",-2331.06744)</f>
        <v>-2331.0674399999998</v>
      </c>
      <c r="C71" s="28">
        <f>IF(-1565.09474="","-",-1565.09474)</f>
        <v>-1565.09474</v>
      </c>
      <c r="D71" s="125">
        <f>IF(OR(-2331.06744="",-1565.09474="",-2331.06744=0),"-",-1565.09474/-2331.06744*100)</f>
        <v>67.140688988388959</v>
      </c>
    </row>
    <row r="72" spans="1:4" x14ac:dyDescent="0.2">
      <c r="A72" s="27" t="s">
        <v>86</v>
      </c>
      <c r="B72" s="28">
        <f>IF(-1816.04702="","-",-1816.04702)</f>
        <v>-1816.04702</v>
      </c>
      <c r="C72" s="28">
        <f>IF(-1372.86333="","-",-1372.86333)</f>
        <v>-1372.8633299999999</v>
      </c>
      <c r="D72" s="125">
        <f>IF(OR(-1816.04702="",-1372.86333="",-1816.04702=0),"-",-1372.86333/-1816.04702*100)</f>
        <v>75.596243647920531</v>
      </c>
    </row>
    <row r="73" spans="1:4" x14ac:dyDescent="0.2">
      <c r="A73" s="27" t="s">
        <v>37</v>
      </c>
      <c r="B73" s="28">
        <f>IF(-1482.01578="","-",-1482.01578)</f>
        <v>-1482.0157799999999</v>
      </c>
      <c r="C73" s="28">
        <f>IF(-1168.70684="","-",-1168.70684)</f>
        <v>-1168.7068400000001</v>
      </c>
      <c r="D73" s="125">
        <f>IF(OR(-1482.01578="",-1168.70684="",-1482.01578=0),"-",-1168.70684/-1482.01578*100)</f>
        <v>78.859270985630133</v>
      </c>
    </row>
    <row r="74" spans="1:4" x14ac:dyDescent="0.2">
      <c r="A74" s="126" t="s">
        <v>93</v>
      </c>
      <c r="B74" s="28">
        <f>IF(-912.86841="","-",-912.86841)</f>
        <v>-912.86841000000004</v>
      </c>
      <c r="C74" s="28">
        <f>IF(-1155.94944="","-",-1155.94944)</f>
        <v>-1155.9494400000001</v>
      </c>
      <c r="D74" s="125">
        <f>IF(OR(-912.86841="",-1155.94944="",-912.86841=0),"-",-1155.94944/-912.86841*100)</f>
        <v>126.62826617036731</v>
      </c>
    </row>
    <row r="75" spans="1:4" x14ac:dyDescent="0.2">
      <c r="A75" s="126" t="s">
        <v>122</v>
      </c>
      <c r="B75" s="28">
        <f>IF(-1777.64512="","-",-1777.64512)</f>
        <v>-1777.6451199999999</v>
      </c>
      <c r="C75" s="28">
        <f>IF(-1084.10138="","-",-1084.10138)</f>
        <v>-1084.1013800000001</v>
      </c>
      <c r="D75" s="125">
        <f>IF(OR(-1777.64512="",-1084.10138="",-1777.64512=0),"-",-1084.10138/-1777.64512*100)</f>
        <v>60.985253344604587</v>
      </c>
    </row>
    <row r="76" spans="1:4" x14ac:dyDescent="0.2">
      <c r="A76" s="126" t="s">
        <v>83</v>
      </c>
      <c r="B76" s="28">
        <f>IF(-1128.59575="","-",-1128.59575)</f>
        <v>-1128.59575</v>
      </c>
      <c r="C76" s="28">
        <f>IF(-987.57764="","-",-987.57764)</f>
        <v>-987.57763999999997</v>
      </c>
      <c r="D76" s="125">
        <f>IF(OR(-1128.59575="",-987.57764="",-1128.59575=0),"-",-987.57764/-1128.59575*100)</f>
        <v>87.504993705673627</v>
      </c>
    </row>
    <row r="77" spans="1:4" x14ac:dyDescent="0.2">
      <c r="A77" s="27" t="s">
        <v>297</v>
      </c>
      <c r="B77" s="28">
        <f>IF(-424.66846="","-",-424.66846)</f>
        <v>-424.66845999999998</v>
      </c>
      <c r="C77" s="28">
        <f>IF(-906.79734="","-",-906.79734)</f>
        <v>-906.79733999999996</v>
      </c>
      <c r="D77" s="125" t="s">
        <v>91</v>
      </c>
    </row>
    <row r="78" spans="1:4" x14ac:dyDescent="0.2">
      <c r="A78" s="27" t="s">
        <v>88</v>
      </c>
      <c r="B78" s="28">
        <f>IF(-319.77774="","-",-319.77774)</f>
        <v>-319.77773999999999</v>
      </c>
      <c r="C78" s="28">
        <f>IF(-856.22132="","-",-856.22132)</f>
        <v>-856.22131999999999</v>
      </c>
      <c r="D78" s="125" t="s">
        <v>364</v>
      </c>
    </row>
    <row r="79" spans="1:4" x14ac:dyDescent="0.2">
      <c r="A79" s="27" t="s">
        <v>348</v>
      </c>
      <c r="B79" s="28">
        <f>IF(-0.62654="","-",-0.62654)</f>
        <v>-0.62653999999999999</v>
      </c>
      <c r="C79" s="28">
        <f>IF(-817.61275="","-",-817.61275)</f>
        <v>-817.61275000000001</v>
      </c>
      <c r="D79" s="125" t="s">
        <v>378</v>
      </c>
    </row>
    <row r="80" spans="1:4" x14ac:dyDescent="0.2">
      <c r="A80" s="27" t="s">
        <v>78</v>
      </c>
      <c r="B80" s="28">
        <f>IF(-13051.726="","-",-13051.726)</f>
        <v>-13051.726000000001</v>
      </c>
      <c r="C80" s="28">
        <f>IF(-747.83294="","-",-747.83294)</f>
        <v>-747.83294000000001</v>
      </c>
      <c r="D80" s="125">
        <f>IF(OR(-13051.726="",-747.83294="",-13051.726=0),"-",-747.83294/-13051.726*100)</f>
        <v>5.7297627915265759</v>
      </c>
    </row>
    <row r="81" spans="1:4" x14ac:dyDescent="0.2">
      <c r="A81" s="27" t="s">
        <v>306</v>
      </c>
      <c r="B81" s="28">
        <f>IF(-1610.39855="","-",-1610.39855)</f>
        <v>-1610.3985499999999</v>
      </c>
      <c r="C81" s="28">
        <f>IF(-747.20232="","-",-747.20232)</f>
        <v>-747.20231999999999</v>
      </c>
      <c r="D81" s="125">
        <f>IF(OR(-1610.39855="",-747.20232="",-1610.39855=0),"-",-747.20232/-1610.39855*100)</f>
        <v>46.398596173599387</v>
      </c>
    </row>
    <row r="82" spans="1:4" x14ac:dyDescent="0.2">
      <c r="A82" s="27" t="s">
        <v>134</v>
      </c>
      <c r="B82" s="28">
        <f>IF(-706.29035="","-",-706.29035)</f>
        <v>-706.29034999999999</v>
      </c>
      <c r="C82" s="28">
        <f>IF(-726.82931="","-",-726.82931)</f>
        <v>-726.82930999999996</v>
      </c>
      <c r="D82" s="125">
        <f>IF(OR(-706.29035="",-726.82931="",-706.29035=0),"-",-726.82931/-706.29035*100)</f>
        <v>102.90800518511969</v>
      </c>
    </row>
    <row r="83" spans="1:4" x14ac:dyDescent="0.2">
      <c r="A83" s="126" t="s">
        <v>299</v>
      </c>
      <c r="B83" s="28">
        <f>IF(-653.21791="","-",-653.21791)</f>
        <v>-653.21790999999996</v>
      </c>
      <c r="C83" s="28">
        <f>IF(-702.06618="","-",-702.06618)</f>
        <v>-702.06618000000003</v>
      </c>
      <c r="D83" s="125">
        <f>IF(OR(-653.21791="",-702.06618="",-653.21791=0),"-",-702.06618/-653.21791*100)</f>
        <v>107.47809716362494</v>
      </c>
    </row>
    <row r="84" spans="1:4" x14ac:dyDescent="0.2">
      <c r="A84" s="27" t="s">
        <v>36</v>
      </c>
      <c r="B84" s="28">
        <f>IF(-578.74157="","-",-578.74157)</f>
        <v>-578.74157000000002</v>
      </c>
      <c r="C84" s="28">
        <f>IF(-681.36622="","-",-681.36622)</f>
        <v>-681.36622</v>
      </c>
      <c r="D84" s="125">
        <f>IF(OR(-578.74157="",-681.36622="",-578.74157=0),"-",-681.36622/-578.74157*100)</f>
        <v>117.73237923793862</v>
      </c>
    </row>
    <row r="85" spans="1:4" x14ac:dyDescent="0.2">
      <c r="A85" s="126" t="s">
        <v>62</v>
      </c>
      <c r="B85" s="28">
        <f>IF(-523.69906="","-",-523.69906)</f>
        <v>-523.69906000000003</v>
      </c>
      <c r="C85" s="28">
        <f>IF(-595.50818="","-",-595.50818)</f>
        <v>-595.50818000000004</v>
      </c>
      <c r="D85" s="125">
        <f>IF(OR(-523.69906="",-595.50818="",-523.69906=0),"-",-595.50818/-523.69906*100)</f>
        <v>113.71190545959735</v>
      </c>
    </row>
    <row r="86" spans="1:4" x14ac:dyDescent="0.2">
      <c r="A86" s="27" t="s">
        <v>89</v>
      </c>
      <c r="B86" s="28">
        <f>IF(-1032.13225="","-",-1032.13225)</f>
        <v>-1032.1322500000001</v>
      </c>
      <c r="C86" s="28">
        <f>IF(-574.80733="","-",-574.80733)</f>
        <v>-574.80732999999998</v>
      </c>
      <c r="D86" s="125">
        <f>IF(OR(-1032.13225="",-574.80733="",-1032.13225=0),"-",-574.80733/-1032.13225*100)</f>
        <v>55.691247899675645</v>
      </c>
    </row>
    <row r="87" spans="1:4" x14ac:dyDescent="0.2">
      <c r="A87" s="126" t="s">
        <v>87</v>
      </c>
      <c r="B87" s="28">
        <f>IF(-1474.30631="","-",-1474.30631)</f>
        <v>-1474.3063099999999</v>
      </c>
      <c r="C87" s="28">
        <f>IF(-542.45448="","-",-542.45448)</f>
        <v>-542.45447999999999</v>
      </c>
      <c r="D87" s="125">
        <f>IF(OR(-1474.30631="",-542.45448="",-1474.30631=0),"-",-542.45448/-1474.30631*100)</f>
        <v>36.793879014192107</v>
      </c>
    </row>
    <row r="88" spans="1:4" x14ac:dyDescent="0.2">
      <c r="A88" s="27" t="s">
        <v>289</v>
      </c>
      <c r="B88" s="28">
        <f>IF(-20.70533="","-",-20.70533)</f>
        <v>-20.70533</v>
      </c>
      <c r="C88" s="28">
        <f>IF(-532.74995="","-",-532.74995)</f>
        <v>-532.74995000000001</v>
      </c>
      <c r="D88" s="125" t="s">
        <v>366</v>
      </c>
    </row>
    <row r="89" spans="1:4" x14ac:dyDescent="0.2">
      <c r="A89" s="126" t="s">
        <v>90</v>
      </c>
      <c r="B89" s="28">
        <f>IF(-254.18973="","-",-254.18973)</f>
        <v>-254.18973</v>
      </c>
      <c r="C89" s="28">
        <f>IF(-465.43431="","-",-465.43431)</f>
        <v>-465.43430999999998</v>
      </c>
      <c r="D89" s="125" t="s">
        <v>195</v>
      </c>
    </row>
    <row r="90" spans="1:4" x14ac:dyDescent="0.2">
      <c r="A90" s="126" t="s">
        <v>97</v>
      </c>
      <c r="B90" s="28">
        <f>IF(67.52961="","-",67.52961)</f>
        <v>67.529610000000005</v>
      </c>
      <c r="C90" s="28">
        <f>IF(-427.75951="","-",-427.75951)</f>
        <v>-427.75950999999998</v>
      </c>
      <c r="D90" s="125" t="s">
        <v>20</v>
      </c>
    </row>
    <row r="91" spans="1:4" x14ac:dyDescent="0.2">
      <c r="A91" s="126" t="s">
        <v>203</v>
      </c>
      <c r="B91" s="28">
        <f>IF(-406.76334="","-",-406.76334)</f>
        <v>-406.76334000000003</v>
      </c>
      <c r="C91" s="28">
        <f>IF(-220.09883="","-",-220.09883)</f>
        <v>-220.09882999999999</v>
      </c>
      <c r="D91" s="125">
        <f>IF(OR(-406.76334="",-220.09883="",-406.76334=0),"-",-220.09883/-406.76334*100)</f>
        <v>54.109800062119653</v>
      </c>
    </row>
    <row r="92" spans="1:4" x14ac:dyDescent="0.2">
      <c r="A92" s="27" t="s">
        <v>118</v>
      </c>
      <c r="B92" s="28">
        <f>IF(-394.26863="","-",-394.26863)</f>
        <v>-394.26862999999997</v>
      </c>
      <c r="C92" s="28">
        <f>IF(-208.89345="","-",-208.89345)</f>
        <v>-208.89345</v>
      </c>
      <c r="D92" s="125">
        <f>IF(OR(-394.26863="",-208.89345="",-394.26863=0),"-",-208.89345/-394.26863*100)</f>
        <v>52.98251854325818</v>
      </c>
    </row>
    <row r="93" spans="1:4" x14ac:dyDescent="0.2">
      <c r="A93" s="27" t="s">
        <v>94</v>
      </c>
      <c r="B93" s="28">
        <f>IF(-443.87389="","-",-443.87389)</f>
        <v>-443.87389000000002</v>
      </c>
      <c r="C93" s="28">
        <f>IF(-187.48139="","-",-187.48139)</f>
        <v>-187.48139</v>
      </c>
      <c r="D93" s="125">
        <f>IF(OR(-443.87389="",-187.48139="",-443.87389=0),"-",-187.48139/-443.87389*100)</f>
        <v>42.2375350800652</v>
      </c>
    </row>
    <row r="94" spans="1:4" x14ac:dyDescent="0.2">
      <c r="A94" s="126" t="s">
        <v>125</v>
      </c>
      <c r="B94" s="28">
        <f>IF(-93.24753="","-",-93.24753)</f>
        <v>-93.247529999999998</v>
      </c>
      <c r="C94" s="28">
        <f>IF(-184.40502="","-",-184.40502)</f>
        <v>-184.40502000000001</v>
      </c>
      <c r="D94" s="125" t="s">
        <v>18</v>
      </c>
    </row>
    <row r="95" spans="1:4" x14ac:dyDescent="0.2">
      <c r="A95" s="126" t="s">
        <v>349</v>
      </c>
      <c r="B95" s="28">
        <f>IF(-4.89148="","-",-4.89148)</f>
        <v>-4.8914799999999996</v>
      </c>
      <c r="C95" s="28">
        <f>IF(-175.24554="","-",-175.24554)</f>
        <v>-175.24554000000001</v>
      </c>
      <c r="D95" s="125" t="s">
        <v>368</v>
      </c>
    </row>
    <row r="96" spans="1:4" x14ac:dyDescent="0.2">
      <c r="A96" s="126" t="s">
        <v>324</v>
      </c>
      <c r="B96" s="28">
        <f>IF(-19.08884="","-",-19.08884)</f>
        <v>-19.088840000000001</v>
      </c>
      <c r="C96" s="28">
        <f>IF(-111.60003="","-",-111.60003)</f>
        <v>-111.60003</v>
      </c>
      <c r="D96" s="125" t="s">
        <v>369</v>
      </c>
    </row>
    <row r="97" spans="1:4" x14ac:dyDescent="0.2">
      <c r="A97" s="126" t="s">
        <v>314</v>
      </c>
      <c r="B97" s="28">
        <f>IF(-80.63134="","-",-80.63134)</f>
        <v>-80.631339999999994</v>
      </c>
      <c r="C97" s="28">
        <f>IF(-106.7026="","-",-106.7026)</f>
        <v>-106.7026</v>
      </c>
      <c r="D97" s="125">
        <f>IF(OR(-80.63134="",-106.7026="",-80.63134=0),"-",-106.7026/-80.63134*100)</f>
        <v>132.33390391378836</v>
      </c>
    </row>
    <row r="98" spans="1:4" x14ac:dyDescent="0.2">
      <c r="A98" s="126" t="s">
        <v>325</v>
      </c>
      <c r="B98" s="28">
        <f>IF(-53.92962="","-",-53.92962)</f>
        <v>-53.92962</v>
      </c>
      <c r="C98" s="28">
        <f>IF(-104.28453="","-",-104.28453)</f>
        <v>-104.28453</v>
      </c>
      <c r="D98" s="125" t="s">
        <v>101</v>
      </c>
    </row>
    <row r="99" spans="1:4" x14ac:dyDescent="0.2">
      <c r="A99" s="126" t="s">
        <v>287</v>
      </c>
      <c r="B99" s="28">
        <f>IF(7.14282="","-",7.14282)</f>
        <v>7.1428200000000004</v>
      </c>
      <c r="C99" s="28">
        <f>IF(-93.59881="","-",-93.59881)</f>
        <v>-93.59881</v>
      </c>
      <c r="D99" s="125" t="s">
        <v>20</v>
      </c>
    </row>
    <row r="100" spans="1:4" x14ac:dyDescent="0.2">
      <c r="A100" s="126" t="s">
        <v>326</v>
      </c>
      <c r="B100" s="28">
        <f>IF(-1.59103="","-",-1.59103)</f>
        <v>-1.5910299999999999</v>
      </c>
      <c r="C100" s="28">
        <f>IF(-83.79532="","-",-83.79532)</f>
        <v>-83.795320000000004</v>
      </c>
      <c r="D100" s="125" t="s">
        <v>371</v>
      </c>
    </row>
    <row r="101" spans="1:4" x14ac:dyDescent="0.2">
      <c r="A101" s="126" t="s">
        <v>288</v>
      </c>
      <c r="B101" s="28">
        <f>IF(-0.83585="","-",-0.83585)</f>
        <v>-0.83584999999999998</v>
      </c>
      <c r="C101" s="28">
        <f>IF(-76.05331="","-",-76.05331)</f>
        <v>-76.053309999999996</v>
      </c>
      <c r="D101" s="125" t="s">
        <v>372</v>
      </c>
    </row>
    <row r="102" spans="1:4" x14ac:dyDescent="0.2">
      <c r="A102" s="27" t="s">
        <v>350</v>
      </c>
      <c r="B102" s="28">
        <f>IF(-87.42707="","-",-87.42707)</f>
        <v>-87.427070000000001</v>
      </c>
      <c r="C102" s="28">
        <f>IF(-70.88652="","-",-70.88652)</f>
        <v>-70.886520000000004</v>
      </c>
      <c r="D102" s="125">
        <f>IF(OR(-87.42707="",-70.88652="",-87.42707=0),"-",-70.88652/-87.42707*100)</f>
        <v>81.080745357244624</v>
      </c>
    </row>
    <row r="103" spans="1:4" x14ac:dyDescent="0.2">
      <c r="A103" s="27" t="s">
        <v>327</v>
      </c>
      <c r="B103" s="28">
        <f>IF(-31.28226="","-",-31.28226)</f>
        <v>-31.282260000000001</v>
      </c>
      <c r="C103" s="28">
        <f>IF(-70.02582="","-",-70.02582)</f>
        <v>-70.025819999999996</v>
      </c>
      <c r="D103" s="125" t="s">
        <v>194</v>
      </c>
    </row>
    <row r="104" spans="1:4" x14ac:dyDescent="0.2">
      <c r="A104" s="27" t="s">
        <v>351</v>
      </c>
      <c r="B104" s="28">
        <f>IF(-6.63247="","-",-6.63247)</f>
        <v>-6.6324699999999996</v>
      </c>
      <c r="C104" s="28">
        <f>IF(-68.33834="","-",-68.33834)</f>
        <v>-68.338340000000002</v>
      </c>
      <c r="D104" s="125" t="s">
        <v>379</v>
      </c>
    </row>
    <row r="105" spans="1:4" x14ac:dyDescent="0.2">
      <c r="A105" s="126" t="s">
        <v>335</v>
      </c>
      <c r="B105" s="28">
        <f>IF(-4.36562="","-",-4.36562)</f>
        <v>-4.3656199999999998</v>
      </c>
      <c r="C105" s="28">
        <f>IF(-66.06045="","-",-66.06045)</f>
        <v>-66.060450000000003</v>
      </c>
      <c r="D105" s="125" t="s">
        <v>380</v>
      </c>
    </row>
    <row r="106" spans="1:4" x14ac:dyDescent="0.2">
      <c r="A106" s="126" t="s">
        <v>337</v>
      </c>
      <c r="B106" s="28">
        <f>IF(-50.3379="","-",-50.3379)</f>
        <v>-50.337899999999998</v>
      </c>
      <c r="C106" s="28">
        <f>IF(-55.45915="","-",-55.45915)</f>
        <v>-55.459150000000001</v>
      </c>
      <c r="D106" s="125">
        <f>IF(OR(-50.3379="",-55.45915="",-50.3379=0),"-",-55.45915/-50.3379*100)</f>
        <v>110.17374582570987</v>
      </c>
    </row>
    <row r="107" spans="1:4" x14ac:dyDescent="0.2">
      <c r="A107" s="27" t="s">
        <v>336</v>
      </c>
      <c r="B107" s="28">
        <f>IF(0="","-",0)</f>
        <v>0</v>
      </c>
      <c r="C107" s="28">
        <f>IF(-52.076="","-",-52.076)</f>
        <v>-52.076000000000001</v>
      </c>
      <c r="D107" s="125" t="str">
        <f>IF(OR(0="",-52.076="",0=0),"-",-52.076/0*100)</f>
        <v>-</v>
      </c>
    </row>
    <row r="108" spans="1:4" x14ac:dyDescent="0.2">
      <c r="A108" s="126" t="s">
        <v>331</v>
      </c>
      <c r="B108" s="28">
        <f>IF(134.48619="","-",134.48619)</f>
        <v>134.48618999999999</v>
      </c>
      <c r="C108" s="28">
        <f>IF(50.63863="","-",50.63863)</f>
        <v>50.638629999999999</v>
      </c>
      <c r="D108" s="125">
        <f>IF(OR(134.48619="",50.63863="",134.48619=0),"-",50.63863/134.48619*100)</f>
        <v>37.653405156321256</v>
      </c>
    </row>
    <row r="109" spans="1:4" x14ac:dyDescent="0.2">
      <c r="A109" s="27" t="s">
        <v>126</v>
      </c>
      <c r="B109" s="28">
        <f>IF(-136.0658="","-",-136.0658)</f>
        <v>-136.0658</v>
      </c>
      <c r="C109" s="28">
        <f>IF(58.1559="","-",58.1559)</f>
        <v>58.155900000000003</v>
      </c>
      <c r="D109" s="125" t="s">
        <v>20</v>
      </c>
    </row>
    <row r="110" spans="1:4" x14ac:dyDescent="0.2">
      <c r="A110" s="27" t="s">
        <v>319</v>
      </c>
      <c r="B110" s="28">
        <f>IF(39.44113="","-",39.44113)</f>
        <v>39.441130000000001</v>
      </c>
      <c r="C110" s="28">
        <f>IF(72.69="","-",72.69)</f>
        <v>72.69</v>
      </c>
      <c r="D110" s="125" t="s">
        <v>195</v>
      </c>
    </row>
    <row r="111" spans="1:4" x14ac:dyDescent="0.2">
      <c r="A111" s="27" t="s">
        <v>346</v>
      </c>
      <c r="B111" s="28">
        <f>IF(-0.10744="","-",-0.10744)</f>
        <v>-0.10743999999999999</v>
      </c>
      <c r="C111" s="28">
        <f>IF(84.91065="","-",84.91065)</f>
        <v>84.910650000000004</v>
      </c>
      <c r="D111" s="125" t="s">
        <v>20</v>
      </c>
    </row>
    <row r="112" spans="1:4" x14ac:dyDescent="0.2">
      <c r="A112" s="126" t="s">
        <v>304</v>
      </c>
      <c r="B112" s="28">
        <f>IF(24.47326="","-",24.47326)</f>
        <v>24.47326</v>
      </c>
      <c r="C112" s="28">
        <f>IF(98.08943="","-",98.08943)</f>
        <v>98.089429999999993</v>
      </c>
      <c r="D112" s="125" t="s">
        <v>376</v>
      </c>
    </row>
    <row r="113" spans="1:4" x14ac:dyDescent="0.2">
      <c r="A113" s="126" t="s">
        <v>311</v>
      </c>
      <c r="B113" s="28">
        <f>IF(-20.32467="","-",-20.32467)</f>
        <v>-20.324670000000001</v>
      </c>
      <c r="C113" s="28">
        <f>IF(98.50199="","-",98.50199)</f>
        <v>98.501990000000006</v>
      </c>
      <c r="D113" s="125" t="s">
        <v>20</v>
      </c>
    </row>
    <row r="114" spans="1:4" x14ac:dyDescent="0.2">
      <c r="A114" s="126" t="s">
        <v>310</v>
      </c>
      <c r="B114" s="28">
        <f>IF(-1.93759="","-",-1.93759)</f>
        <v>-1.9375899999999999</v>
      </c>
      <c r="C114" s="28">
        <f>IF(107.54342="","-",107.54342)</f>
        <v>107.54342</v>
      </c>
      <c r="D114" s="125" t="s">
        <v>20</v>
      </c>
    </row>
    <row r="115" spans="1:4" x14ac:dyDescent="0.2">
      <c r="A115" s="27" t="s">
        <v>202</v>
      </c>
      <c r="B115" s="28">
        <f>IF(154.3097="","-",154.3097)</f>
        <v>154.30969999999999</v>
      </c>
      <c r="C115" s="28">
        <f>IF(153.02907="","-",153.02907)</f>
        <v>153.02906999999999</v>
      </c>
      <c r="D115" s="125">
        <f>IF(OR(154.3097="",153.02907="",154.3097=0),"-",153.02907/154.3097*100)</f>
        <v>99.170091057140283</v>
      </c>
    </row>
    <row r="116" spans="1:4" x14ac:dyDescent="0.2">
      <c r="A116" s="27" t="s">
        <v>98</v>
      </c>
      <c r="B116" s="28">
        <f>IF(-229.47151="","-",-229.47151)</f>
        <v>-229.47150999999999</v>
      </c>
      <c r="C116" s="28">
        <f>IF(165.65193="","-",165.65193)</f>
        <v>165.65192999999999</v>
      </c>
      <c r="D116" s="125" t="s">
        <v>20</v>
      </c>
    </row>
    <row r="117" spans="1:4" x14ac:dyDescent="0.2">
      <c r="A117" s="126" t="s">
        <v>291</v>
      </c>
      <c r="B117" s="28">
        <f>IF(211.45377="","-",211.45377)</f>
        <v>211.45376999999999</v>
      </c>
      <c r="C117" s="28">
        <f>IF(176.90536="","-",176.90536)</f>
        <v>176.90536</v>
      </c>
      <c r="D117" s="125">
        <f>IF(OR(211.45377="",176.90536="",211.45377=0),"-",176.90536/211.45377*100)</f>
        <v>83.661483075000277</v>
      </c>
    </row>
    <row r="118" spans="1:4" x14ac:dyDescent="0.2">
      <c r="A118" s="126" t="s">
        <v>128</v>
      </c>
      <c r="B118" s="28">
        <f>IF(278.3609="","-",278.3609)</f>
        <v>278.36090000000002</v>
      </c>
      <c r="C118" s="28">
        <f>IF(195.93392="","-",195.93392)</f>
        <v>195.93392</v>
      </c>
      <c r="D118" s="125">
        <f>IF(OR(278.3609="",195.93392="",278.3609=0),"-",195.93392/278.3609*100)</f>
        <v>70.388448952421115</v>
      </c>
    </row>
    <row r="119" spans="1:4" x14ac:dyDescent="0.2">
      <c r="A119" s="27" t="s">
        <v>123</v>
      </c>
      <c r="B119" s="28">
        <f>IF(192.62099="","-",192.62099)</f>
        <v>192.62099000000001</v>
      </c>
      <c r="C119" s="28">
        <f>IF(212.54324="","-",212.54324)</f>
        <v>212.54324</v>
      </c>
      <c r="D119" s="125">
        <f>IF(OR(192.62099="",212.54324="",192.62099=0),"-",212.54324/192.62099*100)</f>
        <v>110.34272017810727</v>
      </c>
    </row>
    <row r="120" spans="1:4" x14ac:dyDescent="0.2">
      <c r="A120" s="27" t="s">
        <v>119</v>
      </c>
      <c r="B120" s="28">
        <f>IF(240.34246="","-",240.34246)</f>
        <v>240.34245999999999</v>
      </c>
      <c r="C120" s="28">
        <f>IF(219.78759="","-",219.78759)</f>
        <v>219.78758999999999</v>
      </c>
      <c r="D120" s="125">
        <f>IF(OR(240.34246="",219.78759="",240.34246=0),"-",219.78759/240.34246*100)</f>
        <v>91.44767428942852</v>
      </c>
    </row>
    <row r="121" spans="1:4" x14ac:dyDescent="0.2">
      <c r="A121" s="27" t="s">
        <v>312</v>
      </c>
      <c r="B121" s="28">
        <f>IF(392.37799="","-",392.37799)</f>
        <v>392.37799000000001</v>
      </c>
      <c r="C121" s="28">
        <f>IF(294.43674="","-",294.43674)</f>
        <v>294.43673999999999</v>
      </c>
      <c r="D121" s="125">
        <f>IF(OR(392.37799="",294.43674="",392.37799=0),"-",294.43674/392.37799*100)</f>
        <v>75.039056089766916</v>
      </c>
    </row>
    <row r="122" spans="1:4" x14ac:dyDescent="0.2">
      <c r="A122" s="126" t="s">
        <v>133</v>
      </c>
      <c r="B122" s="28">
        <f>IF(299.4="","-",299.4)</f>
        <v>299.39999999999998</v>
      </c>
      <c r="C122" s="28">
        <f>IF(379.2656="","-",379.2656)</f>
        <v>379.26560000000001</v>
      </c>
      <c r="D122" s="125">
        <f>IF(OR(299.4="",379.2656="",299.4=0),"-",379.2656/299.4*100)</f>
        <v>126.67521710086842</v>
      </c>
    </row>
    <row r="123" spans="1:4" x14ac:dyDescent="0.2">
      <c r="A123" s="27" t="s">
        <v>135</v>
      </c>
      <c r="B123" s="28">
        <f>IF(480.72358="","-",480.72358)</f>
        <v>480.72358000000003</v>
      </c>
      <c r="C123" s="28">
        <f>IF(390.11472="","-",390.11472)</f>
        <v>390.11471999999998</v>
      </c>
      <c r="D123" s="125">
        <f>IF(OR(480.72358="",390.11472="",480.72358=0),"-",390.11472/480.72358*100)</f>
        <v>81.151567393469648</v>
      </c>
    </row>
    <row r="124" spans="1:4" x14ac:dyDescent="0.2">
      <c r="A124" s="126" t="s">
        <v>92</v>
      </c>
      <c r="B124" s="28">
        <f>IF(231.46488="","-",231.46488)</f>
        <v>231.46487999999999</v>
      </c>
      <c r="C124" s="28">
        <f>IF(724.80465="","-",724.80465)</f>
        <v>724.80465000000004</v>
      </c>
      <c r="D124" s="125" t="s">
        <v>329</v>
      </c>
    </row>
    <row r="125" spans="1:4" x14ac:dyDescent="0.2">
      <c r="A125" s="126" t="s">
        <v>74</v>
      </c>
      <c r="B125" s="28">
        <f>IF(1393.23776="","-",1393.23776)</f>
        <v>1393.23776</v>
      </c>
      <c r="C125" s="28">
        <f>IF(913.70957="","-",913.70957)</f>
        <v>913.70956999999999</v>
      </c>
      <c r="D125" s="125">
        <f>IF(OR(1393.23776="",913.70957="",1393.23776=0),"-",913.70957/1393.23776*100)</f>
        <v>65.581740334112098</v>
      </c>
    </row>
    <row r="126" spans="1:4" x14ac:dyDescent="0.2">
      <c r="A126" s="126" t="s">
        <v>296</v>
      </c>
      <c r="B126" s="28">
        <f>IF(-5042.85186="","-",-5042.85186)</f>
        <v>-5042.8518599999998</v>
      </c>
      <c r="C126" s="28">
        <f>IF(1439.9146="","-",1439.9146)</f>
        <v>1439.9146000000001</v>
      </c>
      <c r="D126" s="125" t="s">
        <v>20</v>
      </c>
    </row>
    <row r="127" spans="1:4" x14ac:dyDescent="0.2">
      <c r="A127" s="27" t="s">
        <v>61</v>
      </c>
      <c r="B127" s="28">
        <f>IF(-1584.52987="","-",-1584.52987)</f>
        <v>-1584.5298700000001</v>
      </c>
      <c r="C127" s="28">
        <f>IF(1790.77225="","-",1790.77225)</f>
        <v>1790.77225</v>
      </c>
      <c r="D127" s="125" t="s">
        <v>20</v>
      </c>
    </row>
    <row r="128" spans="1:4" x14ac:dyDescent="0.2">
      <c r="A128" s="27" t="s">
        <v>66</v>
      </c>
      <c r="B128" s="28">
        <f>IF(1080.38691="","-",1080.38691)</f>
        <v>1080.3869099999999</v>
      </c>
      <c r="C128" s="28">
        <f>IF(2515.85829="","-",2515.85829)</f>
        <v>2515.8582900000001</v>
      </c>
      <c r="D128" s="125" t="s">
        <v>381</v>
      </c>
    </row>
    <row r="129" spans="1:7" x14ac:dyDescent="0.2">
      <c r="A129" s="126" t="s">
        <v>116</v>
      </c>
      <c r="B129" s="28">
        <f>IF(-847.73945="","-",-847.73945)</f>
        <v>-847.73945000000003</v>
      </c>
      <c r="C129" s="28">
        <f>IF(2620.99552="","-",2620.99552)</f>
        <v>2620.9955199999999</v>
      </c>
      <c r="D129" s="125" t="s">
        <v>20</v>
      </c>
    </row>
    <row r="130" spans="1:7" x14ac:dyDescent="0.2">
      <c r="A130" s="27" t="s">
        <v>65</v>
      </c>
      <c r="B130" s="28">
        <f>IF(11.6912="","-",11.6912)</f>
        <v>11.6912</v>
      </c>
      <c r="C130" s="28">
        <f>IF(2791.42076="","-",2791.42076)</f>
        <v>2791.42076</v>
      </c>
      <c r="D130" s="125" t="s">
        <v>382</v>
      </c>
    </row>
    <row r="131" spans="1:7" x14ac:dyDescent="0.2">
      <c r="A131" s="27" t="s">
        <v>35</v>
      </c>
      <c r="B131" s="28">
        <f>IF(530.48629="","-",530.48629)</f>
        <v>530.48629000000005</v>
      </c>
      <c r="C131" s="28">
        <f>IF(3547.34364="","-",3547.34364)</f>
        <v>3547.3436400000001</v>
      </c>
      <c r="D131" s="125" t="s">
        <v>353</v>
      </c>
    </row>
    <row r="132" spans="1:7" x14ac:dyDescent="0.2">
      <c r="A132" s="27" t="s">
        <v>55</v>
      </c>
      <c r="B132" s="28">
        <f>IF(3459.50622="","-",3459.50622)</f>
        <v>3459.5062200000002</v>
      </c>
      <c r="C132" s="28">
        <f>IF(5035.905="","-",5035.905)</f>
        <v>5035.9049999999997</v>
      </c>
      <c r="D132" s="125">
        <f>IF(OR(3459.50622="",5035.905="",3459.50622=0),"-",5035.905/3459.50622*100)</f>
        <v>145.56716131587123</v>
      </c>
    </row>
    <row r="133" spans="1:7" x14ac:dyDescent="0.2">
      <c r="A133" s="27" t="s">
        <v>56</v>
      </c>
      <c r="B133" s="28">
        <f>IF(8172.84924="","-",8172.84924)</f>
        <v>8172.8492399999996</v>
      </c>
      <c r="C133" s="28">
        <f>IF(5133.12288="","-",5133.12288)</f>
        <v>5133.1228799999999</v>
      </c>
      <c r="D133" s="125">
        <f>IF(OR(8172.84924="",5133.12288="",8172.84924=0),"-",5133.12288/8172.84924*100)</f>
        <v>62.807017837514891</v>
      </c>
    </row>
    <row r="134" spans="1:7" x14ac:dyDescent="0.2">
      <c r="A134" s="126" t="s">
        <v>58</v>
      </c>
      <c r="B134" s="28">
        <f>IF(14060.19743="","-",14060.19743)</f>
        <v>14060.19743</v>
      </c>
      <c r="C134" s="28">
        <f>IF(15059.65683="","-",15059.65683)</f>
        <v>15059.65683</v>
      </c>
      <c r="D134" s="125">
        <f>IF(OR(14060.19743="",15059.65683="",14060.19743=0),"-",15059.65683/14060.19743*100)</f>
        <v>107.10843076689287</v>
      </c>
    </row>
    <row r="135" spans="1:7" x14ac:dyDescent="0.2">
      <c r="A135" s="35" t="s">
        <v>70</v>
      </c>
      <c r="B135" s="37">
        <f>IF(-2220.37313="","-",-2220.37313)</f>
        <v>-2220.3731299999999</v>
      </c>
      <c r="C135" s="37">
        <f>IF(34763.7607="","-",34763.7607)</f>
        <v>34763.760699999999</v>
      </c>
      <c r="D135" s="127" t="s">
        <v>20</v>
      </c>
    </row>
    <row r="136" spans="1:7" x14ac:dyDescent="0.2">
      <c r="A136" s="38" t="s">
        <v>295</v>
      </c>
      <c r="B136" s="40">
        <f>IF(-3021.67829="","-",-3021.67829)</f>
        <v>-3021.6782899999998</v>
      </c>
      <c r="C136" s="40">
        <f>IF(36033.20386="","-",36033.20386)</f>
        <v>36033.203860000001</v>
      </c>
      <c r="D136" s="128" t="s">
        <v>20</v>
      </c>
    </row>
    <row r="137" spans="1:7" x14ac:dyDescent="0.2">
      <c r="A137" s="41" t="s">
        <v>279</v>
      </c>
      <c r="B137" s="42"/>
      <c r="C137" s="42"/>
      <c r="D137" s="42"/>
      <c r="E137" s="42"/>
      <c r="F137" s="31"/>
      <c r="G137" s="31"/>
    </row>
  </sheetData>
  <sortState xmlns:xlrd2="http://schemas.microsoft.com/office/spreadsheetml/2017/richdata2" ref="A48:G113">
    <sortCondition ref="C48:C113"/>
  </sortState>
  <mergeCells count="4">
    <mergeCell ref="A1:D1"/>
    <mergeCell ref="A3:A4"/>
    <mergeCell ref="D3:D4"/>
    <mergeCell ref="B3:C3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39"/>
  <sheetViews>
    <sheetView workbookViewId="0">
      <selection sqref="A1:G1"/>
    </sheetView>
  </sheetViews>
  <sheetFormatPr defaultRowHeight="12" x14ac:dyDescent="0.2"/>
  <cols>
    <col min="1" max="1" width="30.375" style="3" customWidth="1"/>
    <col min="2" max="2" width="14.75" style="3" customWidth="1"/>
    <col min="3" max="3" width="13.875" style="3" customWidth="1"/>
    <col min="4" max="5" width="11.625" style="3" customWidth="1"/>
    <col min="6" max="16384" width="9" style="3"/>
  </cols>
  <sheetData>
    <row r="1" spans="1:6" x14ac:dyDescent="0.2">
      <c r="A1" s="2" t="s">
        <v>420</v>
      </c>
      <c r="B1" s="2"/>
      <c r="C1" s="2"/>
      <c r="D1" s="2"/>
      <c r="E1" s="2"/>
    </row>
    <row r="2" spans="1:6" x14ac:dyDescent="0.2">
      <c r="A2" s="31"/>
      <c r="B2" s="31"/>
      <c r="C2" s="31"/>
      <c r="D2" s="31"/>
      <c r="E2" s="31"/>
    </row>
    <row r="3" spans="1:6" ht="18.75" customHeight="1" x14ac:dyDescent="0.2">
      <c r="A3" s="4"/>
      <c r="B3" s="5" t="s">
        <v>342</v>
      </c>
      <c r="C3" s="6"/>
      <c r="D3" s="5" t="s">
        <v>104</v>
      </c>
      <c r="E3" s="107"/>
      <c r="F3" s="18"/>
    </row>
    <row r="4" spans="1:6" ht="18.75" customHeight="1" x14ac:dyDescent="0.2">
      <c r="A4" s="9"/>
      <c r="B4" s="10" t="s">
        <v>115</v>
      </c>
      <c r="C4" s="11" t="s">
        <v>411</v>
      </c>
      <c r="D4" s="12" t="s">
        <v>343</v>
      </c>
      <c r="E4" s="5"/>
      <c r="F4" s="18"/>
    </row>
    <row r="5" spans="1:6" ht="23.25" customHeight="1" x14ac:dyDescent="0.2">
      <c r="A5" s="13"/>
      <c r="B5" s="14"/>
      <c r="C5" s="15"/>
      <c r="D5" s="16" t="s">
        <v>300</v>
      </c>
      <c r="E5" s="17" t="s">
        <v>301</v>
      </c>
      <c r="F5" s="18"/>
    </row>
    <row r="6" spans="1:6" ht="15.75" customHeight="1" x14ac:dyDescent="0.2">
      <c r="A6" s="25" t="s">
        <v>127</v>
      </c>
      <c r="B6" s="26">
        <v>2290386.3597900001</v>
      </c>
      <c r="C6" s="21" t="s">
        <v>99</v>
      </c>
      <c r="D6" s="113">
        <v>100</v>
      </c>
      <c r="E6" s="113">
        <v>100</v>
      </c>
    </row>
    <row r="7" spans="1:6" ht="15.75" customHeight="1" x14ac:dyDescent="0.2">
      <c r="A7" s="109" t="s">
        <v>120</v>
      </c>
      <c r="B7" s="114"/>
      <c r="C7" s="116"/>
      <c r="D7" s="113"/>
      <c r="E7" s="113"/>
    </row>
    <row r="8" spans="1:6" x14ac:dyDescent="0.2">
      <c r="A8" s="111" t="s">
        <v>106</v>
      </c>
      <c r="B8" s="28">
        <v>380466.98602999997</v>
      </c>
      <c r="C8" s="28" t="s">
        <v>383</v>
      </c>
      <c r="D8" s="28">
        <f>IF(81576.78003="","-",81576.78003/1331502.34087*100)</f>
        <v>6.1266719198328978</v>
      </c>
      <c r="E8" s="28">
        <f>IF(380466.98603="","-",380466.98603/2290386.35979*100)</f>
        <v>16.611476243024956</v>
      </c>
    </row>
    <row r="9" spans="1:6" x14ac:dyDescent="0.2">
      <c r="A9" s="111" t="s">
        <v>107</v>
      </c>
      <c r="B9" s="28">
        <v>218448.86345999999</v>
      </c>
      <c r="C9" s="28" t="s">
        <v>384</v>
      </c>
      <c r="D9" s="28">
        <f>IF(8894.01007="","-",8894.01007/1331502.34087*100)</f>
        <v>0.66796803858329523</v>
      </c>
      <c r="E9" s="28">
        <f>IF(218448.86346="","-",218448.86346/2290386.35979*100)</f>
        <v>9.5376425259548352</v>
      </c>
    </row>
    <row r="10" spans="1:6" x14ac:dyDescent="0.2">
      <c r="A10" s="111" t="s">
        <v>108</v>
      </c>
      <c r="B10" s="28">
        <v>1673871.3632400001</v>
      </c>
      <c r="C10" s="28">
        <v>136.62979329219155</v>
      </c>
      <c r="D10" s="28">
        <f>IF(1225114.46655="","-",1225114.46655/1331502.34087*100)</f>
        <v>92.009937117310187</v>
      </c>
      <c r="E10" s="28">
        <f>IF(1673871.36324="","-",1673871.36324/2290386.35979*100)</f>
        <v>73.082489165429422</v>
      </c>
    </row>
    <row r="11" spans="1:6" x14ac:dyDescent="0.2">
      <c r="A11" s="111" t="s">
        <v>109</v>
      </c>
      <c r="B11" s="28">
        <v>16675.827819999999</v>
      </c>
      <c r="C11" s="28">
        <v>111.01637575955014</v>
      </c>
      <c r="D11" s="28">
        <f>IF(15021.05226="","-",15021.05226/1331502.34087*100)</f>
        <v>1.1281281150572582</v>
      </c>
      <c r="E11" s="28">
        <f>IF(16675.82782="","-",16675.82782/2290386.35979*100)</f>
        <v>0.72807924954325021</v>
      </c>
    </row>
    <row r="12" spans="1:6" x14ac:dyDescent="0.2">
      <c r="A12" s="111" t="s">
        <v>110</v>
      </c>
      <c r="B12" s="28">
        <v>814.66295000000002</v>
      </c>
      <c r="C12" s="28">
        <v>99.374734085477456</v>
      </c>
      <c r="D12" s="28">
        <f>IF(819.78881="","-",819.78881/1331502.34087*100)</f>
        <v>6.1568709632485681E-2</v>
      </c>
      <c r="E12" s="28">
        <f>IF(814.66295="","-",814.66295/2290386.35979*100)</f>
        <v>3.5568800282005451E-2</v>
      </c>
    </row>
    <row r="13" spans="1:6" x14ac:dyDescent="0.2">
      <c r="A13" s="111" t="s">
        <v>111</v>
      </c>
      <c r="B13" s="28">
        <v>3.69841</v>
      </c>
      <c r="C13" s="28">
        <v>129.39058821059851</v>
      </c>
      <c r="D13" s="28">
        <f>IF(2.85833="","-",2.85833/1331502.34087*100)</f>
        <v>2.1466954373751797E-4</v>
      </c>
      <c r="E13" s="28">
        <f>IF(3.69841="","-",3.69841/2290386.35979*100)</f>
        <v>1.6147537659712128E-4</v>
      </c>
    </row>
    <row r="14" spans="1:6" x14ac:dyDescent="0.2">
      <c r="A14" s="111" t="s">
        <v>112</v>
      </c>
      <c r="B14" s="28">
        <v>104.95788</v>
      </c>
      <c r="C14" s="28">
        <v>143.02396599187679</v>
      </c>
      <c r="D14" s="28">
        <f>IF(73.38482="","-",73.38482/1331502.34087*100)</f>
        <v>5.5114300401492775E-3</v>
      </c>
      <c r="E14" s="28">
        <f>IF(104.95788="","-",104.95788/2290386.35979*100)</f>
        <v>4.5825403889334778E-3</v>
      </c>
    </row>
    <row r="15" spans="1:6" x14ac:dyDescent="0.2">
      <c r="A15" s="112" t="s">
        <v>197</v>
      </c>
      <c r="B15" s="26">
        <v>1410282.2941099999</v>
      </c>
      <c r="C15" s="26" t="s">
        <v>100</v>
      </c>
      <c r="D15" s="26">
        <f>IF(859323.64349="","-",859323.64349/1331502.34087*100)</f>
        <v>64.537899567530644</v>
      </c>
      <c r="E15" s="26">
        <f>IF(1410282.29411="","-",1410282.29411/2290386.35979*100)</f>
        <v>61.57399113393712</v>
      </c>
    </row>
    <row r="16" spans="1:6" x14ac:dyDescent="0.2">
      <c r="A16" s="109" t="s">
        <v>120</v>
      </c>
      <c r="B16" s="26"/>
      <c r="C16" s="26"/>
      <c r="D16" s="114"/>
      <c r="E16" s="114"/>
    </row>
    <row r="17" spans="1:10" x14ac:dyDescent="0.2">
      <c r="A17" s="111" t="s">
        <v>106</v>
      </c>
      <c r="B17" s="28">
        <v>277065.08438999997</v>
      </c>
      <c r="C17" s="28" t="s">
        <v>385</v>
      </c>
      <c r="D17" s="28">
        <f>IF(32605.07283="","-",32605.07283/1331502.34087*100)</f>
        <v>2.4487431849872632</v>
      </c>
      <c r="E17" s="28">
        <f>IF(277065.08439="","-",277065.08439/2290386.35979*100)</f>
        <v>12.096871045608367</v>
      </c>
      <c r="J17" s="119"/>
    </row>
    <row r="18" spans="1:10" x14ac:dyDescent="0.2">
      <c r="A18" s="111" t="s">
        <v>107</v>
      </c>
      <c r="B18" s="28">
        <v>36399.084239999996</v>
      </c>
      <c r="C18" s="28" t="s">
        <v>386</v>
      </c>
      <c r="D18" s="28">
        <f>IF(2932.42604="","-",2932.42604/1331502.34087*100)</f>
        <v>0.2202343886293103</v>
      </c>
      <c r="E18" s="28">
        <f>IF(36399.0842399999="","-",36399.0842399999/2290386.35979*100)</f>
        <v>1.5892115356178267</v>
      </c>
    </row>
    <row r="19" spans="1:10" x14ac:dyDescent="0.2">
      <c r="A19" s="111" t="s">
        <v>108</v>
      </c>
      <c r="B19" s="28">
        <v>1092972.31962</v>
      </c>
      <c r="C19" s="28">
        <v>133.15659213329783</v>
      </c>
      <c r="D19" s="28">
        <f>IF(820817.28145="","-",820817.28145/1331502.34087*100)</f>
        <v>61.645951062592971</v>
      </c>
      <c r="E19" s="28">
        <f>IF(1092972.31962="","-",1092972.31962/2290386.35979*100)</f>
        <v>47.719997761434968</v>
      </c>
    </row>
    <row r="20" spans="1:10" x14ac:dyDescent="0.2">
      <c r="A20" s="111" t="s">
        <v>109</v>
      </c>
      <c r="B20" s="28">
        <v>3457.6190900000001</v>
      </c>
      <c r="C20" s="28">
        <v>157.82616013683403</v>
      </c>
      <c r="D20" s="28">
        <f>IF(2190.77692="","-",2190.77692/1331502.34087*100)</f>
        <v>0.16453421468028004</v>
      </c>
      <c r="E20" s="28">
        <f>IF(3457.61909="","-",3457.61909/2290386.35979*100)</f>
        <v>0.15096226342864794</v>
      </c>
    </row>
    <row r="21" spans="1:10" x14ac:dyDescent="0.2">
      <c r="A21" s="111" t="s">
        <v>110</v>
      </c>
      <c r="B21" s="28">
        <v>323.17234000000002</v>
      </c>
      <c r="C21" s="28">
        <v>43.552927110296672</v>
      </c>
      <c r="D21" s="28">
        <f>IF(742.02209="","-",742.02209/1331502.34087*100)</f>
        <v>5.5728185165274655E-2</v>
      </c>
      <c r="E21" s="28">
        <f>IF(323.17234="","-",323.17234/2290386.35979*100)</f>
        <v>1.4109948682615754E-2</v>
      </c>
    </row>
    <row r="22" spans="1:10" x14ac:dyDescent="0.2">
      <c r="A22" s="120" t="s">
        <v>112</v>
      </c>
      <c r="B22" s="28">
        <v>65.014430000000004</v>
      </c>
      <c r="C22" s="28" t="s">
        <v>195</v>
      </c>
      <c r="D22" s="28">
        <f>IF(36.06416="","-",36.06416/1331502.34087*100)</f>
        <v>2.7085314755388099E-3</v>
      </c>
      <c r="E22" s="28">
        <f>IF(65.01443="","-",65.01443/2290386.35979*100)</f>
        <v>2.8385791646943367E-3</v>
      </c>
    </row>
    <row r="23" spans="1:10" x14ac:dyDescent="0.2">
      <c r="A23" s="112" t="s">
        <v>198</v>
      </c>
      <c r="B23" s="26">
        <v>409981.09305999998</v>
      </c>
      <c r="C23" s="26" t="s">
        <v>18</v>
      </c>
      <c r="D23" s="26">
        <f>IF(208434.06465="","-",208434.06465/1331502.34087*100)</f>
        <v>15.654051686744294</v>
      </c>
      <c r="E23" s="26">
        <f>IF(409981.09306="","-",409981.09306/2290386.35979*100)</f>
        <v>17.900084468612977</v>
      </c>
    </row>
    <row r="24" spans="1:10" x14ac:dyDescent="0.2">
      <c r="A24" s="109" t="s">
        <v>120</v>
      </c>
      <c r="B24" s="26"/>
      <c r="C24" s="26"/>
      <c r="D24" s="114"/>
      <c r="E24" s="114"/>
    </row>
    <row r="25" spans="1:10" x14ac:dyDescent="0.2">
      <c r="A25" s="111" t="s">
        <v>106</v>
      </c>
      <c r="B25" s="28">
        <v>82.096980000000002</v>
      </c>
      <c r="C25" s="28">
        <v>0.79935114835495324</v>
      </c>
      <c r="D25" s="28">
        <f>IF(10270.4525="","-",10270.4525/1331502.34087*100)</f>
        <v>0.77134318016214032</v>
      </c>
      <c r="E25" s="28">
        <f>IF(82.09698="","-",82.09698/2290386.35979*100)</f>
        <v>3.5844162120982626E-3</v>
      </c>
    </row>
    <row r="26" spans="1:10" x14ac:dyDescent="0.2">
      <c r="A26" s="111" t="s">
        <v>107</v>
      </c>
      <c r="B26" s="28">
        <v>82735.801789999998</v>
      </c>
      <c r="C26" s="28" t="s">
        <v>387</v>
      </c>
      <c r="D26" s="28">
        <f>IF(2275.81318="","-",2275.81318/1331502.34087*100)</f>
        <v>0.1709207043911759</v>
      </c>
      <c r="E26" s="28">
        <f>IF(82735.80179="","-",82735.80179/2290386.35979*100)</f>
        <v>3.6123076543987906</v>
      </c>
      <c r="F26" s="18"/>
    </row>
    <row r="27" spans="1:10" x14ac:dyDescent="0.2">
      <c r="A27" s="111" t="s">
        <v>108</v>
      </c>
      <c r="B27" s="28">
        <v>323769.27736000001</v>
      </c>
      <c r="C27" s="28" t="s">
        <v>99</v>
      </c>
      <c r="D27" s="28">
        <f>IF(191104.49048="","-",191104.49048/1331502.34087*100)</f>
        <v>14.352546339132447</v>
      </c>
      <c r="E27" s="28">
        <f>IF(323769.27736="","-",323769.27736/2290386.35979*100)</f>
        <v>14.13601141903786</v>
      </c>
      <c r="F27" s="1"/>
    </row>
    <row r="28" spans="1:10" x14ac:dyDescent="0.2">
      <c r="A28" s="111" t="s">
        <v>109</v>
      </c>
      <c r="B28" s="28">
        <v>3291.0648999999999</v>
      </c>
      <c r="C28" s="28">
        <v>69.585954650380771</v>
      </c>
      <c r="D28" s="28">
        <f>IF(4729.49594="","-",4729.49594/1331502.34087*100)</f>
        <v>0.3551999718535801</v>
      </c>
      <c r="E28" s="28">
        <f>IF(3291.0649="","-",3291.0649/2290386.35979*100)</f>
        <v>0.14369038157831807</v>
      </c>
    </row>
    <row r="29" spans="1:10" x14ac:dyDescent="0.2">
      <c r="A29" s="111" t="s">
        <v>110</v>
      </c>
      <c r="B29" s="28">
        <v>59.210169999999998</v>
      </c>
      <c r="C29" s="28" t="s">
        <v>373</v>
      </c>
      <c r="D29" s="28">
        <f>IF(15.77512="","-",15.77512/1331502.34087*100)</f>
        <v>1.1847609663001102E-3</v>
      </c>
      <c r="E29" s="28">
        <f>IF(59.21017="","-",59.21017/2290386.35979*100)</f>
        <v>2.5851607850750926E-3</v>
      </c>
    </row>
    <row r="30" spans="1:10" x14ac:dyDescent="0.2">
      <c r="A30" s="111" t="s">
        <v>111</v>
      </c>
      <c r="B30" s="28">
        <v>3.69841</v>
      </c>
      <c r="C30" s="28">
        <v>129.39058821059851</v>
      </c>
      <c r="D30" s="28">
        <f>IF(2.85833="","-",2.85833/1331502.34087*100)</f>
        <v>2.1466954373751797E-4</v>
      </c>
      <c r="E30" s="28">
        <f>IF(3.69841="","-",3.69841/2290386.35979*100)</f>
        <v>1.6147537659712128E-4</v>
      </c>
    </row>
    <row r="31" spans="1:10" x14ac:dyDescent="0.2">
      <c r="A31" s="111" t="s">
        <v>112</v>
      </c>
      <c r="B31" s="28">
        <v>39.943449999999999</v>
      </c>
      <c r="C31" s="28">
        <v>113.54312645860753</v>
      </c>
      <c r="D31" s="28">
        <f>IF(35.1791="","-",35.1791/1331502.34087*100)</f>
        <v>2.6420606949150438E-3</v>
      </c>
      <c r="E31" s="28">
        <f>IF(39.94345="","-",39.94345/2290386.35979*100)</f>
        <v>1.7439612242391418E-3</v>
      </c>
    </row>
    <row r="32" spans="1:10" x14ac:dyDescent="0.2">
      <c r="A32" s="112" t="s">
        <v>286</v>
      </c>
      <c r="B32" s="26">
        <v>470122.97262000002</v>
      </c>
      <c r="C32" s="26" t="s">
        <v>195</v>
      </c>
      <c r="D32" s="26">
        <f>IF(263744.63273="","-",263744.63273/1331502.34087*100)</f>
        <v>19.808048745725074</v>
      </c>
      <c r="E32" s="26">
        <f>IF(470122.97262="","-",470122.97262/2290386.35979*100)</f>
        <v>20.525924397449888</v>
      </c>
    </row>
    <row r="33" spans="1:5" x14ac:dyDescent="0.2">
      <c r="A33" s="109" t="s">
        <v>120</v>
      </c>
      <c r="B33" s="26"/>
      <c r="C33" s="26"/>
      <c r="D33" s="114"/>
      <c r="E33" s="114"/>
    </row>
    <row r="34" spans="1:5" x14ac:dyDescent="0.2">
      <c r="A34" s="111" t="s">
        <v>106</v>
      </c>
      <c r="B34" s="28">
        <v>103319.80465999999</v>
      </c>
      <c r="C34" s="28" t="s">
        <v>364</v>
      </c>
      <c r="D34" s="28">
        <f>IF(38701.2547="","-",38701.2547/1331502.34087*100)</f>
        <v>2.9065855546834944</v>
      </c>
      <c r="E34" s="28">
        <f>IF(103319.80466="","-",103319.80466/2290386.35979*100)</f>
        <v>4.5110207812044925</v>
      </c>
    </row>
    <row r="35" spans="1:5" x14ac:dyDescent="0.2">
      <c r="A35" s="111" t="s">
        <v>107</v>
      </c>
      <c r="B35" s="28">
        <v>99313.977429999999</v>
      </c>
      <c r="C35" s="28" t="s">
        <v>388</v>
      </c>
      <c r="D35" s="28">
        <f>IF(3685.77085="","-",3685.77085/1331502.34087*100)</f>
        <v>0.27681294556280894</v>
      </c>
      <c r="E35" s="28">
        <f>IF(99313.97743="","-",99313.97743/2290386.35979*100)</f>
        <v>4.3361233359382148</v>
      </c>
    </row>
    <row r="36" spans="1:5" x14ac:dyDescent="0.2">
      <c r="A36" s="111" t="s">
        <v>108</v>
      </c>
      <c r="B36" s="28">
        <v>257129.76626</v>
      </c>
      <c r="C36" s="28">
        <v>120.60908874870901</v>
      </c>
      <c r="D36" s="28">
        <f>IF(213192.69462="","-",213192.69462/1331502.34087*100)</f>
        <v>16.011439715584764</v>
      </c>
      <c r="E36" s="28">
        <f>IF(257129.76626="","-",257129.76626/2290386.35979*100)</f>
        <v>11.226479984956582</v>
      </c>
    </row>
    <row r="37" spans="1:5" x14ac:dyDescent="0.2">
      <c r="A37" s="111" t="s">
        <v>109</v>
      </c>
      <c r="B37" s="28">
        <v>9927.1438300000009</v>
      </c>
      <c r="C37" s="28">
        <v>122.54553963042125</v>
      </c>
      <c r="D37" s="28">
        <f>IF(8100.7794="","-",8100.7794/1331502.34087*100)</f>
        <v>0.60839392852339813</v>
      </c>
      <c r="E37" s="28">
        <f>IF(9927.14383="","-",9927.14383/2290386.35979*100)</f>
        <v>0.43342660453628429</v>
      </c>
    </row>
    <row r="38" spans="1:5" x14ac:dyDescent="0.2">
      <c r="A38" s="117" t="s">
        <v>110</v>
      </c>
      <c r="B38" s="40">
        <v>432.28044</v>
      </c>
      <c r="C38" s="40" t="s">
        <v>389</v>
      </c>
      <c r="D38" s="40">
        <f>IF(61.9916="","-",61.9916/1331502.34087*100)</f>
        <v>4.6557635009109224E-3</v>
      </c>
      <c r="E38" s="40">
        <f>IF(432.28044="","-",432.28044/2290386.35979*100)</f>
        <v>1.8873690814314607E-2</v>
      </c>
    </row>
    <row r="39" spans="1:5" x14ac:dyDescent="0.2">
      <c r="A39" s="118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1"/>
  <sheetViews>
    <sheetView workbookViewId="0">
      <selection sqref="A1:G1"/>
    </sheetView>
  </sheetViews>
  <sheetFormatPr defaultRowHeight="12" x14ac:dyDescent="0.2"/>
  <cols>
    <col min="1" max="1" width="31.625" style="3" customWidth="1"/>
    <col min="2" max="2" width="14.75" style="3" customWidth="1"/>
    <col min="3" max="3" width="13.375" style="3" customWidth="1"/>
    <col min="4" max="4" width="11.375" style="3" customWidth="1"/>
    <col min="5" max="5" width="11.125" style="3" customWidth="1"/>
    <col min="6" max="16384" width="9" style="3"/>
  </cols>
  <sheetData>
    <row r="1" spans="1:5" x14ac:dyDescent="0.2">
      <c r="A1" s="2" t="s">
        <v>419</v>
      </c>
      <c r="B1" s="2"/>
      <c r="C1" s="2"/>
      <c r="D1" s="2"/>
      <c r="E1" s="2"/>
    </row>
    <row r="2" spans="1:5" x14ac:dyDescent="0.2">
      <c r="A2" s="31"/>
      <c r="B2" s="31"/>
      <c r="C2" s="31"/>
      <c r="D2" s="31"/>
      <c r="E2" s="31"/>
    </row>
    <row r="3" spans="1:5" ht="18.75" customHeight="1" x14ac:dyDescent="0.2">
      <c r="A3" s="4"/>
      <c r="B3" s="5" t="s">
        <v>342</v>
      </c>
      <c r="C3" s="6"/>
      <c r="D3" s="5" t="s">
        <v>104</v>
      </c>
      <c r="E3" s="107"/>
    </row>
    <row r="4" spans="1:5" ht="18.75" customHeight="1" x14ac:dyDescent="0.2">
      <c r="A4" s="9"/>
      <c r="B4" s="10" t="s">
        <v>115</v>
      </c>
      <c r="C4" s="11" t="s">
        <v>411</v>
      </c>
      <c r="D4" s="12" t="s">
        <v>343</v>
      </c>
      <c r="E4" s="5"/>
    </row>
    <row r="5" spans="1:5" ht="23.25" customHeight="1" x14ac:dyDescent="0.2">
      <c r="A5" s="13"/>
      <c r="B5" s="14"/>
      <c r="C5" s="15"/>
      <c r="D5" s="16" t="s">
        <v>300</v>
      </c>
      <c r="E5" s="17" t="s">
        <v>301</v>
      </c>
    </row>
    <row r="6" spans="1:5" ht="15.75" customHeight="1" x14ac:dyDescent="0.2">
      <c r="A6" s="25" t="s">
        <v>121</v>
      </c>
      <c r="B6" s="26">
        <v>4347054.0604900001</v>
      </c>
      <c r="C6" s="26">
        <v>133.09560973149487</v>
      </c>
      <c r="D6" s="108">
        <v>100</v>
      </c>
      <c r="E6" s="108">
        <v>100</v>
      </c>
    </row>
    <row r="7" spans="1:5" ht="15.75" customHeight="1" x14ac:dyDescent="0.2">
      <c r="A7" s="109" t="s">
        <v>120</v>
      </c>
      <c r="B7" s="110"/>
      <c r="C7" s="26"/>
      <c r="D7" s="110"/>
      <c r="E7" s="110"/>
    </row>
    <row r="8" spans="1:5" x14ac:dyDescent="0.2">
      <c r="A8" s="111" t="s">
        <v>106</v>
      </c>
      <c r="B8" s="28">
        <v>294924.39127999998</v>
      </c>
      <c r="C8" s="28" t="s">
        <v>390</v>
      </c>
      <c r="D8" s="28">
        <f>IF(63445.50519="","-",63445.50519/3266113.78787*100)</f>
        <v>1.9425381144291383</v>
      </c>
      <c r="E8" s="28">
        <f>IF(294924.39128="","-",294924.39128/4347054.06049*100)</f>
        <v>6.7844656904670773</v>
      </c>
    </row>
    <row r="9" spans="1:5" x14ac:dyDescent="0.2">
      <c r="A9" s="111" t="s">
        <v>107</v>
      </c>
      <c r="B9" s="28">
        <v>212366.49466999999</v>
      </c>
      <c r="C9" s="28">
        <v>138.27177843457986</v>
      </c>
      <c r="D9" s="28">
        <f>IF(153586.29004="","-",153586.29004/3266113.78787*100)</f>
        <v>4.7024170012203239</v>
      </c>
      <c r="E9" s="28">
        <f>IF(212366.49467="","-",212366.49467/4347054.06049*100)</f>
        <v>4.8852968404552586</v>
      </c>
    </row>
    <row r="10" spans="1:5" x14ac:dyDescent="0.2">
      <c r="A10" s="111" t="s">
        <v>108</v>
      </c>
      <c r="B10" s="28">
        <v>3323217.77733</v>
      </c>
      <c r="C10" s="28">
        <v>117.4378173444051</v>
      </c>
      <c r="D10" s="28">
        <f>IF(2829768.00189="","-",2829768.00189/3266113.78787*100)</f>
        <v>86.640214814298815</v>
      </c>
      <c r="E10" s="28">
        <f>IF(3323217.77733="","-",3323217.77733/4347054.06049*100)</f>
        <v>76.447583376853771</v>
      </c>
    </row>
    <row r="11" spans="1:5" x14ac:dyDescent="0.2">
      <c r="A11" s="111" t="s">
        <v>109</v>
      </c>
      <c r="B11" s="28">
        <v>70402.977599999998</v>
      </c>
      <c r="C11" s="28">
        <v>89.485937959880388</v>
      </c>
      <c r="D11" s="28">
        <f>IF(78674.90603="","-",78674.90603/3266113.78787*100)</f>
        <v>2.4088231806923028</v>
      </c>
      <c r="E11" s="28">
        <f>IF(70402.9776="","-",70402.9776/4347054.06049*100)</f>
        <v>1.6195560630332757</v>
      </c>
    </row>
    <row r="12" spans="1:5" x14ac:dyDescent="0.2">
      <c r="A12" s="111" t="s">
        <v>110</v>
      </c>
      <c r="B12" s="28">
        <v>5042.9783100000004</v>
      </c>
      <c r="C12" s="28">
        <v>81.575478835521437</v>
      </c>
      <c r="D12" s="28">
        <f>IF(6181.97819="","-",6181.97819/3266113.78787*100)</f>
        <v>0.18927626505112011</v>
      </c>
      <c r="E12" s="28">
        <f>IF(5042.97831="","-",5042.97831/4347054.06049*100)</f>
        <v>0.11600910041205137</v>
      </c>
    </row>
    <row r="13" spans="1:5" x14ac:dyDescent="0.2">
      <c r="A13" s="111" t="s">
        <v>111</v>
      </c>
      <c r="B13" s="28">
        <v>419135.38967</v>
      </c>
      <c r="C13" s="28" t="s">
        <v>391</v>
      </c>
      <c r="D13" s="28">
        <f>IF(115910.21358="","-",115910.21358/3266113.78787*100)</f>
        <v>3.5488724860253869</v>
      </c>
      <c r="E13" s="28">
        <f>IF(419135.38967="","-",419135.38967/4347054.06049*100)</f>
        <v>9.6418260237314612</v>
      </c>
    </row>
    <row r="14" spans="1:5" x14ac:dyDescent="0.2">
      <c r="A14" s="111" t="s">
        <v>112</v>
      </c>
      <c r="B14" s="28">
        <v>21964.051630000002</v>
      </c>
      <c r="C14" s="28">
        <v>118.4244266099568</v>
      </c>
      <c r="D14" s="28">
        <f>IF(18546.89295="","-",18546.89295/3266113.78787*100)</f>
        <v>0.56785813828290954</v>
      </c>
      <c r="E14" s="28">
        <f>IF(21964.05163="","-",21964.05163/4347054.06049*100)</f>
        <v>0.50526290504710714</v>
      </c>
    </row>
    <row r="15" spans="1:5" x14ac:dyDescent="0.2">
      <c r="A15" s="112" t="s">
        <v>197</v>
      </c>
      <c r="B15" s="113">
        <v>1997430.13203</v>
      </c>
      <c r="C15" s="26">
        <v>128.99901876196947</v>
      </c>
      <c r="D15" s="26">
        <f>IF(1548407.22914="","-",1548407.22914/3266113.78787*100)</f>
        <v>47.408245079844427</v>
      </c>
      <c r="E15" s="26">
        <f>IF(1997430.13203="","-",1997430.13203/4347054.06049*100)</f>
        <v>45.949052030074121</v>
      </c>
    </row>
    <row r="16" spans="1:5" x14ac:dyDescent="0.2">
      <c r="A16" s="109" t="s">
        <v>120</v>
      </c>
      <c r="B16" s="114"/>
      <c r="C16" s="26"/>
      <c r="D16" s="114"/>
      <c r="E16" s="114"/>
    </row>
    <row r="17" spans="1:6" x14ac:dyDescent="0.2">
      <c r="A17" s="111" t="s">
        <v>106</v>
      </c>
      <c r="B17" s="28">
        <v>91211.581340000004</v>
      </c>
      <c r="C17" s="28" t="s">
        <v>373</v>
      </c>
      <c r="D17" s="28">
        <f>IF(24028.61989="","-",24028.61989/3266113.78787*100)</f>
        <v>0.7356945119070788</v>
      </c>
      <c r="E17" s="28">
        <f>IF(91211.58134="","-",91211.58134/4347054.06049*100)</f>
        <v>2.0982389469000213</v>
      </c>
    </row>
    <row r="18" spans="1:6" x14ac:dyDescent="0.2">
      <c r="A18" s="111" t="s">
        <v>107</v>
      </c>
      <c r="B18" s="28">
        <v>99656.833079999997</v>
      </c>
      <c r="C18" s="28" t="s">
        <v>195</v>
      </c>
      <c r="D18" s="28">
        <f>IF(53892.72376="","-",53892.72376/3266113.78787*100)</f>
        <v>1.6500565277349448</v>
      </c>
      <c r="E18" s="28">
        <f>IF(99656.83308="","-",99656.83308/4347054.06049*100)</f>
        <v>2.2925142336225437</v>
      </c>
    </row>
    <row r="19" spans="1:6" x14ac:dyDescent="0.2">
      <c r="A19" s="111" t="s">
        <v>108</v>
      </c>
      <c r="B19" s="28">
        <v>1766558.3190299999</v>
      </c>
      <c r="C19" s="28">
        <v>123.00154173506776</v>
      </c>
      <c r="D19" s="28">
        <f>IF(1436208.27358="","-",1436208.27358/3266113.78787*100)</f>
        <v>43.973001764786183</v>
      </c>
      <c r="E19" s="28">
        <f>IF(1766558.31903="","-",1766558.31903/4347054.06049*100)</f>
        <v>40.638057278516413</v>
      </c>
    </row>
    <row r="20" spans="1:6" x14ac:dyDescent="0.2">
      <c r="A20" s="111" t="s">
        <v>109</v>
      </c>
      <c r="B20" s="28">
        <v>16810.415710000001</v>
      </c>
      <c r="C20" s="28">
        <v>100.94183021824121</v>
      </c>
      <c r="D20" s="28">
        <f>IF(16653.56738="","-",16653.56738/3266113.78787*100)</f>
        <v>0.50988938113085902</v>
      </c>
      <c r="E20" s="28">
        <f>IF(16810.41571="","-",16810.41571/4347054.06049*100)</f>
        <v>0.3867082275969011</v>
      </c>
    </row>
    <row r="21" spans="1:6" x14ac:dyDescent="0.2">
      <c r="A21" s="111" t="s">
        <v>110</v>
      </c>
      <c r="B21" s="28">
        <v>3421.17263</v>
      </c>
      <c r="C21" s="28">
        <v>120.60551142054881</v>
      </c>
      <c r="D21" s="28">
        <f>IF(2836.66359="","-",2836.66359/3266113.78787*100)</f>
        <v>8.6851339978878492E-2</v>
      </c>
      <c r="E21" s="28">
        <f>IF(3421.17263="","-",3421.17263/4347054.06049*100)</f>
        <v>7.8700945108889794E-2</v>
      </c>
    </row>
    <row r="22" spans="1:6" x14ac:dyDescent="0.2">
      <c r="A22" s="111" t="s">
        <v>112</v>
      </c>
      <c r="B22" s="28">
        <v>19771.810239999999</v>
      </c>
      <c r="C22" s="28">
        <v>133.70731653038757</v>
      </c>
      <c r="D22" s="28">
        <f>IF(14787.38094="","-",14787.38094/3266113.78787*100)</f>
        <v>0.45275155430648995</v>
      </c>
      <c r="E22" s="28">
        <f>IF(19771.81024="","-",19771.81024/4347054.06049*100)</f>
        <v>0.45483239832934858</v>
      </c>
      <c r="F22" s="115"/>
    </row>
    <row r="23" spans="1:6" x14ac:dyDescent="0.2">
      <c r="A23" s="112" t="s">
        <v>198</v>
      </c>
      <c r="B23" s="113">
        <v>1151297.96829</v>
      </c>
      <c r="C23" s="56">
        <v>155.032655253576</v>
      </c>
      <c r="D23" s="26">
        <f>IF(742616.42904="","-",742616.42904/3266113.78787*100)</f>
        <v>22.737004197404222</v>
      </c>
      <c r="E23" s="26">
        <f>IF(1151297.96829="","-",1151297.96829/4347054.06049*100)</f>
        <v>26.484556029658062</v>
      </c>
      <c r="F23" s="115"/>
    </row>
    <row r="24" spans="1:6" x14ac:dyDescent="0.2">
      <c r="A24" s="111" t="s">
        <v>120</v>
      </c>
      <c r="B24" s="114"/>
      <c r="C24" s="114"/>
      <c r="D24" s="114"/>
      <c r="E24" s="114"/>
      <c r="F24" s="37"/>
    </row>
    <row r="25" spans="1:6" x14ac:dyDescent="0.2">
      <c r="A25" s="111" t="s">
        <v>106</v>
      </c>
      <c r="B25" s="28">
        <v>85311.203339999993</v>
      </c>
      <c r="C25" s="114" t="s">
        <v>329</v>
      </c>
      <c r="D25" s="28">
        <f>IF(27205.91675="","-",27205.91675/3266113.78787*100)</f>
        <v>0.83297516611453915</v>
      </c>
      <c r="E25" s="28">
        <f>IF(85311.20334="","-",85311.20334/4347054.06049*100)</f>
        <v>1.9625061513585988</v>
      </c>
      <c r="F25" s="37"/>
    </row>
    <row r="26" spans="1:6" x14ac:dyDescent="0.2">
      <c r="A26" s="111" t="s">
        <v>107</v>
      </c>
      <c r="B26" s="28">
        <v>111821.79154000001</v>
      </c>
      <c r="C26" s="114">
        <v>112.16550446789775</v>
      </c>
      <c r="D26" s="28">
        <f>IF(99693.56628="","-",99693.56628/3266113.78787*100)</f>
        <v>3.0523604734853795</v>
      </c>
      <c r="E26" s="28">
        <f>IF(111821.79154="","-",111821.79154/4347054.06049*100)</f>
        <v>2.5723579689596829</v>
      </c>
      <c r="F26" s="37"/>
    </row>
    <row r="27" spans="1:6" x14ac:dyDescent="0.2">
      <c r="A27" s="111" t="s">
        <v>108</v>
      </c>
      <c r="B27" s="28">
        <v>527556.81056000001</v>
      </c>
      <c r="C27" s="114">
        <v>108.80339440211399</v>
      </c>
      <c r="D27" s="28">
        <f>IF(484871.64712="","-",484871.64712/3266113.78787*100)</f>
        <v>14.845522189727797</v>
      </c>
      <c r="E27" s="28">
        <f>IF(527556.81056="","-",527556.81056/4347054.06049*100)</f>
        <v>12.135961578093045</v>
      </c>
      <c r="F27" s="37"/>
    </row>
    <row r="28" spans="1:6" x14ac:dyDescent="0.2">
      <c r="A28" s="111" t="s">
        <v>109</v>
      </c>
      <c r="B28" s="28">
        <v>7001.66662</v>
      </c>
      <c r="C28" s="114">
        <v>51.395960832249102</v>
      </c>
      <c r="D28" s="28">
        <f>IF(13622.99003="","-",13622.99003/3266113.78787*100)</f>
        <v>0.41710090078901535</v>
      </c>
      <c r="E28" s="28">
        <f>IF(7001.66662="","-",7001.66662/4347054.06049*100)</f>
        <v>0.16106693228495925</v>
      </c>
      <c r="F28" s="37"/>
    </row>
    <row r="29" spans="1:6" x14ac:dyDescent="0.2">
      <c r="A29" s="111" t="s">
        <v>110</v>
      </c>
      <c r="B29" s="28">
        <v>36.235520000000001</v>
      </c>
      <c r="C29" s="114">
        <v>23.586681094682291</v>
      </c>
      <c r="D29" s="28">
        <f>IF(153.62704="","-",153.62704/3266113.78787*100)</f>
        <v>4.7036646601399659E-3</v>
      </c>
      <c r="E29" s="28">
        <f>IF(36.23552="","-",36.23552/4347054.06049*100)</f>
        <v>8.3356497287074291E-4</v>
      </c>
      <c r="F29" s="37"/>
    </row>
    <row r="30" spans="1:6" x14ac:dyDescent="0.2">
      <c r="A30" s="111" t="s">
        <v>111</v>
      </c>
      <c r="B30" s="28">
        <v>419135.38967</v>
      </c>
      <c r="C30" s="114" t="s">
        <v>391</v>
      </c>
      <c r="D30" s="28">
        <f>IF(115910.21358="","-",115910.21358/3266113.78787*100)</f>
        <v>3.5488724860253869</v>
      </c>
      <c r="E30" s="28">
        <f>IF(419135.38967="","-",419135.38967/4347054.06049*100)</f>
        <v>9.6418260237314612</v>
      </c>
    </row>
    <row r="31" spans="1:6" x14ac:dyDescent="0.2">
      <c r="A31" s="111" t="s">
        <v>112</v>
      </c>
      <c r="B31" s="28">
        <v>434.87103999999999</v>
      </c>
      <c r="C31" s="116">
        <v>37.538451636792388</v>
      </c>
      <c r="D31" s="28">
        <f>IF(1158.46824="","-",1158.46824/3266113.78787*100)</f>
        <v>3.5469316601963716E-2</v>
      </c>
      <c r="E31" s="28">
        <f>IF(434.87104="","-",434.87104/4347054.06049*100)</f>
        <v>1.0003810257445506E-2</v>
      </c>
    </row>
    <row r="32" spans="1:6" x14ac:dyDescent="0.2">
      <c r="A32" s="112" t="s">
        <v>199</v>
      </c>
      <c r="B32" s="113">
        <v>1198325.9601700001</v>
      </c>
      <c r="C32" s="26">
        <v>122.89386628813186</v>
      </c>
      <c r="D32" s="26">
        <f>IF(975090.12969="","-",975090.12969/3266113.78787*100)</f>
        <v>29.854750722751337</v>
      </c>
      <c r="E32" s="26">
        <f>IF(1198325.96017="","-",1198325.96017/4347054.06049*100)</f>
        <v>27.566391940267813</v>
      </c>
    </row>
    <row r="33" spans="1:5" x14ac:dyDescent="0.2">
      <c r="A33" s="111" t="s">
        <v>120</v>
      </c>
      <c r="B33" s="114"/>
      <c r="C33" s="26"/>
      <c r="D33" s="114"/>
      <c r="E33" s="114"/>
    </row>
    <row r="34" spans="1:5" x14ac:dyDescent="0.2">
      <c r="A34" s="111" t="s">
        <v>106</v>
      </c>
      <c r="B34" s="28">
        <v>118401.6066</v>
      </c>
      <c r="C34" s="28" t="s">
        <v>392</v>
      </c>
      <c r="D34" s="28">
        <f>IF(12210.96855="","-",12210.96855/3266113.78787*100)</f>
        <v>0.37386843640752015</v>
      </c>
      <c r="E34" s="28">
        <f>IF(118401.6066="","-",118401.6066/4347054.06049*100)</f>
        <v>2.7237205922084571</v>
      </c>
    </row>
    <row r="35" spans="1:5" x14ac:dyDescent="0.2">
      <c r="A35" s="111" t="s">
        <v>107</v>
      </c>
      <c r="B35" s="28">
        <v>887.87004999999999</v>
      </c>
      <c r="C35" s="28" t="s">
        <v>280</v>
      </c>
      <c r="D35" s="114" t="s">
        <v>280</v>
      </c>
      <c r="E35" s="28">
        <f>IF(887.87005="","-",887.87005/4347054.06049*100)</f>
        <v>2.0424637873031632E-2</v>
      </c>
    </row>
    <row r="36" spans="1:5" x14ac:dyDescent="0.2">
      <c r="A36" s="111" t="s">
        <v>108</v>
      </c>
      <c r="B36" s="28">
        <v>1029102.64774</v>
      </c>
      <c r="C36" s="28">
        <v>113.25147419038527</v>
      </c>
      <c r="D36" s="28">
        <f>IF(908688.08119="","-",908688.08119/3266113.78787*100)</f>
        <v>27.821690859784837</v>
      </c>
      <c r="E36" s="28">
        <f>IF(1029102.64774="","-",1029102.64774/4347054.06049*100)</f>
        <v>23.673564520244305</v>
      </c>
    </row>
    <row r="37" spans="1:5" x14ac:dyDescent="0.2">
      <c r="A37" s="111" t="s">
        <v>109</v>
      </c>
      <c r="B37" s="28">
        <v>46590.895270000001</v>
      </c>
      <c r="C37" s="28">
        <v>96.265464831886661</v>
      </c>
      <c r="D37" s="28">
        <f>IF(48398.34862="","-",48398.34862/3266113.78787*100)</f>
        <v>1.4818328987724287</v>
      </c>
      <c r="E37" s="28">
        <f>IF(46590.89527="","-",46590.89527/4347054.06049*100)</f>
        <v>1.0717809031514154</v>
      </c>
    </row>
    <row r="38" spans="1:5" x14ac:dyDescent="0.2">
      <c r="A38" s="111" t="s">
        <v>110</v>
      </c>
      <c r="B38" s="28">
        <v>1585.57016</v>
      </c>
      <c r="C38" s="28">
        <v>49.678113229855121</v>
      </c>
      <c r="D38" s="28">
        <f>IF(3191.68756="","-",3191.68756/3266113.78787*100)</f>
        <v>9.7721260412101635E-2</v>
      </c>
      <c r="E38" s="28">
        <f>IF(1585.57016="","-",1585.57016/4347054.06049*100)</f>
        <v>3.6474590330290817E-2</v>
      </c>
    </row>
    <row r="39" spans="1:5" x14ac:dyDescent="0.2">
      <c r="A39" s="117" t="s">
        <v>112</v>
      </c>
      <c r="B39" s="40">
        <v>1757.3703499999999</v>
      </c>
      <c r="C39" s="40">
        <v>67.56404372233996</v>
      </c>
      <c r="D39" s="40">
        <f>IF(2601.04377="","-",2601.04377/3266113.78787*100)</f>
        <v>7.9637267374455867E-2</v>
      </c>
      <c r="E39" s="40">
        <f>IF(1757.37035="","-",1757.37035/4347054.06049*100)</f>
        <v>4.0426696460312925E-2</v>
      </c>
    </row>
    <row r="40" spans="1:5" x14ac:dyDescent="0.2">
      <c r="A40" s="118" t="s">
        <v>19</v>
      </c>
    </row>
    <row r="41" spans="1:5" x14ac:dyDescent="0.2">
      <c r="B41" s="18"/>
      <c r="C41" s="18"/>
      <c r="D41" s="18"/>
      <c r="E41" s="18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3"/>
  <sheetViews>
    <sheetView zoomScaleNormal="100" workbookViewId="0">
      <selection sqref="A1:H1"/>
    </sheetView>
  </sheetViews>
  <sheetFormatPr defaultRowHeight="12" x14ac:dyDescent="0.2"/>
  <cols>
    <col min="1" max="1" width="4.875" style="3" customWidth="1"/>
    <col min="2" max="2" width="26.125" style="3" customWidth="1"/>
    <col min="3" max="3" width="12" style="3" customWidth="1"/>
    <col min="4" max="4" width="10.75" style="3" customWidth="1"/>
    <col min="5" max="6" width="7.875" style="3" customWidth="1"/>
    <col min="7" max="7" width="8.75" style="3" customWidth="1"/>
    <col min="8" max="8" width="8.375" style="3" customWidth="1"/>
    <col min="9" max="9" width="9" style="3"/>
    <col min="10" max="10" width="9.125" style="3" customWidth="1"/>
    <col min="11" max="16384" width="9" style="3"/>
  </cols>
  <sheetData>
    <row r="1" spans="1:11" x14ac:dyDescent="0.2">
      <c r="B1" s="44" t="s">
        <v>418</v>
      </c>
      <c r="C1" s="44"/>
      <c r="D1" s="44"/>
      <c r="E1" s="44"/>
      <c r="F1" s="44"/>
      <c r="G1" s="44"/>
      <c r="H1" s="44"/>
    </row>
    <row r="2" spans="1:11" x14ac:dyDescent="0.2">
      <c r="B2" s="44" t="s">
        <v>278</v>
      </c>
      <c r="C2" s="44"/>
      <c r="D2" s="44"/>
      <c r="E2" s="44"/>
      <c r="F2" s="44"/>
      <c r="G2" s="44"/>
      <c r="H2" s="44"/>
    </row>
    <row r="3" spans="1:11" x14ac:dyDescent="0.2">
      <c r="B3" s="99"/>
    </row>
    <row r="4" spans="1:11" ht="57" customHeight="1" x14ac:dyDescent="0.2">
      <c r="A4" s="81" t="s">
        <v>204</v>
      </c>
      <c r="B4" s="82"/>
      <c r="C4" s="83" t="s">
        <v>342</v>
      </c>
      <c r="D4" s="48"/>
      <c r="E4" s="83" t="s">
        <v>0</v>
      </c>
      <c r="F4" s="48"/>
      <c r="G4" s="49" t="s">
        <v>102</v>
      </c>
      <c r="H4" s="84"/>
    </row>
    <row r="5" spans="1:11" ht="19.5" customHeight="1" x14ac:dyDescent="0.2">
      <c r="A5" s="85"/>
      <c r="B5" s="86"/>
      <c r="C5" s="87" t="s">
        <v>105</v>
      </c>
      <c r="D5" s="46" t="s">
        <v>411</v>
      </c>
      <c r="E5" s="88" t="s">
        <v>343</v>
      </c>
      <c r="F5" s="88"/>
      <c r="G5" s="88" t="s">
        <v>417</v>
      </c>
      <c r="H5" s="83"/>
    </row>
    <row r="6" spans="1:11" ht="33" customHeight="1" x14ac:dyDescent="0.2">
      <c r="A6" s="89"/>
      <c r="B6" s="90"/>
      <c r="C6" s="91"/>
      <c r="D6" s="50"/>
      <c r="E6" s="92" t="s">
        <v>300</v>
      </c>
      <c r="F6" s="92" t="s">
        <v>301</v>
      </c>
      <c r="G6" s="92" t="s">
        <v>300</v>
      </c>
      <c r="H6" s="52" t="s">
        <v>301</v>
      </c>
      <c r="I6" s="18"/>
    </row>
    <row r="7" spans="1:11" ht="16.5" customHeight="1" x14ac:dyDescent="0.2">
      <c r="A7" s="93"/>
      <c r="B7" s="55" t="s">
        <v>96</v>
      </c>
      <c r="C7" s="94">
        <f>IF(2290386.35979="","-",2290386.35979)</f>
        <v>2290386.3597900001</v>
      </c>
      <c r="D7" s="21" t="s">
        <v>99</v>
      </c>
      <c r="E7" s="21">
        <v>100</v>
      </c>
      <c r="F7" s="21">
        <v>100</v>
      </c>
      <c r="G7" s="21">
        <f>IF(1170176.53664="","-",(1331502.34087-1170176.53664)/1170176.53664*100)</f>
        <v>13.786450093523889</v>
      </c>
      <c r="H7" s="21">
        <f>IF(1331502.34087="","-",(2290386.35979-1331502.34087)/1331502.34087*100)</f>
        <v>72.015195879675886</v>
      </c>
    </row>
    <row r="8" spans="1:11" x14ac:dyDescent="0.2">
      <c r="A8" s="62" t="s">
        <v>205</v>
      </c>
      <c r="B8" s="63" t="s">
        <v>173</v>
      </c>
      <c r="C8" s="20">
        <f>IF(593347.145="","-",593347.145)</f>
        <v>593347.14500000002</v>
      </c>
      <c r="D8" s="26" t="s">
        <v>354</v>
      </c>
      <c r="E8" s="26">
        <f>IF(230216.46371="","-",230216.46371/1331502.34087*100)</f>
        <v>17.289978143003278</v>
      </c>
      <c r="F8" s="26">
        <f>IF(593347.145="","-",593347.145/2290386.35979*100)</f>
        <v>25.905984921007065</v>
      </c>
      <c r="G8" s="26">
        <f>IF(1170176.53664="","-",(230216.46371-320293.73029)/1170176.53664*100)</f>
        <v>-7.6977501906374197</v>
      </c>
      <c r="H8" s="26">
        <f>IF(1331502.34087="","-",(593347.145-230216.46371)/1331502.34087*100)</f>
        <v>27.272252563426321</v>
      </c>
    </row>
    <row r="9" spans="1:11" ht="13.5" customHeight="1" x14ac:dyDescent="0.2">
      <c r="A9" s="66" t="s">
        <v>206</v>
      </c>
      <c r="B9" s="67" t="s">
        <v>21</v>
      </c>
      <c r="C9" s="32">
        <f>IF(4044.16056="","-",4044.16056)</f>
        <v>4044.1605599999998</v>
      </c>
      <c r="D9" s="28">
        <f>IF(OR(6365.76454="",4044.16056=""),"-",4044.16056/6365.76454*100)</f>
        <v>63.529848372305644</v>
      </c>
      <c r="E9" s="28">
        <f>IF(6365.76454="","-",6365.76454/1331502.34087*100)</f>
        <v>0.47808887334292083</v>
      </c>
      <c r="F9" s="28">
        <f>IF(4044.16056="","-",4044.16056/2290386.35979*100)</f>
        <v>0.17657110743406623</v>
      </c>
      <c r="G9" s="28">
        <f>IF(OR(1170176.53664="",6470.53658="",6365.76454=""),"-",(6365.76454-6470.53658)/1170176.53664*100)</f>
        <v>-8.9535242520618515E-3</v>
      </c>
      <c r="H9" s="28">
        <f>IF(OR(1331502.34087="",4044.16056="",6365.76454=""),"-",(4044.16056-6365.76454)/1331502.34087*100)</f>
        <v>-0.17435973702329885</v>
      </c>
      <c r="I9" s="62"/>
      <c r="J9" s="63"/>
      <c r="K9" s="100"/>
    </row>
    <row r="10" spans="1:11" x14ac:dyDescent="0.2">
      <c r="A10" s="66" t="s">
        <v>207</v>
      </c>
      <c r="B10" s="67" t="s">
        <v>174</v>
      </c>
      <c r="C10" s="32">
        <f>IF(1746.1356="","-",1746.1356)</f>
        <v>1746.1356000000001</v>
      </c>
      <c r="D10" s="28">
        <f>IF(OR(3154.66134="",1746.1356=""),"-",1746.1356/3154.66134*100)</f>
        <v>55.350968354657049</v>
      </c>
      <c r="E10" s="28">
        <f>IF(3154.66134="","-",3154.66134/1331502.34087*100)</f>
        <v>0.23692495635709909</v>
      </c>
      <c r="F10" s="28">
        <f>IF(1746.1356="","-",1746.1356/2290386.35979*100)</f>
        <v>7.6237600374117614E-2</v>
      </c>
      <c r="G10" s="28">
        <f>IF(OR(1170176.53664="",1710.73998="",3154.66134=""),"-",(3154.66134-1710.73998)/1170176.53664*100)</f>
        <v>0.12339346370300847</v>
      </c>
      <c r="H10" s="28">
        <f>IF(OR(1331502.34087="",1746.1356="",3154.66134=""),"-",(1746.1356-3154.66134)/1331502.34087*100)</f>
        <v>-0.10578469873959616</v>
      </c>
      <c r="I10" s="66"/>
      <c r="J10" s="67"/>
      <c r="K10" s="101"/>
    </row>
    <row r="11" spans="1:11" s="31" customFormat="1" x14ac:dyDescent="0.2">
      <c r="A11" s="66" t="s">
        <v>208</v>
      </c>
      <c r="B11" s="67" t="s">
        <v>175</v>
      </c>
      <c r="C11" s="32">
        <f>IF(7466.81014="","-",7466.81014)</f>
        <v>7466.8101399999996</v>
      </c>
      <c r="D11" s="28">
        <f>IF(OR(5053.0017="",7466.81014=""),"-",7466.81014/5053.0017*100)</f>
        <v>147.76979275506676</v>
      </c>
      <c r="E11" s="28">
        <f>IF(5053.0017="","-",5053.0017/1331502.34087*100)</f>
        <v>0.37949626860576019</v>
      </c>
      <c r="F11" s="28">
        <f>IF(7466.81014="","-",7466.81014/2290386.35979*100)</f>
        <v>0.32600657561917251</v>
      </c>
      <c r="G11" s="28">
        <f>IF(OR(1170176.53664="",4791.53354="",5053.0017=""),"-",(5053.0017-4791.53354)/1170176.53664*100)</f>
        <v>2.2344334535263292E-2</v>
      </c>
      <c r="H11" s="28">
        <f>IF(OR(1331502.34087="",7466.81014="",5053.0017=""),"-",(7466.81014-5053.0017)/1331502.34087*100)</f>
        <v>0.18128458102618308</v>
      </c>
      <c r="I11" s="66"/>
      <c r="J11" s="67"/>
      <c r="K11" s="101"/>
    </row>
    <row r="12" spans="1:11" s="31" customFormat="1" x14ac:dyDescent="0.2">
      <c r="A12" s="66" t="s">
        <v>209</v>
      </c>
      <c r="B12" s="67" t="s">
        <v>176</v>
      </c>
      <c r="C12" s="32">
        <f>IF(55.88052="","-",55.88052)</f>
        <v>55.880519999999997</v>
      </c>
      <c r="D12" s="28">
        <f>IF(OR(39.49188="",55.88052=""),"-",55.88052/39.49188*100)</f>
        <v>141.49875873217482</v>
      </c>
      <c r="E12" s="28">
        <f>IF(39.49188="","-",39.49188/1331502.34087*100)</f>
        <v>2.9659639932886725E-3</v>
      </c>
      <c r="F12" s="28">
        <f>IF(55.88052="","-",55.88052/2290386.35979*100)</f>
        <v>2.4397857488604475E-3</v>
      </c>
      <c r="G12" s="28">
        <f>IF(OR(1170176.53664="",2.95359="",39.49188=""),"-",(39.49188-2.95359)/1170176.53664*100)</f>
        <v>3.1224596337330987E-3</v>
      </c>
      <c r="H12" s="28">
        <f>IF(OR(1331502.34087="",55.88052="",39.49188=""),"-",(55.88052-39.49188)/1331502.34087*100)</f>
        <v>1.2308382416580433E-3</v>
      </c>
      <c r="I12" s="66"/>
      <c r="J12" s="67"/>
      <c r="K12" s="101"/>
    </row>
    <row r="13" spans="1:11" s="31" customFormat="1" ht="15.75" customHeight="1" x14ac:dyDescent="0.2">
      <c r="A13" s="66" t="s">
        <v>210</v>
      </c>
      <c r="B13" s="67" t="s">
        <v>177</v>
      </c>
      <c r="C13" s="32">
        <f>IF(333945.62029="","-",333945.62029)</f>
        <v>333945.62028999999</v>
      </c>
      <c r="D13" s="28" t="s">
        <v>393</v>
      </c>
      <c r="E13" s="28">
        <f>IF(59017.47661="","-",59017.47661/1331502.34087*100)</f>
        <v>4.4323975105772728</v>
      </c>
      <c r="F13" s="28">
        <f>IF(333945.62029="","-",333945.62029/2290386.35979*100)</f>
        <v>14.58031824467461</v>
      </c>
      <c r="G13" s="28">
        <f>IF(OR(1170176.53664="",112313.58089="",59017.47661=""),"-",(59017.47661-112313.58089)/1170176.53664*100)</f>
        <v>-4.5545353723321425</v>
      </c>
      <c r="H13" s="28">
        <f>IF(OR(1331502.34087="",333945.62029="",59017.47661=""),"-",(333945.62029-59017.47661)/1331502.34087*100)</f>
        <v>20.647965477879872</v>
      </c>
      <c r="I13" s="66"/>
      <c r="J13" s="67"/>
      <c r="K13" s="101"/>
    </row>
    <row r="14" spans="1:11" s="31" customFormat="1" ht="15.75" customHeight="1" x14ac:dyDescent="0.2">
      <c r="A14" s="66" t="s">
        <v>211</v>
      </c>
      <c r="B14" s="67" t="s">
        <v>178</v>
      </c>
      <c r="C14" s="32">
        <f>IF(189496.8692="","-",189496.8692)</f>
        <v>189496.86919999999</v>
      </c>
      <c r="D14" s="28">
        <f>IF(OR(133151.71362="",189496.8692=""),"-",189496.8692/133151.71362*100)</f>
        <v>142.31650802542634</v>
      </c>
      <c r="E14" s="28">
        <f>IF(133151.71362="","-",133151.71362/1331502.34087*100)</f>
        <v>10.00011111756657</v>
      </c>
      <c r="F14" s="28">
        <f>IF(189496.8692="","-",189496.8692/2290386.35979*100)</f>
        <v>8.2735765688621417</v>
      </c>
      <c r="G14" s="28">
        <f>IF(OR(1170176.53664="",163051.64882="",133151.71362=""),"-",(133151.71362-163051.64882)/1170176.53664*100)</f>
        <v>-2.555164478502836</v>
      </c>
      <c r="H14" s="28">
        <f>IF(OR(1331502.34087="",189496.8692="",133151.71362=""),"-",(189496.8692-133151.71362)/1331502.34087*100)</f>
        <v>4.2316978236166092</v>
      </c>
      <c r="I14" s="66"/>
      <c r="J14" s="67"/>
      <c r="K14" s="101"/>
    </row>
    <row r="15" spans="1:11" s="31" customFormat="1" ht="24" x14ac:dyDescent="0.2">
      <c r="A15" s="66" t="s">
        <v>212</v>
      </c>
      <c r="B15" s="67" t="s">
        <v>136</v>
      </c>
      <c r="C15" s="32">
        <f>IF(13294.74107="","-",13294.74107)</f>
        <v>13294.74107</v>
      </c>
      <c r="D15" s="28" t="s">
        <v>91</v>
      </c>
      <c r="E15" s="28">
        <f>IF(6230.59411="","-",6230.59411/1331502.34087*100)</f>
        <v>0.46793715029663013</v>
      </c>
      <c r="F15" s="28">
        <f>IF(13294.74107="","-",13294.74107/2290386.35979*100)</f>
        <v>0.58045844593743401</v>
      </c>
      <c r="G15" s="28">
        <f>IF(OR(1170176.53664="",10417.87479="",6230.59411=""),"-",(6230.59411-10417.87479)/1170176.53664*100)</f>
        <v>-0.35783324557362917</v>
      </c>
      <c r="H15" s="28">
        <f>IF(OR(1331502.34087="",13294.74107="",6230.59411=""),"-",(13294.74107-6230.59411)/1331502.34087*100)</f>
        <v>0.53053958248276945</v>
      </c>
      <c r="I15" s="66"/>
      <c r="J15" s="67"/>
      <c r="K15" s="101"/>
    </row>
    <row r="16" spans="1:11" s="31" customFormat="1" ht="24" x14ac:dyDescent="0.2">
      <c r="A16" s="66" t="s">
        <v>213</v>
      </c>
      <c r="B16" s="67" t="s">
        <v>179</v>
      </c>
      <c r="C16" s="32">
        <f>IF(5634.1775="","-",5634.1775)</f>
        <v>5634.1774999999998</v>
      </c>
      <c r="D16" s="28">
        <f>IF(OR(4760.7679="",5634.1775=""),"-",5634.1775/4760.7679*100)</f>
        <v>118.34598153797835</v>
      </c>
      <c r="E16" s="28">
        <f>IF(4760.7679="","-",4760.7679/1331502.34087*100)</f>
        <v>0.35754859408578488</v>
      </c>
      <c r="F16" s="28">
        <f>IF(5634.1775="","-",5634.1775/2290386.35979*100)</f>
        <v>0.24599244908691228</v>
      </c>
      <c r="G16" s="28">
        <f>IF(OR(1170176.53664="",3711.66399="",4760.7679=""),"-",(4760.7679-3711.66399)/1170176.53664*100)</f>
        <v>8.9653473399180991E-2</v>
      </c>
      <c r="H16" s="28">
        <f>IF(OR(1331502.34087="",5634.1775="",4760.7679=""),"-",(5634.1775-4760.7679)/1331502.34087*100)</f>
        <v>6.5595799060279264E-2</v>
      </c>
      <c r="I16" s="66"/>
      <c r="J16" s="67"/>
      <c r="K16" s="101"/>
    </row>
    <row r="17" spans="1:11" s="31" customFormat="1" ht="24" x14ac:dyDescent="0.2">
      <c r="A17" s="66" t="s">
        <v>214</v>
      </c>
      <c r="B17" s="67" t="s">
        <v>137</v>
      </c>
      <c r="C17" s="32">
        <f>IF(33937.44391="","-",33937.44391)</f>
        <v>33937.443910000002</v>
      </c>
      <c r="D17" s="28" t="s">
        <v>321</v>
      </c>
      <c r="E17" s="28">
        <f>IF(9994.09538="","-",9994.09538/1331502.34087*100)</f>
        <v>0.75058789408285131</v>
      </c>
      <c r="F17" s="28">
        <f>IF(33937.44391="","-",33937.44391/2290386.35979*100)</f>
        <v>1.4817344578104998</v>
      </c>
      <c r="G17" s="28">
        <f>IF(OR(1170176.53664="",16380.24956="",9994.09538=""),"-",(9994.09538-16380.24956)/1170176.53664*100)</f>
        <v>-0.54574279863250008</v>
      </c>
      <c r="H17" s="28">
        <f>IF(OR(1331502.34087="",33937.44391="",9994.09538=""),"-",(33937.44391-9994.09538)/1331502.34087*100)</f>
        <v>1.7982205359365333</v>
      </c>
      <c r="I17" s="66"/>
      <c r="J17" s="67"/>
      <c r="K17" s="101"/>
    </row>
    <row r="18" spans="1:11" s="31" customFormat="1" ht="24" x14ac:dyDescent="0.2">
      <c r="A18" s="66" t="s">
        <v>215</v>
      </c>
      <c r="B18" s="67" t="s">
        <v>180</v>
      </c>
      <c r="C18" s="32">
        <f>IF(3725.30621="","-",3725.30621)</f>
        <v>3725.3062100000002</v>
      </c>
      <c r="D18" s="28">
        <f>IF(OR(2448.89663="",3725.30621=""),"-",3725.30621/2448.89663*100)</f>
        <v>152.12182353323749</v>
      </c>
      <c r="E18" s="28">
        <f>IF(2448.89663="","-",2448.89663/1331502.34087*100)</f>
        <v>0.18391981409509936</v>
      </c>
      <c r="F18" s="28">
        <f>IF(3725.30621="","-",3725.30621/2290386.35979*100)</f>
        <v>0.16264968545924996</v>
      </c>
      <c r="G18" s="28">
        <f>IF(OR(1170176.53664="",1442.94855="",2448.89663=""),"-",(2448.89663-1442.94855)/1170176.53664*100)</f>
        <v>8.5965497384560524E-2</v>
      </c>
      <c r="H18" s="28">
        <f>IF(OR(1331502.34087="",3725.30621="",2448.89663=""),"-",(3725.30621-2448.89663)/1331502.34087*100)</f>
        <v>9.5862360945306146E-2</v>
      </c>
      <c r="I18" s="66"/>
      <c r="J18" s="67"/>
      <c r="K18" s="101"/>
    </row>
    <row r="19" spans="1:11" s="31" customFormat="1" x14ac:dyDescent="0.2">
      <c r="A19" s="62" t="s">
        <v>216</v>
      </c>
      <c r="B19" s="63" t="s">
        <v>181</v>
      </c>
      <c r="C19" s="20">
        <f>IF(77842.17166="","-",77842.17166)</f>
        <v>77842.171660000007</v>
      </c>
      <c r="D19" s="26">
        <f>IF(99957.3525="","-",77842.17166/99957.3525*100)</f>
        <v>77.875383564205563</v>
      </c>
      <c r="E19" s="26">
        <f>IF(99957.3525="","-",99957.3525/1331502.34087*100)</f>
        <v>7.5071105346077065</v>
      </c>
      <c r="F19" s="26">
        <f>IF(77842.17166="","-",77842.17166/2290386.35979*100)</f>
        <v>3.3986480633397225</v>
      </c>
      <c r="G19" s="26">
        <f>IF(1170176.53664="","-",(99957.3525-84345.58985)/1170176.53664*100)</f>
        <v>1.3341373853578542</v>
      </c>
      <c r="H19" s="26">
        <f>IF(1331502.34087="","-",(77842.17166-99957.3525)/1331502.34087*100)</f>
        <v>-1.660919411193073</v>
      </c>
      <c r="I19" s="66"/>
      <c r="J19" s="67"/>
      <c r="K19" s="101"/>
    </row>
    <row r="20" spans="1:11" s="31" customFormat="1" x14ac:dyDescent="0.2">
      <c r="A20" s="66" t="s">
        <v>217</v>
      </c>
      <c r="B20" s="67" t="s">
        <v>182</v>
      </c>
      <c r="C20" s="32">
        <f>IF(72791.31672="","-",72791.31672)</f>
        <v>72791.316720000003</v>
      </c>
      <c r="D20" s="28">
        <f>IF(OR(94193.99594="",72791.31672=""),"-",72791.31672/94193.99594*100)</f>
        <v>77.278085501720156</v>
      </c>
      <c r="E20" s="28">
        <f>IF(94193.99594="","-",94193.99594/1331502.34087*100)</f>
        <v>7.0742643890850321</v>
      </c>
      <c r="F20" s="28">
        <f>IF(72791.31672="","-",72791.31672/2290386.35979*100)</f>
        <v>3.1781239182141334</v>
      </c>
      <c r="G20" s="28">
        <f>IF(OR(1170176.53664="",79618.68933="",94193.99594=""),"-",(94193.99594-79618.68933)/1170176.53664*100)</f>
        <v>1.245564763403219</v>
      </c>
      <c r="H20" s="28">
        <f>IF(OR(1331502.34087="",72791.31672="",94193.99594=""),"-",(72791.31672-94193.99594)/1331502.34087*100)</f>
        <v>-1.6074083058701603</v>
      </c>
      <c r="I20" s="62"/>
      <c r="J20" s="63"/>
      <c r="K20" s="100"/>
    </row>
    <row r="21" spans="1:11" s="31" customFormat="1" x14ac:dyDescent="0.2">
      <c r="A21" s="66" t="s">
        <v>218</v>
      </c>
      <c r="B21" s="67" t="s">
        <v>183</v>
      </c>
      <c r="C21" s="32">
        <f>IF(5050.85494="","-",5050.85494)</f>
        <v>5050.8549400000002</v>
      </c>
      <c r="D21" s="28">
        <f>IF(OR(5763.35656="",5050.85494=""),"-",5050.85494/5763.35656*100)</f>
        <v>87.63738435089985</v>
      </c>
      <c r="E21" s="28">
        <f>IF(5763.35656="","-",5763.35656/1331502.34087*100)</f>
        <v>0.4328461455226762</v>
      </c>
      <c r="F21" s="28">
        <f>IF(5050.85494="","-",5050.85494/2290386.35979*100)</f>
        <v>0.22052414512558921</v>
      </c>
      <c r="G21" s="28">
        <f>IF(OR(1170176.53664="",4726.90052="",5763.35656=""),"-",(5763.35656-4726.90052)/1170176.53664*100)</f>
        <v>8.8572621954636013E-2</v>
      </c>
      <c r="H21" s="28">
        <f>IF(OR(1331502.34087="",5050.85494="",5763.35656=""),"-",(5050.85494-5763.35656)/1331502.34087*100)</f>
        <v>-5.3511105322913172E-2</v>
      </c>
      <c r="I21" s="66"/>
      <c r="J21" s="67"/>
      <c r="K21" s="101"/>
    </row>
    <row r="22" spans="1:11" s="31" customFormat="1" ht="24" x14ac:dyDescent="0.2">
      <c r="A22" s="62" t="s">
        <v>219</v>
      </c>
      <c r="B22" s="63" t="s">
        <v>22</v>
      </c>
      <c r="C22" s="20">
        <f>IF(309439.686="","-",309439.686)</f>
        <v>309439.68599999999</v>
      </c>
      <c r="D22" s="26" t="s">
        <v>281</v>
      </c>
      <c r="E22" s="26">
        <f>IF(128872.24087="","-",128872.24087/1331502.34087*100)</f>
        <v>9.6787092980846907</v>
      </c>
      <c r="F22" s="26">
        <f>IF(309439.686="","-",309439.686/2290386.35979*100)</f>
        <v>13.510370627092442</v>
      </c>
      <c r="G22" s="26">
        <f>IF(1170176.53664="","-",(128872.24087-102232.55742)/1170176.53664*100)</f>
        <v>2.2765525214248581</v>
      </c>
      <c r="H22" s="26">
        <f>IF(1331502.34087="","-",(309439.686-128872.24087)/1331502.34087*100)</f>
        <v>13.561181200178568</v>
      </c>
      <c r="I22" s="66"/>
      <c r="J22" s="67"/>
      <c r="K22" s="101"/>
    </row>
    <row r="23" spans="1:11" s="31" customFormat="1" ht="15" customHeight="1" x14ac:dyDescent="0.2">
      <c r="A23" s="66" t="s">
        <v>220</v>
      </c>
      <c r="B23" s="67" t="s">
        <v>190</v>
      </c>
      <c r="C23" s="32">
        <f>IF(790.0434="","-",790.0434)</f>
        <v>790.04340000000002</v>
      </c>
      <c r="D23" s="28">
        <f>IF(OR(655.62209="",790.0434=""),"-",790.0434/655.62209*100)</f>
        <v>120.50286469145664</v>
      </c>
      <c r="E23" s="28">
        <f>IF(655.62209="","-",655.62209/1331502.34087*100)</f>
        <v>4.9239274305114496E-2</v>
      </c>
      <c r="F23" s="28">
        <f>IF(790.0434="","-",790.0434/2290386.35979*100)</f>
        <v>3.4493892116631238E-2</v>
      </c>
      <c r="G23" s="28">
        <f>IF(OR(1170176.53664="",709.12761="",655.62209=""),"-",(655.62209-709.12761)/1170176.53664*100)</f>
        <v>-4.5724314515512114E-3</v>
      </c>
      <c r="H23" s="28">
        <f>IF(OR(1331502.34087="",790.0434="",655.62209=""),"-",(790.0434-655.62209)/1331502.34087*100)</f>
        <v>1.0095461785832803E-2</v>
      </c>
      <c r="I23" s="62"/>
      <c r="J23" s="63"/>
      <c r="K23" s="100"/>
    </row>
    <row r="24" spans="1:11" s="31" customFormat="1" ht="15" customHeight="1" x14ac:dyDescent="0.2">
      <c r="A24" s="66" t="s">
        <v>221</v>
      </c>
      <c r="B24" s="67" t="s">
        <v>184</v>
      </c>
      <c r="C24" s="32">
        <f>IF(257465.26417="","-",257465.26417)</f>
        <v>257465.26417000001</v>
      </c>
      <c r="D24" s="28" t="s">
        <v>394</v>
      </c>
      <c r="E24" s="28">
        <f>IF(77016.96924="","-",77016.96924/1331502.34087*100)</f>
        <v>5.7842158346997223</v>
      </c>
      <c r="F24" s="28">
        <f>IF(257465.26417="","-",257465.26417/2290386.35979*100)</f>
        <v>11.241128077343527</v>
      </c>
      <c r="G24" s="28">
        <f>IF(OR(1170176.53664="",87128.97519="",77016.96924=""),"-",(77016.96924-87128.97519)/1170176.53664*100)</f>
        <v>-0.86414362563064351</v>
      </c>
      <c r="H24" s="28">
        <f>IF(OR(1331502.34087="",257465.26417="",77016.96924=""),"-",(257465.26417-77016.96924)/1331502.34087*100)</f>
        <v>13.552232646627987</v>
      </c>
      <c r="I24" s="66"/>
      <c r="J24" s="67"/>
      <c r="K24" s="101"/>
    </row>
    <row r="25" spans="1:11" s="31" customFormat="1" ht="15" customHeight="1" x14ac:dyDescent="0.2">
      <c r="A25" s="66" t="s">
        <v>274</v>
      </c>
      <c r="B25" s="67" t="s">
        <v>185</v>
      </c>
      <c r="C25" s="32">
        <f>IF(4.68875="","-",4.68875)</f>
        <v>4.6887499999999998</v>
      </c>
      <c r="D25" s="28" t="s">
        <v>395</v>
      </c>
      <c r="E25" s="28">
        <f>IF(0.54018="","-",0.54018/1331502.34087*100)</f>
        <v>4.0569211440292918E-5</v>
      </c>
      <c r="F25" s="28">
        <f>IF(4.68875="","-",4.68875/2290386.35979*100)</f>
        <v>2.0471436969393667E-4</v>
      </c>
      <c r="G25" s="28">
        <f>IF(OR(1170176.53664="",0.14712="",0.54018=""),"-",(0.54018-0.14712)/1170176.53664*100)</f>
        <v>3.358980356319717E-5</v>
      </c>
      <c r="H25" s="28">
        <f>IF(OR(1331502.34087="",4.68875="",0.54018=""),"-",(4.68875-0.54018)/1331502.34087*100)</f>
        <v>3.1157061258257614E-4</v>
      </c>
      <c r="I25" s="66"/>
      <c r="J25" s="67"/>
      <c r="K25" s="101"/>
    </row>
    <row r="26" spans="1:11" s="31" customFormat="1" x14ac:dyDescent="0.2">
      <c r="A26" s="66" t="s">
        <v>222</v>
      </c>
      <c r="B26" s="67" t="s">
        <v>186</v>
      </c>
      <c r="C26" s="32">
        <f>IF(1673.12718="","-",1673.12718)</f>
        <v>1673.12718</v>
      </c>
      <c r="D26" s="28" t="s">
        <v>195</v>
      </c>
      <c r="E26" s="28">
        <f>IF(949.1857="","-",949.1857/1331502.34087*100)</f>
        <v>7.1286821724985072E-2</v>
      </c>
      <c r="F26" s="28">
        <f>IF(1673.12718="","-",1673.12718/2290386.35979*100)</f>
        <v>7.304999756256865E-2</v>
      </c>
      <c r="G26" s="28">
        <f>IF(OR(1170176.53664="",842.68692="",949.1857=""),"-",(949.1857-842.68692)/1170176.53664*100)</f>
        <v>9.1010866023511737E-3</v>
      </c>
      <c r="H26" s="28">
        <f>IF(OR(1331502.34087="",1673.12718="",949.1857=""),"-",(1673.12718-949.1857)/1331502.34087*100)</f>
        <v>5.4370274672365847E-2</v>
      </c>
      <c r="I26" s="66"/>
      <c r="J26" s="67"/>
      <c r="K26" s="101"/>
    </row>
    <row r="27" spans="1:11" s="31" customFormat="1" ht="14.25" customHeight="1" x14ac:dyDescent="0.2">
      <c r="A27" s="66" t="s">
        <v>223</v>
      </c>
      <c r="B27" s="67" t="s">
        <v>138</v>
      </c>
      <c r="C27" s="32">
        <f>IF(2738.11745="","-",2738.11745)</f>
        <v>2738.1174500000002</v>
      </c>
      <c r="D27" s="28">
        <f>IF(OR(2440.28717="",2738.11745=""),"-",2738.11745/2440.28717*100)</f>
        <v>112.20472261057701</v>
      </c>
      <c r="E27" s="28">
        <f>IF(2440.28717="","-",2440.28717/1331502.34087*100)</f>
        <v>0.1832732166588249</v>
      </c>
      <c r="F27" s="28">
        <f>IF(2738.11745="","-",2738.11745/2290386.35979*100)</f>
        <v>0.11954827788317128</v>
      </c>
      <c r="G27" s="28">
        <f>IF(OR(1170176.53664="",855.28712="",2440.28717=""),"-",(2440.28717-855.28712)/1170176.53664*100)</f>
        <v>0.13544965228503969</v>
      </c>
      <c r="H27" s="28">
        <f>IF(OR(1331502.34087="",2738.11745="",2440.28717=""),"-",(2738.11745-2440.28717)/1331502.34087*100)</f>
        <v>2.2367987712691412E-2</v>
      </c>
      <c r="I27" s="66"/>
      <c r="J27" s="67"/>
      <c r="K27" s="101"/>
    </row>
    <row r="28" spans="1:11" s="31" customFormat="1" ht="36" x14ac:dyDescent="0.2">
      <c r="A28" s="66" t="s">
        <v>224</v>
      </c>
      <c r="B28" s="67" t="s">
        <v>139</v>
      </c>
      <c r="C28" s="32">
        <f>IF(49.70577="","-",49.70577)</f>
        <v>49.705770000000001</v>
      </c>
      <c r="D28" s="28">
        <f>IF(OR(138.83231="",49.70577=""),"-",49.70577/138.83231*100)</f>
        <v>35.802739290299208</v>
      </c>
      <c r="E28" s="28">
        <f>IF(138.83231="","-",138.83231/1331502.34087*100)</f>
        <v>1.0426741714121762E-2</v>
      </c>
      <c r="F28" s="28">
        <f>IF(49.70577="","-",49.70577/2290386.35979*100)</f>
        <v>2.1701914957508476E-3</v>
      </c>
      <c r="G28" s="28">
        <f>IF(OR(1170176.53664="",38.60231="",138.83231=""),"-",(138.83231-38.60231)/1170176.53664*100)</f>
        <v>8.5653742714579262E-3</v>
      </c>
      <c r="H28" s="28">
        <f>IF(OR(1331502.34087="",49.70577="",138.83231=""),"-",(49.70577-138.83231)/1331502.34087*100)</f>
        <v>-6.693682561741872E-3</v>
      </c>
      <c r="I28" s="66"/>
      <c r="J28" s="67"/>
      <c r="K28" s="101"/>
    </row>
    <row r="29" spans="1:11" s="31" customFormat="1" ht="36" x14ac:dyDescent="0.2">
      <c r="A29" s="66" t="s">
        <v>225</v>
      </c>
      <c r="B29" s="67" t="s">
        <v>140</v>
      </c>
      <c r="C29" s="32">
        <f>IF(4989.56815="","-",4989.56815)</f>
        <v>4989.5681500000001</v>
      </c>
      <c r="D29" s="28">
        <f>IF(OR(3644.19325="",4989.56815=""),"-",4989.56815/3644.19325*100)</f>
        <v>136.9183193015354</v>
      </c>
      <c r="E29" s="28">
        <f>IF(3644.19325="","-",3644.19325/1331502.34087*100)</f>
        <v>0.27369033745888077</v>
      </c>
      <c r="F29" s="28">
        <f>IF(4989.56815="","-",4989.56815/2290386.35979*100)</f>
        <v>0.21784831754138989</v>
      </c>
      <c r="G29" s="28">
        <f>IF(OR(1170176.53664="",3844.21672="",3644.19325=""),"-",(3644.19325-3844.21672)/1170176.53664*100)</f>
        <v>-1.709344391525229E-2</v>
      </c>
      <c r="H29" s="28">
        <f>IF(OR(1331502.34087="",4989.56815="",3644.19325=""),"-",(4989.56815-3644.19325)/1331502.34087*100)</f>
        <v>0.10104187268051937</v>
      </c>
      <c r="I29" s="66"/>
      <c r="J29" s="67"/>
      <c r="K29" s="101"/>
    </row>
    <row r="30" spans="1:11" s="31" customFormat="1" ht="24" x14ac:dyDescent="0.2">
      <c r="A30" s="66" t="s">
        <v>226</v>
      </c>
      <c r="B30" s="67" t="s">
        <v>141</v>
      </c>
      <c r="C30" s="32">
        <f>IF(39861.88292="","-",39861.88292)</f>
        <v>39861.882919999996</v>
      </c>
      <c r="D30" s="28">
        <f>IF(OR(42090.98788="",39861.88292=""),"-",39861.88292/42090.98788*100)</f>
        <v>94.704080202738155</v>
      </c>
      <c r="E30" s="28">
        <f>IF(42090.98788="","-",42090.98788/1331502.34087*100)</f>
        <v>3.1611651431643648</v>
      </c>
      <c r="F30" s="28">
        <f>IF(39861.88292="","-",39861.88292/2290386.35979*100)</f>
        <v>1.7403999438616475</v>
      </c>
      <c r="G30" s="28">
        <f>IF(OR(1170176.53664="",6222.26559="",42090.98788=""),"-",(42090.98788-6222.26559)/1170176.53664*100)</f>
        <v>3.0652402579351037</v>
      </c>
      <c r="H30" s="28">
        <f>IF(OR(1331502.34087="",39861.88292="",42090.98788=""),"-",(39861.88292-42090.98788)/1331502.34087*100)</f>
        <v>-0.16741277064098237</v>
      </c>
      <c r="I30" s="66"/>
      <c r="J30" s="67"/>
      <c r="K30" s="101"/>
    </row>
    <row r="31" spans="1:11" s="31" customFormat="1" ht="24" x14ac:dyDescent="0.2">
      <c r="A31" s="66" t="s">
        <v>227</v>
      </c>
      <c r="B31" s="67" t="s">
        <v>142</v>
      </c>
      <c r="C31" s="32">
        <f>IF(1867.28821="","-",1867.28821)</f>
        <v>1867.2882099999999</v>
      </c>
      <c r="D31" s="28">
        <f>IF(OR(1935.62305="",1867.28821=""),"-",1867.28821/1935.62305*100)</f>
        <v>96.469620466650269</v>
      </c>
      <c r="E31" s="28">
        <f>IF(1935.62305="","-",1935.62305/1331502.34087*100)</f>
        <v>0.14537135914723734</v>
      </c>
      <c r="F31" s="28">
        <f>IF(1867.28821="","-",1867.28821/2290386.35979*100)</f>
        <v>8.1527214918063307E-2</v>
      </c>
      <c r="G31" s="28">
        <f>IF(OR(1170176.53664="",2591.24884="",1935.62305=""),"-",(1935.62305-2591.24884)/1170176.53664*100)</f>
        <v>-5.6027938475209815E-2</v>
      </c>
      <c r="H31" s="28">
        <f>IF(OR(1331502.34087="",1867.28821="",1935.62305=""),"-",(1867.28821-1935.62305)/1331502.34087*100)</f>
        <v>-5.132160710686411E-3</v>
      </c>
      <c r="I31" s="66"/>
      <c r="J31" s="67"/>
      <c r="K31" s="101"/>
    </row>
    <row r="32" spans="1:11" s="31" customFormat="1" ht="24" x14ac:dyDescent="0.2">
      <c r="A32" s="62" t="s">
        <v>228</v>
      </c>
      <c r="B32" s="63" t="s">
        <v>143</v>
      </c>
      <c r="C32" s="20">
        <f>IF(201791.83481="","-",201791.83481)</f>
        <v>201791.83481</v>
      </c>
      <c r="D32" s="26" t="s">
        <v>396</v>
      </c>
      <c r="E32" s="26">
        <f>IF(13258.62276="","-",13258.62276/1331502.34087*100)</f>
        <v>0.99576413446910284</v>
      </c>
      <c r="F32" s="26">
        <f>IF(201791.83481="","-",201791.83481/2290386.35979*100)</f>
        <v>8.8103840623859551</v>
      </c>
      <c r="G32" s="26">
        <f>IF(1170176.53664="","-",(13258.62276-2476.847)/1170176.53664*100)</f>
        <v>0.92138027232697528</v>
      </c>
      <c r="H32" s="26">
        <f>IF(1331502.34087="","-",(201791.83481-13258.62276)/1331502.34087*100)</f>
        <v>14.159435268195844</v>
      </c>
      <c r="I32" s="66"/>
      <c r="J32" s="67"/>
      <c r="K32" s="101"/>
    </row>
    <row r="33" spans="1:11" s="31" customFormat="1" x14ac:dyDescent="0.2">
      <c r="A33" s="66" t="s">
        <v>229</v>
      </c>
      <c r="B33" s="67" t="s">
        <v>187</v>
      </c>
      <c r="C33" s="32">
        <f>IF(69.12712="","-",69.12712)</f>
        <v>69.127120000000005</v>
      </c>
      <c r="D33" s="28">
        <f>IF(OR(379.90658="",69.12712=""),"-",69.12712/379.90658*100)</f>
        <v>18.195820667280888</v>
      </c>
      <c r="E33" s="28">
        <f>IF(379.90658="","-",379.90658/1331502.34087*100)</f>
        <v>2.8532175148244208E-2</v>
      </c>
      <c r="F33" s="28">
        <f>IF(69.12712="","-",69.12712/2290386.35979*100)</f>
        <v>3.0181423192870436E-3</v>
      </c>
      <c r="G33" s="28">
        <f>IF(OR(1170176.53664="",52.11775="",379.90658=""),"-",(379.90658-52.11775)/1170176.53664*100)</f>
        <v>2.8011912710299274E-2</v>
      </c>
      <c r="H33" s="28">
        <f>IF(OR(1331502.34087="",69.12712="",379.90658=""),"-",(69.12712-379.90658)/1331502.34087*100)</f>
        <v>-2.3340511725795206E-2</v>
      </c>
      <c r="I33" s="62"/>
      <c r="J33" s="63"/>
      <c r="K33" s="100"/>
    </row>
    <row r="34" spans="1:11" s="31" customFormat="1" ht="24" x14ac:dyDescent="0.2">
      <c r="A34" s="66" t="s">
        <v>230</v>
      </c>
      <c r="B34" s="67" t="s">
        <v>144</v>
      </c>
      <c r="C34" s="32">
        <f>IF(198948.03255="","-",198948.03255)</f>
        <v>198948.03255</v>
      </c>
      <c r="D34" s="28" t="s">
        <v>397</v>
      </c>
      <c r="E34" s="28">
        <f>IF(12875.85785="","-",12875.85785/1331502.34087*100)</f>
        <v>0.96701728977712131</v>
      </c>
      <c r="F34" s="28">
        <f>IF(198948.03255="","-",198948.03255/2290386.35979*100)</f>
        <v>8.686221505800491</v>
      </c>
      <c r="G34" s="28">
        <f>IF(OR(1170176.53664="",2114.46571="",12875.85785=""),"-",(12875.85785-2114.46571)/1170176.53664*100)</f>
        <v>0.91963834541579914</v>
      </c>
      <c r="H34" s="28">
        <f>IF(OR(1331502.34087="",198948.03255="",12875.85785=""),"-",(198948.03255-12875.85785)/1331502.34087*100)</f>
        <v>13.974603647968125</v>
      </c>
      <c r="I34" s="66"/>
      <c r="J34" s="67"/>
      <c r="K34" s="101"/>
    </row>
    <row r="35" spans="1:11" s="31" customFormat="1" ht="24" x14ac:dyDescent="0.2">
      <c r="A35" s="102" t="s">
        <v>275</v>
      </c>
      <c r="B35" s="67" t="s">
        <v>339</v>
      </c>
      <c r="C35" s="32">
        <f>IF(2770.97673="","-",2770.97673)</f>
        <v>2770.9767299999999</v>
      </c>
      <c r="D35" s="28" t="str">
        <f>IF(OR(""="",2770.97673=""),"-",2770.97673/""*100)</f>
        <v>-</v>
      </c>
      <c r="E35" s="28" t="str">
        <f>IF(""="","-",""/1331502.34087*100)</f>
        <v>-</v>
      </c>
      <c r="F35" s="28">
        <f>IF(2770.97673="","-",2770.97673/2290386.35979*100)</f>
        <v>0.12098293888957948</v>
      </c>
      <c r="G35" s="28" t="str">
        <f>IF(OR(1170176.53664="",306.37112="",""=""),"-",(""-306.37112)/1170176.53664*100)</f>
        <v>-</v>
      </c>
      <c r="H35" s="28" t="str">
        <f>IF(OR(1331502.34087="",2770.97673="",""=""),"-",(2770.97673-"")/1331502.34087*100)</f>
        <v>-</v>
      </c>
      <c r="I35" s="66"/>
      <c r="J35" s="67"/>
      <c r="K35" s="101"/>
    </row>
    <row r="36" spans="1:11" s="31" customFormat="1" x14ac:dyDescent="0.2">
      <c r="A36" s="66" t="s">
        <v>282</v>
      </c>
      <c r="B36" s="67" t="s">
        <v>283</v>
      </c>
      <c r="C36" s="32">
        <f>IF(3.69841="","-",3.69841)</f>
        <v>3.69841</v>
      </c>
      <c r="D36" s="28">
        <f>IF(OR(2.85833="",3.69841=""),"-",3.69841/2.85833*100)</f>
        <v>129.39058821059851</v>
      </c>
      <c r="E36" s="28">
        <f>IF(2.85833="","-",2.85833/1331502.34087*100)</f>
        <v>2.1466954373751797E-4</v>
      </c>
      <c r="F36" s="28">
        <f>IF(3.69841="","-",3.69841/2290386.35979*100)</f>
        <v>1.6147537659712128E-4</v>
      </c>
      <c r="G36" s="28">
        <f>IF(OR(1170176.53664="",3.89242="",2.85833=""),"-",(2.85833-3.89242)/1170176.53664*100)</f>
        <v>-8.8370426822028604E-5</v>
      </c>
      <c r="H36" s="28">
        <f>IF(OR(1331502.34087="",3.69841="",2.85833=""),"-",(3.69841-2.85833)/1331502.34087*100)</f>
        <v>6.3092641613464532E-5</v>
      </c>
      <c r="I36" s="66"/>
      <c r="J36" s="67"/>
      <c r="K36" s="101"/>
    </row>
    <row r="37" spans="1:11" s="31" customFormat="1" ht="24" x14ac:dyDescent="0.2">
      <c r="A37" s="62" t="s">
        <v>231</v>
      </c>
      <c r="B37" s="63" t="s">
        <v>145</v>
      </c>
      <c r="C37" s="20">
        <f>IF(229557.49251="","-",229557.49251)</f>
        <v>229557.49251000001</v>
      </c>
      <c r="D37" s="26" t="s">
        <v>398</v>
      </c>
      <c r="E37" s="26">
        <f>IF(44043.81045="","-",44043.81045/1331502.34087*100)</f>
        <v>3.3078282401833325</v>
      </c>
      <c r="F37" s="26">
        <f>IF(229557.49251="","-",229557.49251/2290386.35979*100)</f>
        <v>10.022653668398879</v>
      </c>
      <c r="G37" s="26">
        <f>IF(1170176.53664="","-",(44043.81045-61110.58663)/1170176.53664*100)</f>
        <v>-1.458478754753098</v>
      </c>
      <c r="H37" s="26">
        <f>IF(1331502.34087="","-",(229557.49251-44043.81045)/1331502.34087*100)</f>
        <v>13.932659099854522</v>
      </c>
      <c r="I37" s="66"/>
      <c r="J37" s="67"/>
      <c r="K37" s="101"/>
    </row>
    <row r="38" spans="1:11" s="31" customFormat="1" ht="24" x14ac:dyDescent="0.2">
      <c r="A38" s="66" t="s">
        <v>232</v>
      </c>
      <c r="B38" s="67" t="s">
        <v>191</v>
      </c>
      <c r="C38" s="32">
        <f>IF(1.59594="","-",1.59594)</f>
        <v>1.5959399999999999</v>
      </c>
      <c r="D38" s="28">
        <f>IF(OR(4.81502="",1.59594=""),"-",1.59594/4.81502*100)</f>
        <v>33.145033665488413</v>
      </c>
      <c r="E38" s="28">
        <f>IF(4.81502="","-",4.81502/1331502.34087*100)</f>
        <v>3.6162309687370723E-4</v>
      </c>
      <c r="F38" s="28">
        <f>IF(1.59594="","-",1.59594/2290386.35979*100)</f>
        <v>6.9679946930278067E-5</v>
      </c>
      <c r="G38" s="28">
        <f>IF(OR(1170176.53664="",2.5974="",4.81502=""),"-",(4.81502-2.5974)/1170176.53664*100)</f>
        <v>1.8951157629323081E-4</v>
      </c>
      <c r="H38" s="28">
        <f>IF(OR(1331502.34087="",1.59594="",4.81502=""),"-",(1.59594-4.81502)/1331502.34087*100)</f>
        <v>-2.4176299967273521E-4</v>
      </c>
      <c r="I38" s="62"/>
      <c r="J38" s="63"/>
      <c r="K38" s="100"/>
    </row>
    <row r="39" spans="1:11" s="31" customFormat="1" ht="24" x14ac:dyDescent="0.2">
      <c r="A39" s="66" t="s">
        <v>233</v>
      </c>
      <c r="B39" s="67" t="s">
        <v>146</v>
      </c>
      <c r="C39" s="32">
        <f>IF(229555.89657="","-",229555.89657)</f>
        <v>229555.89657000001</v>
      </c>
      <c r="D39" s="28" t="s">
        <v>398</v>
      </c>
      <c r="E39" s="28">
        <f>IF(44035.4331="","-",44035.4331/1331502.34087*100)</f>
        <v>3.3071990749357125</v>
      </c>
      <c r="F39" s="28">
        <f>IF(229555.89657="","-",229555.89657/2290386.35979*100)</f>
        <v>10.022583988451949</v>
      </c>
      <c r="G39" s="28">
        <f>IF(OR(1170176.53664="",61085.70974="",44035.4331=""),"-",(44035.4331-61085.70974)/1170176.53664*100)</f>
        <v>-1.4570687504090198</v>
      </c>
      <c r="H39" s="28">
        <f>IF(OR(1331502.34087="",229555.89657="",44035.4331=""),"-",(229555.89657-44035.4331)/1331502.34087*100)</f>
        <v>13.93316840500494</v>
      </c>
      <c r="I39" s="66"/>
      <c r="J39" s="67"/>
      <c r="K39" s="101"/>
    </row>
    <row r="40" spans="1:11" s="31" customFormat="1" ht="24" x14ac:dyDescent="0.2">
      <c r="A40" s="62" t="s">
        <v>235</v>
      </c>
      <c r="B40" s="63" t="s">
        <v>147</v>
      </c>
      <c r="C40" s="20">
        <f>IF(69042.58705="","-",69042.58705)</f>
        <v>69042.587050000002</v>
      </c>
      <c r="D40" s="26">
        <f>IF(65010.93557="","-",69042.58705/65010.93557*100)</f>
        <v>106.20149740140094</v>
      </c>
      <c r="E40" s="26">
        <f>IF(65010.93557="","-",65010.93557/1331502.34087*100)</f>
        <v>4.8825250677007475</v>
      </c>
      <c r="F40" s="26">
        <f>IF(69042.58705="","-",69042.58705/2290386.35979*100)</f>
        <v>3.0144515467831527</v>
      </c>
      <c r="G40" s="26">
        <f>IF(1170176.53664="","-",(65010.93557-64344.69686)/1170176.53664*100)</f>
        <v>5.6934888808573905E-2</v>
      </c>
      <c r="H40" s="26">
        <f>IF(1331502.34087="","-",(69042.58705-65010.93557)/1331502.34087*100)</f>
        <v>0.30278966519621214</v>
      </c>
      <c r="I40" s="62"/>
      <c r="J40" s="63"/>
      <c r="K40" s="100"/>
    </row>
    <row r="41" spans="1:11" s="31" customFormat="1" x14ac:dyDescent="0.2">
      <c r="A41" s="66" t="s">
        <v>236</v>
      </c>
      <c r="B41" s="67" t="s">
        <v>23</v>
      </c>
      <c r="C41" s="32">
        <f>IF(24268.03871="","-",24268.03871)</f>
        <v>24268.038710000001</v>
      </c>
      <c r="D41" s="28">
        <f>IF(OR(16102.54759="",24268.03871=""),"-",24268.03871/16102.54759*100)</f>
        <v>150.70931214058905</v>
      </c>
      <c r="E41" s="28">
        <f>IF(16102.54759="","-",16102.54759/1331502.34087*100)</f>
        <v>1.2093518047800531</v>
      </c>
      <c r="F41" s="28">
        <f>IF(24268.03871="","-",24268.03871/2290386.35979*100)</f>
        <v>1.0595609167103612</v>
      </c>
      <c r="G41" s="28">
        <f>IF(OR(1170176.53664="",24993.17925="",16102.54759=""),"-",(16102.54759-24993.17925)/1170176.53664*100)</f>
        <v>-0.75976840943403456</v>
      </c>
      <c r="H41" s="28">
        <f>IF(OR(1331502.34087="",24268.03871="",16102.54759=""),"-",(24268.03871-16102.54759)/1331502.34087*100)</f>
        <v>0.61325398156376432</v>
      </c>
      <c r="I41" s="66"/>
      <c r="J41" s="67"/>
      <c r="K41" s="101"/>
    </row>
    <row r="42" spans="1:11" s="31" customFormat="1" x14ac:dyDescent="0.2">
      <c r="A42" s="66" t="s">
        <v>237</v>
      </c>
      <c r="B42" s="67" t="s">
        <v>24</v>
      </c>
      <c r="C42" s="32">
        <f>IF(2694.46979="","-",2694.46979)</f>
        <v>2694.4697900000001</v>
      </c>
      <c r="D42" s="28" t="s">
        <v>393</v>
      </c>
      <c r="E42" s="28">
        <f>IF(469.82754="","-",469.82754/1331502.34087*100)</f>
        <v>3.5285521142457477E-2</v>
      </c>
      <c r="F42" s="28">
        <f>IF(2694.46979="","-",2694.46979/2290386.35979*100)</f>
        <v>0.11764258804995019</v>
      </c>
      <c r="G42" s="28">
        <f>IF(OR(1170176.53664="",637.21575="",469.82754=""),"-",(469.82754-637.21575)/1170176.53664*100)</f>
        <v>-1.4304526262390461E-2</v>
      </c>
      <c r="H42" s="28">
        <f>IF(OR(1331502.34087="",2694.46979="",469.82754=""),"-",(2694.46979-469.82754)/1331502.34087*100)</f>
        <v>0.16707760712958453</v>
      </c>
      <c r="I42" s="66"/>
      <c r="J42" s="67"/>
      <c r="K42" s="101"/>
    </row>
    <row r="43" spans="1:11" s="31" customFormat="1" x14ac:dyDescent="0.2">
      <c r="A43" s="66" t="s">
        <v>238</v>
      </c>
      <c r="B43" s="67" t="s">
        <v>148</v>
      </c>
      <c r="C43" s="32">
        <f>IF(1352.57358="","-",1352.57358)</f>
        <v>1352.57358</v>
      </c>
      <c r="D43" s="28">
        <f>IF(OR(1175.87049="",1352.57358=""),"-",1352.57358/1175.87049*100)</f>
        <v>115.02742789301566</v>
      </c>
      <c r="E43" s="28">
        <f>IF(1175.87049="","-",1175.87049/1331502.34087*100)</f>
        <v>8.8311560100727229E-2</v>
      </c>
      <c r="F43" s="28">
        <f>IF(1352.57358="","-",1352.57358/2290386.35979*100)</f>
        <v>5.9054385048119745E-2</v>
      </c>
      <c r="G43" s="28">
        <f>IF(OR(1170176.53664="",417.75733="",1175.87049=""),"-",(1175.87049-417.75733)/1170176.53664*100)</f>
        <v>6.4786221246310144E-2</v>
      </c>
      <c r="H43" s="28">
        <f>IF(OR(1331502.34087="",1352.57358="",1175.87049=""),"-",(1352.57358-1175.87049)/1331502.34087*100)</f>
        <v>1.3270956015333976E-2</v>
      </c>
      <c r="I43" s="66"/>
      <c r="J43" s="67"/>
      <c r="K43" s="101"/>
    </row>
    <row r="44" spans="1:11" s="31" customFormat="1" ht="16.5" customHeight="1" x14ac:dyDescent="0.2">
      <c r="A44" s="66" t="s">
        <v>239</v>
      </c>
      <c r="B44" s="67" t="s">
        <v>149</v>
      </c>
      <c r="C44" s="32">
        <f>IF(27147.84667="","-",27147.84667)</f>
        <v>27147.846669999999</v>
      </c>
      <c r="D44" s="28">
        <f>IF(OR(36050.31175="",27147.84667=""),"-",27147.84667/36050.31175*100)</f>
        <v>75.305442178319026</v>
      </c>
      <c r="E44" s="28">
        <f>IF(36050.31175="","-",36050.31175/1331502.34087*100)</f>
        <v>2.7074914285501612</v>
      </c>
      <c r="F44" s="28">
        <f>IF(27147.84667="","-",27147.84667/2290386.35979*100)</f>
        <v>1.1852955093781259</v>
      </c>
      <c r="G44" s="28">
        <f>IF(OR(1170176.53664="",30182.5233="",36050.31175=""),"-",(36050.31175-30182.5233)/1170176.53664*100)</f>
        <v>0.50144471934538548</v>
      </c>
      <c r="H44" s="28">
        <f>IF(OR(1331502.34087="",27147.84667="",36050.31175=""),"-",(27147.84667-36050.31175)/1331502.34087*100)</f>
        <v>-0.66860303634037588</v>
      </c>
      <c r="I44" s="66"/>
      <c r="J44" s="67"/>
      <c r="K44" s="101"/>
    </row>
    <row r="45" spans="1:11" s="31" customFormat="1" ht="42" customHeight="1" x14ac:dyDescent="0.2">
      <c r="A45" s="66" t="s">
        <v>240</v>
      </c>
      <c r="B45" s="67" t="s">
        <v>150</v>
      </c>
      <c r="C45" s="32">
        <f>IF(6947.7036="","-",6947.7036)</f>
        <v>6947.7035999999998</v>
      </c>
      <c r="D45" s="28">
        <f>IF(OR(4744.0842="",6947.7036=""),"-",6947.7036/4744.0842*100)</f>
        <v>146.44983746283421</v>
      </c>
      <c r="E45" s="28">
        <f>IF(4744.0842="","-",4744.0842/1331502.34087*100)</f>
        <v>0.35629559591312687</v>
      </c>
      <c r="F45" s="28">
        <f>IF(6947.7036="","-",6947.7036/2290386.35979*100)</f>
        <v>0.30334199163834602</v>
      </c>
      <c r="G45" s="28">
        <f>IF(OR(1170176.53664="",5050.13412="",4744.0842=""),"-",(4744.0842-5050.13412)/1170176.53664*100)</f>
        <v>-2.6154166522495782E-2</v>
      </c>
      <c r="H45" s="28">
        <f>IF(OR(1331502.34087="",6947.7036="",4744.0842=""),"-",(6947.7036-4744.0842)/1331502.34087*100)</f>
        <v>0.16549872518888406</v>
      </c>
      <c r="I45" s="66"/>
      <c r="J45" s="67"/>
      <c r="K45" s="101"/>
    </row>
    <row r="46" spans="1:11" x14ac:dyDescent="0.2">
      <c r="A46" s="66" t="s">
        <v>241</v>
      </c>
      <c r="B46" s="67" t="s">
        <v>151</v>
      </c>
      <c r="C46" s="32">
        <f>IF(71.21796="","-",71.21796)</f>
        <v>71.217960000000005</v>
      </c>
      <c r="D46" s="28">
        <f>IF(OR(63.58714="",71.21796=""),"-",71.21796/63.58714*100)</f>
        <v>112.00057118467666</v>
      </c>
      <c r="E46" s="28">
        <f>IF(63.58714="","-",63.58714/1331502.34087*100)</f>
        <v>4.7755935568579121E-3</v>
      </c>
      <c r="F46" s="28">
        <f>IF(71.21796="","-",71.21796/2290386.35979*100)</f>
        <v>3.1094299743616096E-3</v>
      </c>
      <c r="G46" s="28">
        <f>IF(OR(1170176.53664="",0.12792="",63.58714=""),"-",(63.58714-0.12792)/1170176.53664*100)</f>
        <v>5.4230466953485807E-3</v>
      </c>
      <c r="H46" s="28">
        <f>IF(OR(1331502.34087="",71.21796="",63.58714=""),"-",(71.21796-63.58714)/1331502.34087*100)</f>
        <v>5.7309850428156591E-4</v>
      </c>
      <c r="I46" s="66"/>
      <c r="J46" s="67"/>
      <c r="K46" s="101"/>
    </row>
    <row r="47" spans="1:11" ht="24" x14ac:dyDescent="0.2">
      <c r="A47" s="66" t="s">
        <v>242</v>
      </c>
      <c r="B47" s="67" t="s">
        <v>25</v>
      </c>
      <c r="C47" s="32">
        <f>IF(1459.21505="","-",1459.21505)</f>
        <v>1459.21505</v>
      </c>
      <c r="D47" s="28">
        <f>IF(OR(928.02727="",1459.21505=""),"-",1459.21505/928.02727*100)</f>
        <v>157.23838050577973</v>
      </c>
      <c r="E47" s="28">
        <f>IF(928.02727="","-",928.02727/1331502.34087*100)</f>
        <v>6.9697757301247373E-2</v>
      </c>
      <c r="F47" s="28">
        <f>IF(1459.21505="","-",1459.21505/2290386.35979*100)</f>
        <v>6.3710432249246884E-2</v>
      </c>
      <c r="G47" s="28">
        <f>IF(OR(1170176.53664="",942.92412="",928.02727=""),"-",(928.02727-942.92412)/1170176.53664*100)</f>
        <v>-1.2730429583534646E-3</v>
      </c>
      <c r="H47" s="28">
        <f>IF(OR(1331502.34087="",1459.21505="",928.02727=""),"-",(1459.21505-928.02727)/1331502.34087*100)</f>
        <v>3.9893867528082855E-2</v>
      </c>
      <c r="I47" s="66"/>
      <c r="J47" s="67"/>
      <c r="K47" s="101"/>
    </row>
    <row r="48" spans="1:11" x14ac:dyDescent="0.2">
      <c r="A48" s="66" t="s">
        <v>243</v>
      </c>
      <c r="B48" s="67" t="s">
        <v>26</v>
      </c>
      <c r="C48" s="32">
        <f>IF(2723.04934="","-",2723.04934)</f>
        <v>2723.04934</v>
      </c>
      <c r="D48" s="28">
        <f>IF(OR(2209.52739="",2723.04934=""),"-",2723.04934/2209.52739*100)</f>
        <v>123.24125748900536</v>
      </c>
      <c r="E48" s="28">
        <f>IF(2209.52739="","-",2209.52739/1331502.34087*100)</f>
        <v>0.1659424337591702</v>
      </c>
      <c r="F48" s="28">
        <f>IF(2723.04934="","-",2723.04934/2290386.35979*100)</f>
        <v>0.11889039280908352</v>
      </c>
      <c r="G48" s="28">
        <f>IF(OR(1170176.53664="",985.09798="",2209.52739=""),"-",(2209.52739-985.09798)/1170176.53664*100)</f>
        <v>0.10463629817051193</v>
      </c>
      <c r="H48" s="28">
        <f>IF(OR(1331502.34087="",2723.04934="",2209.52739=""),"-",(2723.04934-2209.52739)/1331502.34087*100)</f>
        <v>3.856710831349091E-2</v>
      </c>
      <c r="I48" s="66"/>
      <c r="J48" s="67"/>
      <c r="K48" s="101"/>
    </row>
    <row r="49" spans="1:11" x14ac:dyDescent="0.2">
      <c r="A49" s="66" t="s">
        <v>244</v>
      </c>
      <c r="B49" s="67" t="s">
        <v>152</v>
      </c>
      <c r="C49" s="32">
        <f>IF(2378.47235="","-",2378.47235)</f>
        <v>2378.47235</v>
      </c>
      <c r="D49" s="28">
        <f>IF(OR(3267.1522="",2378.47235=""),"-",2378.47235/3267.1522*100)</f>
        <v>72.799557669826342</v>
      </c>
      <c r="E49" s="28">
        <f>IF(3267.1522="","-",3267.1522/1331502.34087*100)</f>
        <v>0.24537337259694578</v>
      </c>
      <c r="F49" s="28">
        <f>IF(2378.47235="","-",2378.47235/2290386.35979*100)</f>
        <v>0.10384590092555723</v>
      </c>
      <c r="G49" s="28">
        <f>IF(OR(1170176.53664="",1135.73709="",3267.1522=""),"-",(3267.1522-1135.73709)/1170176.53664*100)</f>
        <v>0.18214474852829157</v>
      </c>
      <c r="H49" s="28">
        <f>IF(OR(1331502.34087="",2378.47235="",3267.1522=""),"-",(2378.47235-3267.1522)/1331502.34087*100)</f>
        <v>-6.6742642706834374E-2</v>
      </c>
      <c r="I49" s="66"/>
      <c r="J49" s="67"/>
      <c r="K49" s="101"/>
    </row>
    <row r="50" spans="1:11" ht="24" x14ac:dyDescent="0.2">
      <c r="A50" s="62" t="s">
        <v>245</v>
      </c>
      <c r="B50" s="63" t="s">
        <v>341</v>
      </c>
      <c r="C50" s="20">
        <f>IF(142003.14987="","-",142003.14987)</f>
        <v>142003.14986999999</v>
      </c>
      <c r="D50" s="26">
        <f>IF(114366.57195="","-",142003.14987/114366.57195*100)</f>
        <v>124.16490889670317</v>
      </c>
      <c r="E50" s="26">
        <f>IF(114366.57195="","-",114366.57195/1331502.34087*100)</f>
        <v>8.5892880875652988</v>
      </c>
      <c r="F50" s="26">
        <f>IF(142003.14987="","-",142003.14987/2290386.35979*100)</f>
        <v>6.1999648776732981</v>
      </c>
      <c r="G50" s="26">
        <f>IF(1170176.53664="","-",(114366.57195-74733.882)/1170176.53664*100)</f>
        <v>3.3868983618317783</v>
      </c>
      <c r="H50" s="26">
        <f>IF(1331502.34087="","-",(142003.14987-114366.57195)/1331502.34087*100)</f>
        <v>2.0755936412355331</v>
      </c>
      <c r="I50" s="62"/>
      <c r="J50" s="63"/>
      <c r="K50" s="100"/>
    </row>
    <row r="51" spans="1:11" x14ac:dyDescent="0.2">
      <c r="A51" s="66" t="s">
        <v>246</v>
      </c>
      <c r="B51" s="67" t="s">
        <v>153</v>
      </c>
      <c r="C51" s="32">
        <f>IF(1336.69459="","-",1336.69459)</f>
        <v>1336.6945900000001</v>
      </c>
      <c r="D51" s="28" t="s">
        <v>281</v>
      </c>
      <c r="E51" s="28">
        <f>IF(548.33898="","-",548.33898/1331502.34087*100)</f>
        <v>4.1181976416332609E-2</v>
      </c>
      <c r="F51" s="28">
        <f>IF(1336.69459="","-",1336.69459/2290386.35979*100)</f>
        <v>5.8361096340206906E-2</v>
      </c>
      <c r="G51" s="28">
        <f>IF(OR(1170176.53664="",289.52254="",548.33898=""),"-",(548.33898-289.52254)/1170176.53664*100)</f>
        <v>2.2117725992281095E-2</v>
      </c>
      <c r="H51" s="28">
        <f>IF(OR(1331502.34087="",1336.69459="",548.33898=""),"-",(1336.69459-548.33898)/1331502.34087*100)</f>
        <v>5.9207977770800661E-2</v>
      </c>
      <c r="I51" s="66"/>
      <c r="J51" s="67"/>
      <c r="K51" s="101"/>
    </row>
    <row r="52" spans="1:11" x14ac:dyDescent="0.2">
      <c r="A52" s="66" t="s">
        <v>247</v>
      </c>
      <c r="B52" s="67" t="s">
        <v>27</v>
      </c>
      <c r="C52" s="32">
        <f>IF(491.49233="","-",491.49233)</f>
        <v>491.49232999999998</v>
      </c>
      <c r="D52" s="28">
        <f>IF(OR(770.98382="",491.49233=""),"-",491.49233/770.98382*100)</f>
        <v>63.748721730632418</v>
      </c>
      <c r="E52" s="28">
        <f>IF(770.98382="","-",770.98382/1331502.34087*100)</f>
        <v>5.7903301882011059E-2</v>
      </c>
      <c r="F52" s="28">
        <f>IF(491.49233="","-",491.49233/2290386.35979*100)</f>
        <v>2.1458926695890019E-2</v>
      </c>
      <c r="G52" s="28">
        <f>IF(OR(1170176.53664="",564.18634="",770.98382=""),"-",(770.98382-564.18634)/1170176.53664*100)</f>
        <v>1.7672331782842818E-2</v>
      </c>
      <c r="H52" s="28">
        <f>IF(OR(1331502.34087="",491.49233="",770.98382=""),"-",(491.49233-770.98382)/1331502.34087*100)</f>
        <v>-2.0990687092399783E-2</v>
      </c>
      <c r="I52" s="66"/>
      <c r="J52" s="67"/>
      <c r="K52" s="101"/>
    </row>
    <row r="53" spans="1:11" x14ac:dyDescent="0.2">
      <c r="A53" s="66" t="s">
        <v>248</v>
      </c>
      <c r="B53" s="67" t="s">
        <v>154</v>
      </c>
      <c r="C53" s="32">
        <f>IF(14608.0265="","-",14608.0265)</f>
        <v>14608.0265</v>
      </c>
      <c r="D53" s="28">
        <f>IF(OR(12344.27314="",14608.0265=""),"-",14608.0265/12344.27314*100)</f>
        <v>118.3384905237118</v>
      </c>
      <c r="E53" s="28">
        <f>IF(12344.27314="","-",12344.27314/1331502.34087*100)</f>
        <v>0.92709361156168046</v>
      </c>
      <c r="F53" s="28">
        <f>IF(14608.0265="","-",14608.0265/2290386.35979*100)</f>
        <v>0.6377974806547213</v>
      </c>
      <c r="G53" s="28">
        <f>IF(OR(1170176.53664="",8773.37642="",12344.27314=""),"-",(12344.27314-8773.37642)/1170176.53664*100)</f>
        <v>0.30515880366678128</v>
      </c>
      <c r="H53" s="28">
        <f>IF(OR(1331502.34087="",14608.0265="",12344.27314=""),"-",(14608.0265-12344.27314)/1331502.34087*100)</f>
        <v>0.17001497410217623</v>
      </c>
      <c r="I53" s="66"/>
      <c r="J53" s="67"/>
      <c r="K53" s="101"/>
    </row>
    <row r="54" spans="1:11" ht="26.25" customHeight="1" x14ac:dyDescent="0.2">
      <c r="A54" s="66" t="s">
        <v>249</v>
      </c>
      <c r="B54" s="67" t="s">
        <v>155</v>
      </c>
      <c r="C54" s="32">
        <f>IF(9856.6386="","-",9856.6386)</f>
        <v>9856.6386000000002</v>
      </c>
      <c r="D54" s="28" t="s">
        <v>101</v>
      </c>
      <c r="E54" s="28">
        <f>IF(5185.20662="","-",5185.20662/1331502.34087*100)</f>
        <v>0.38942527255430887</v>
      </c>
      <c r="F54" s="28">
        <f>IF(9856.6386="","-",9856.6386/2290386.35979*100)</f>
        <v>0.43034829289254634</v>
      </c>
      <c r="G54" s="28">
        <f>IF(OR(1170176.53664="",4202.72373="",5185.20662=""),"-",(5185.20662-4202.72373)/1170176.53664*100)</f>
        <v>8.3960228156775715E-2</v>
      </c>
      <c r="H54" s="28">
        <f>IF(OR(1331502.34087="",9856.6386="",5185.20662=""),"-",(9856.6386-5185.20662)/1331502.34087*100)</f>
        <v>0.35083918642964607</v>
      </c>
      <c r="I54" s="66"/>
      <c r="J54" s="67"/>
      <c r="K54" s="101"/>
    </row>
    <row r="55" spans="1:11" ht="14.25" customHeight="1" x14ac:dyDescent="0.2">
      <c r="A55" s="66" t="s">
        <v>250</v>
      </c>
      <c r="B55" s="67" t="s">
        <v>156</v>
      </c>
      <c r="C55" s="32">
        <f>IF(46721.69491="","-",46721.69491)</f>
        <v>46721.694909999998</v>
      </c>
      <c r="D55" s="28">
        <f>IF(OR(40396.1732199999="",46721.69491=""),"-",46721.69491/40396.1732199999*100)</f>
        <v>115.65871513509694</v>
      </c>
      <c r="E55" s="28">
        <f>IF(40396.1732199999="","-",40396.1732199999/1331502.34087*100)</f>
        <v>3.0338792490297206</v>
      </c>
      <c r="F55" s="28">
        <f>IF(46721.69491="","-",46721.69491/2290386.35979*100)</f>
        <v>2.0399045213613567</v>
      </c>
      <c r="G55" s="28">
        <f>IF(OR(1170176.53664="",26497.92211="",40396.1732199999=""),"-",(40396.1732199999-26497.92211)/1170176.53664*100)</f>
        <v>1.1877055021037088</v>
      </c>
      <c r="H55" s="28">
        <f>IF(OR(1331502.34087="",46721.69491="",40396.1732199999=""),"-",(46721.69491-40396.1732199999)/1331502.34087*100)</f>
        <v>0.47506650914838183</v>
      </c>
      <c r="I55" s="66"/>
      <c r="J55" s="67"/>
      <c r="K55" s="101"/>
    </row>
    <row r="56" spans="1:11" ht="15.75" customHeight="1" x14ac:dyDescent="0.2">
      <c r="A56" s="66" t="s">
        <v>251</v>
      </c>
      <c r="B56" s="67" t="s">
        <v>28</v>
      </c>
      <c r="C56" s="32">
        <f>IF(42129.01425="","-",42129.01425)</f>
        <v>42129.01425</v>
      </c>
      <c r="D56" s="28">
        <f>IF(OR(28994.31671="",42129.01425=""),"-",42129.01425/28994.31671*100)</f>
        <v>145.30093835758478</v>
      </c>
      <c r="E56" s="28">
        <f>IF(28994.31671="","-",28994.31671/1331502.34087*100)</f>
        <v>2.1775640808152987</v>
      </c>
      <c r="F56" s="28">
        <f>IF(42129.01425="","-",42129.01425/2290386.35979*100)</f>
        <v>1.8393846116802191</v>
      </c>
      <c r="G56" s="28">
        <f>IF(OR(1170176.53664="",21475.4005="",28994.31671=""),"-",(28994.31671-21475.4005)/1170176.53664*100)</f>
        <v>0.64254545998585189</v>
      </c>
      <c r="H56" s="28">
        <f>IF(OR(1331502.34087="",42129.01425="",28994.31671=""),"-",(42129.01425-28994.31671)/1331502.34087*100)</f>
        <v>0.98645696194704591</v>
      </c>
      <c r="I56" s="66"/>
      <c r="J56" s="67"/>
      <c r="K56" s="101"/>
    </row>
    <row r="57" spans="1:11" x14ac:dyDescent="0.2">
      <c r="A57" s="66" t="s">
        <v>252</v>
      </c>
      <c r="B57" s="67" t="s">
        <v>157</v>
      </c>
      <c r="C57" s="32">
        <f>IF(4795.11284="","-",4795.11284)</f>
        <v>4795.1128399999998</v>
      </c>
      <c r="D57" s="28">
        <f>IF(OR(4865.0322="",4795.11284=""),"-",4795.11284/4865.0322*100)</f>
        <v>98.562818145376312</v>
      </c>
      <c r="E57" s="28">
        <f>IF(4865.0322="","-",4865.0322/1331502.34087*100)</f>
        <v>0.36537916987973157</v>
      </c>
      <c r="F57" s="28">
        <f>IF(4795.11284="","-",4795.11284/2290386.35979*100)</f>
        <v>0.2093582516986196</v>
      </c>
      <c r="G57" s="28">
        <f>IF(OR(1170176.53664="",758.02556="",4865.0322=""),"-",(4865.0322-758.02556)/1170176.53664*100)</f>
        <v>0.35097325159096943</v>
      </c>
      <c r="H57" s="28">
        <f>IF(OR(1331502.34087="",4795.11284="",4865.0322=""),"-",(4795.11284-4865.0322)/1331502.34087*100)</f>
        <v>-5.2511631300861819E-3</v>
      </c>
      <c r="I57" s="66"/>
      <c r="J57" s="67"/>
      <c r="K57" s="101"/>
    </row>
    <row r="58" spans="1:11" x14ac:dyDescent="0.2">
      <c r="A58" s="66" t="s">
        <v>253</v>
      </c>
      <c r="B58" s="67" t="s">
        <v>29</v>
      </c>
      <c r="C58" s="32">
        <f>IF(1189.57752="","-",1189.57752)</f>
        <v>1189.57752</v>
      </c>
      <c r="D58" s="28" t="s">
        <v>100</v>
      </c>
      <c r="E58" s="28">
        <f>IF(737.55802="","-",737.55802/1331502.34087*100)</f>
        <v>5.5392919513613595E-2</v>
      </c>
      <c r="F58" s="28">
        <f>IF(1189.57752="","-",1189.57752/2290386.35979*100)</f>
        <v>5.1937853843535352E-2</v>
      </c>
      <c r="G58" s="28">
        <f>IF(OR(1170176.53664="",859.53995="",737.55802=""),"-",(737.55802-859.53995)/1170176.53664*100)</f>
        <v>-1.0424233111890464E-2</v>
      </c>
      <c r="H58" s="28">
        <f>IF(OR(1331502.34087="",1189.57752="",737.55802=""),"-",(1189.57752-737.55802)/1331502.34087*100)</f>
        <v>3.3948081511043511E-2</v>
      </c>
      <c r="I58" s="66"/>
      <c r="J58" s="67"/>
      <c r="K58" s="101"/>
    </row>
    <row r="59" spans="1:11" x14ac:dyDescent="0.2">
      <c r="A59" s="66" t="s">
        <v>254</v>
      </c>
      <c r="B59" s="67" t="s">
        <v>30</v>
      </c>
      <c r="C59" s="32">
        <f>IF(20874.89833="","-",20874.89833)</f>
        <v>20874.89833</v>
      </c>
      <c r="D59" s="28">
        <f>IF(OR(20524.68924="",20874.89833=""),"-",20874.89833/20524.68924*100)</f>
        <v>101.70628205818331</v>
      </c>
      <c r="E59" s="28">
        <f>IF(20524.68924="","-",20524.68924/1331502.34087*100)</f>
        <v>1.5414685059125937</v>
      </c>
      <c r="F59" s="28">
        <f>IF(20874.89833="","-",20874.89833/2290386.35979*100)</f>
        <v>0.9114138425062035</v>
      </c>
      <c r="G59" s="28">
        <f>IF(OR(1170176.53664="",11313.18485="",20524.68924=""),"-",(20524.68924-11313.18485)/1170176.53664*100)</f>
        <v>0.78718929166444918</v>
      </c>
      <c r="H59" s="28">
        <f>IF(OR(1331502.34087="",20874.89833="",20524.68924=""),"-",(20874.89833-20524.68924)/1331502.34087*100)</f>
        <v>2.6301800548932917E-2</v>
      </c>
      <c r="I59" s="66"/>
      <c r="J59" s="67"/>
      <c r="K59" s="101"/>
    </row>
    <row r="60" spans="1:11" ht="24" x14ac:dyDescent="0.2">
      <c r="A60" s="62" t="s">
        <v>255</v>
      </c>
      <c r="B60" s="63" t="s">
        <v>158</v>
      </c>
      <c r="C60" s="20">
        <f>IF(354135.13676="","-",354135.13676)</f>
        <v>354135.13676000002</v>
      </c>
      <c r="D60" s="26">
        <f>IF(345695.93438="","-",354135.13676/345695.93438*100)</f>
        <v>102.44122118333141</v>
      </c>
      <c r="E60" s="26">
        <f>IF(345695.93438="","-",345695.93438/1331502.34087*100)</f>
        <v>25.962848413328604</v>
      </c>
      <c r="F60" s="26">
        <f>IF(354135.13676="","-",354135.13676/2290386.35979*100)</f>
        <v>15.461807797024681</v>
      </c>
      <c r="G60" s="26">
        <f>IF(1170176.53664="","-",(345695.93438-238120.22254)/1170176.53664*100)</f>
        <v>9.1931181724843647</v>
      </c>
      <c r="H60" s="26">
        <f>IF(1331502.34087="","-",(354135.13676-345695.93438)/1331502.34087*100)</f>
        <v>0.63381055526240226</v>
      </c>
      <c r="I60" s="62"/>
      <c r="J60" s="63"/>
      <c r="K60" s="100"/>
    </row>
    <row r="61" spans="1:11" ht="24" x14ac:dyDescent="0.2">
      <c r="A61" s="66" t="s">
        <v>256</v>
      </c>
      <c r="B61" s="67" t="s">
        <v>159</v>
      </c>
      <c r="C61" s="32">
        <f>IF(1719.08941="","-",1719.08941)</f>
        <v>1719.08941</v>
      </c>
      <c r="D61" s="28">
        <f>IF(OR(1079.01197="",1719.08941=""),"-",1719.08941/1079.01197*100)</f>
        <v>159.32069873145153</v>
      </c>
      <c r="E61" s="28">
        <f>IF(1079.01197="","-",1079.01197/1331502.34087*100)</f>
        <v>8.1037181601571695E-2</v>
      </c>
      <c r="F61" s="28">
        <f>IF(1719.08941="","-",1719.08941/2290386.35979*100)</f>
        <v>7.5056743271804116E-2</v>
      </c>
      <c r="G61" s="28">
        <f>IF(OR(1170176.53664="",992.61701="",1079.01197=""),"-",(1079.01197-992.61701)/1170176.53664*100)</f>
        <v>7.3830706132658533E-3</v>
      </c>
      <c r="H61" s="28">
        <f>IF(OR(1331502.34087="",1719.08941="",1079.01197=""),"-",(1719.08941-1079.01197)/1331502.34087*100)</f>
        <v>4.8071822358327604E-2</v>
      </c>
      <c r="I61" s="66"/>
      <c r="J61" s="67"/>
      <c r="K61" s="101"/>
    </row>
    <row r="62" spans="1:11" ht="24" x14ac:dyDescent="0.2">
      <c r="A62" s="66" t="s">
        <v>257</v>
      </c>
      <c r="B62" s="67" t="s">
        <v>160</v>
      </c>
      <c r="C62" s="32">
        <f>IF(6113.94993="","-",6113.94993)</f>
        <v>6113.9499299999998</v>
      </c>
      <c r="D62" s="28">
        <f>IF(OR(7312.57664="",6113.94993=""),"-",6113.94993/7312.57664*100)</f>
        <v>83.608695416011386</v>
      </c>
      <c r="E62" s="28">
        <f>IF(7312.57664="","-",7312.57664/1331502.34087*100)</f>
        <v>0.54919743026677537</v>
      </c>
      <c r="F62" s="28">
        <f>IF(6113.94993="","-",6113.94993/2290386.35979*100)</f>
        <v>0.26693967608856056</v>
      </c>
      <c r="G62" s="28">
        <f>IF(OR(1170176.53664="",5014.68934="",7312.57664=""),"-",(7312.57664-5014.68934)/1170176.53664*100)</f>
        <v>0.19637099429442206</v>
      </c>
      <c r="H62" s="28">
        <f>IF(OR(1331502.34087="",6113.94993="",7312.57664=""),"-",(6113.94993-7312.57664)/1331502.34087*100)</f>
        <v>-9.002062356246561E-2</v>
      </c>
      <c r="I62" s="66"/>
      <c r="J62" s="67"/>
      <c r="K62" s="101"/>
    </row>
    <row r="63" spans="1:11" ht="24" x14ac:dyDescent="0.2">
      <c r="A63" s="66" t="s">
        <v>258</v>
      </c>
      <c r="B63" s="67" t="s">
        <v>161</v>
      </c>
      <c r="C63" s="32">
        <f>IF(2271.21033="","-",2271.21033)</f>
        <v>2271.2103299999999</v>
      </c>
      <c r="D63" s="28">
        <f>IF(OR(2400.18465="",2271.21033=""),"-",2271.21033/2400.18465*100)</f>
        <v>94.626483424931479</v>
      </c>
      <c r="E63" s="28">
        <f>IF(2400.18465="","-",2400.18465/1331502.34087*100)</f>
        <v>0.18026139168720695</v>
      </c>
      <c r="F63" s="28">
        <f>IF(2271.21033="","-",2271.21033/2290386.35979*100)</f>
        <v>9.9162760042294407E-2</v>
      </c>
      <c r="G63" s="28">
        <f>IF(OR(1170176.53664="",1627.78996="",2400.18465=""),"-",(2400.18465-1627.78996)/1170176.53664*100)</f>
        <v>6.6006680685789909E-2</v>
      </c>
      <c r="H63" s="28">
        <f>IF(OR(1331502.34087="",2271.21033="",2400.18465=""),"-",(2271.21033-2400.18465)/1331502.34087*100)</f>
        <v>-9.6863757607612462E-3</v>
      </c>
      <c r="I63" s="66"/>
      <c r="J63" s="67"/>
      <c r="K63" s="101"/>
    </row>
    <row r="64" spans="1:11" ht="26.25" customHeight="1" x14ac:dyDescent="0.2">
      <c r="A64" s="66" t="s">
        <v>259</v>
      </c>
      <c r="B64" s="67" t="s">
        <v>162</v>
      </c>
      <c r="C64" s="32">
        <f>IF(13522.35266="","-",13522.35266)</f>
        <v>13522.35266</v>
      </c>
      <c r="D64" s="28">
        <f>IF(OR(12375.07434="",13522.35266=""),"-",13522.35266/12375.07434*100)</f>
        <v>109.27088022648599</v>
      </c>
      <c r="E64" s="28">
        <f>IF(12375.07434="","-",12375.07434/1331502.34087*100)</f>
        <v>0.92940687824207346</v>
      </c>
      <c r="F64" s="28">
        <f>IF(13522.35266="","-",13522.35266/2290386.35979*100)</f>
        <v>0.59039614003114438</v>
      </c>
      <c r="G64" s="28">
        <f>IF(OR(1170176.53664="",9647.89568="",12375.07434=""),"-",(12375.07434-9647.89568)/1170176.53664*100)</f>
        <v>0.23305702811566498</v>
      </c>
      <c r="H64" s="28">
        <f>IF(OR(1331502.34087="",13522.35266="",12375.07434=""),"-",(13522.35266-12375.07434)/1331502.34087*100)</f>
        <v>8.6164198498545091E-2</v>
      </c>
      <c r="I64" s="66"/>
      <c r="J64" s="67"/>
      <c r="K64" s="101"/>
    </row>
    <row r="65" spans="1:11" ht="28.5" customHeight="1" x14ac:dyDescent="0.2">
      <c r="A65" s="66" t="s">
        <v>260</v>
      </c>
      <c r="B65" s="67" t="s">
        <v>163</v>
      </c>
      <c r="C65" s="32">
        <f>IF(1651.00045="","-",1651.00045)</f>
        <v>1651.00045</v>
      </c>
      <c r="D65" s="28" t="s">
        <v>100</v>
      </c>
      <c r="E65" s="28">
        <f>IF(1028.18405="","-",1028.18405/1331502.34087*100)</f>
        <v>7.7219845466301423E-2</v>
      </c>
      <c r="F65" s="28">
        <f>IF(1651.00045="","-",1651.00045/2290386.35979*100)</f>
        <v>7.2083927802965797E-2</v>
      </c>
      <c r="G65" s="28">
        <f>IF(OR(1170176.53664="",648.1541="",1028.18405=""),"-",(1028.18405-648.1541)/1170176.53664*100)</f>
        <v>3.2476292089328972E-2</v>
      </c>
      <c r="H65" s="28">
        <f>IF(OR(1331502.34087="",1651.00045="",1028.18405=""),"-",(1651.00045-1028.18405)/1331502.34087*100)</f>
        <v>4.6775464141734321E-2</v>
      </c>
      <c r="I65" s="66"/>
      <c r="J65" s="67"/>
      <c r="K65" s="101"/>
    </row>
    <row r="66" spans="1:11" ht="39.75" customHeight="1" x14ac:dyDescent="0.2">
      <c r="A66" s="66" t="s">
        <v>261</v>
      </c>
      <c r="B66" s="67" t="s">
        <v>164</v>
      </c>
      <c r="C66" s="32">
        <f>IF(1352.34268="","-",1352.34268)</f>
        <v>1352.34268</v>
      </c>
      <c r="D66" s="28">
        <f>IF(OR(1593.70686="",1352.34268=""),"-",1352.34268/1593.70686*100)</f>
        <v>84.855170918948048</v>
      </c>
      <c r="E66" s="28">
        <f>IF(1593.70686="","-",1593.70686/1331502.34087*100)</f>
        <v>0.11969238138617738</v>
      </c>
      <c r="F66" s="28">
        <f>IF(1352.34268="","-",1352.34268/2290386.35979*100)</f>
        <v>5.9044303779559396E-2</v>
      </c>
      <c r="G66" s="28">
        <f>IF(OR(1170176.53664="",1269.09529="",1593.70686=""),"-",(1593.70686-1269.09529)/1170176.53664*100)</f>
        <v>2.7740392995066986E-2</v>
      </c>
      <c r="H66" s="28">
        <f>IF(OR(1331502.34087="",1352.34268="",1593.70686=""),"-",(1352.34268-1593.70686)/1331502.34087*100)</f>
        <v>-1.8127206583977415E-2</v>
      </c>
      <c r="I66" s="66"/>
      <c r="J66" s="67"/>
      <c r="K66" s="101"/>
    </row>
    <row r="67" spans="1:11" ht="48" x14ac:dyDescent="0.2">
      <c r="A67" s="66" t="s">
        <v>262</v>
      </c>
      <c r="B67" s="67" t="s">
        <v>165</v>
      </c>
      <c r="C67" s="32">
        <f>IF(281236.4433="","-",281236.4433)</f>
        <v>281236.44329999998</v>
      </c>
      <c r="D67" s="28">
        <f>IF(OR(292910.28679="",281236.4433=""),"-",281236.4433/292910.28679*100)</f>
        <v>96.01453277113157</v>
      </c>
      <c r="E67" s="28">
        <f>IF(292910.28679="","-",292910.28679/1331502.34087*100)</f>
        <v>21.998480798660346</v>
      </c>
      <c r="F67" s="28">
        <f>IF(281236.4433="","-",281236.4433/2290386.35979*100)</f>
        <v>12.278995729165358</v>
      </c>
      <c r="G67" s="28">
        <f>IF(OR(1170176.53664="",207617.54988="",292910.28679=""),"-",(292910.28679-207617.54988)/1170176.53664*100)</f>
        <v>7.28887772394636</v>
      </c>
      <c r="H67" s="28">
        <f>IF(OR(1331502.34087="",281236.4433="",292910.28679=""),"-",(281236.4433-292910.28679)/1331502.34087*100)</f>
        <v>-0.87674224307952331</v>
      </c>
      <c r="I67" s="66"/>
      <c r="J67" s="67"/>
      <c r="K67" s="101"/>
    </row>
    <row r="68" spans="1:11" ht="24" x14ac:dyDescent="0.2">
      <c r="A68" s="66" t="s">
        <v>263</v>
      </c>
      <c r="B68" s="67" t="s">
        <v>166</v>
      </c>
      <c r="C68" s="32">
        <f>IF(44732.36622="","-",44732.36622)</f>
        <v>44732.366220000004</v>
      </c>
      <c r="D68" s="28" t="s">
        <v>99</v>
      </c>
      <c r="E68" s="28">
        <f>IF(26642.01538="","-",26642.01538/1331502.34087*100)</f>
        <v>2.000898876572172</v>
      </c>
      <c r="F68" s="28">
        <f>IF(44732.36622="","-",44732.36622/2290386.35979*100)</f>
        <v>1.9530489268239182</v>
      </c>
      <c r="G68" s="28">
        <f>IF(OR(1170176.53664="",11041.94604="",26642.01538=""),"-",(26642.01538-11041.94604)/1170176.53664*100)</f>
        <v>1.333138107929718</v>
      </c>
      <c r="H68" s="28">
        <f>IF(OR(1331502.34087="",44732.36622="",26642.01538=""),"-",(44732.36622-26642.01538)/1331502.34087*100)</f>
        <v>1.3586420605298986</v>
      </c>
      <c r="I68" s="66"/>
      <c r="J68" s="67"/>
      <c r="K68" s="101"/>
    </row>
    <row r="69" spans="1:11" x14ac:dyDescent="0.2">
      <c r="A69" s="66" t="s">
        <v>264</v>
      </c>
      <c r="B69" s="67" t="s">
        <v>31</v>
      </c>
      <c r="C69" s="32">
        <f>IF(1536.38178="","-",1536.38178)</f>
        <v>1536.3817799999999</v>
      </c>
      <c r="D69" s="28" t="s">
        <v>313</v>
      </c>
      <c r="E69" s="28">
        <f>IF(354.8937="","-",354.8937/1331502.34087*100)</f>
        <v>2.6653629445977052E-2</v>
      </c>
      <c r="F69" s="28">
        <f>IF(1536.38178="","-",1536.38178/2290386.35979*100)</f>
        <v>6.7079590019077262E-2</v>
      </c>
      <c r="G69" s="28">
        <f>IF(OR(1170176.53664="",260.48524="",354.8937=""),"-",(354.8937-260.48524)/1170176.53664*100)</f>
        <v>8.0678818147457369E-3</v>
      </c>
      <c r="H69" s="28">
        <f>IF(OR(1331502.34087="",1536.38178="",354.8937=""),"-",(1536.38178-354.8937)/1331502.34087*100)</f>
        <v>8.8733458720622216E-2</v>
      </c>
      <c r="I69" s="66"/>
      <c r="J69" s="67"/>
      <c r="K69" s="101"/>
    </row>
    <row r="70" spans="1:11" x14ac:dyDescent="0.2">
      <c r="A70" s="62" t="s">
        <v>265</v>
      </c>
      <c r="B70" s="63" t="s">
        <v>32</v>
      </c>
      <c r="C70" s="20">
        <f>IF(311251.71064="","-",311251.71064)</f>
        <v>311251.71064</v>
      </c>
      <c r="D70" s="26">
        <f>IF(289722.08407="","-",311251.71064/289722.08407*100)</f>
        <v>107.43113064339211</v>
      </c>
      <c r="E70" s="26">
        <f>IF(289722.08407="","-",289722.08407/1331502.34087*100)</f>
        <v>21.759036779514513</v>
      </c>
      <c r="F70" s="26">
        <f>IF(311251.71064="","-",311251.71064/2290386.35979*100)</f>
        <v>13.589484992765058</v>
      </c>
      <c r="G70" s="26">
        <f>IF(1170176.53664="","-",(289722.08407-222331.20918)/1170176.53664*100)</f>
        <v>5.7590348789169497</v>
      </c>
      <c r="H70" s="26">
        <f>IF(1331502.34087="","-",(311251.71064-289722.08407)/1331502.34087*100)</f>
        <v>1.6169424498294629</v>
      </c>
      <c r="I70" s="62"/>
      <c r="J70" s="63"/>
      <c r="K70" s="100"/>
    </row>
    <row r="71" spans="1:11" ht="48" x14ac:dyDescent="0.2">
      <c r="A71" s="66" t="s">
        <v>266</v>
      </c>
      <c r="B71" s="67" t="s">
        <v>192</v>
      </c>
      <c r="C71" s="32">
        <f>IF(8464.71274="","-",8464.71274)</f>
        <v>8464.7127400000008</v>
      </c>
      <c r="D71" s="28">
        <f>IF(OR(8529.52231="",8464.71274=""),"-",8464.71274/8529.52231*100)</f>
        <v>99.240173509787098</v>
      </c>
      <c r="E71" s="28">
        <f>IF(8529.52231="","-",8529.52231/1331502.34087*100)</f>
        <v>0.64059386515436645</v>
      </c>
      <c r="F71" s="28">
        <f>IF(8464.71274="","-",8464.71274/2290386.35979*100)</f>
        <v>0.36957575754931188</v>
      </c>
      <c r="G71" s="28">
        <f>IF(OR(1170176.53664="",5390.95211="",8529.52231=""),"-",(8529.52231-5390.95211)/1170176.53664*100)</f>
        <v>0.26821339359717211</v>
      </c>
      <c r="H71" s="28">
        <f>IF(OR(1331502.34087="",8464.71274="",8529.52231=""),"-",(8464.71274-8529.52231)/1331502.34087*100)</f>
        <v>-4.8674018821215923E-3</v>
      </c>
      <c r="I71" s="66"/>
      <c r="J71" s="67"/>
      <c r="K71" s="101"/>
    </row>
    <row r="72" spans="1:11" x14ac:dyDescent="0.2">
      <c r="A72" s="66" t="s">
        <v>267</v>
      </c>
      <c r="B72" s="67" t="s">
        <v>167</v>
      </c>
      <c r="C72" s="32">
        <f>IF(74944.9909="","-",74944.9909)</f>
        <v>74944.990900000004</v>
      </c>
      <c r="D72" s="28">
        <f>IF(OR(80487.04112="",74944.9909=""),"-",74944.9909/80487.04112*100)</f>
        <v>93.11435711528118</v>
      </c>
      <c r="E72" s="28">
        <f>IF(80487.04112="","-",80487.04112/1331502.34087*100)</f>
        <v>6.0448291114088457</v>
      </c>
      <c r="F72" s="28">
        <f>IF(74944.9909="","-",74944.9909/2290386.35979*100)</f>
        <v>3.2721549610901248</v>
      </c>
      <c r="G72" s="28">
        <f>IF(OR(1170176.53664="",53479.91649="",80487.04112=""),"-",(80487.04112-53479.91649)/1170176.53664*100)</f>
        <v>2.3079530125896399</v>
      </c>
      <c r="H72" s="28">
        <f>IF(OR(1331502.34087="",74944.9909="",80487.04112=""),"-",(74944.9909-80487.04112)/1331502.34087*100)</f>
        <v>-0.41622534560313501</v>
      </c>
      <c r="I72" s="66"/>
      <c r="J72" s="67"/>
      <c r="K72" s="101"/>
    </row>
    <row r="73" spans="1:11" x14ac:dyDescent="0.2">
      <c r="A73" s="66" t="s">
        <v>268</v>
      </c>
      <c r="B73" s="67" t="s">
        <v>168</v>
      </c>
      <c r="C73" s="32">
        <f>IF(7796.05416="","-",7796.05416)</f>
        <v>7796.0541599999997</v>
      </c>
      <c r="D73" s="28">
        <f>IF(OR(7775.14633="",7796.05416=""),"-",7796.05416/7775.14633*100)</f>
        <v>100.26890593581921</v>
      </c>
      <c r="E73" s="28">
        <f>IF(7775.14633="","-",7775.14633/1331502.34087*100)</f>
        <v>0.58393786412119564</v>
      </c>
      <c r="F73" s="28">
        <f>IF(7796.05416="","-",7796.05416/2290386.35979*100)</f>
        <v>0.34038161844077697</v>
      </c>
      <c r="G73" s="28">
        <f>IF(OR(1170176.53664="",6221.75319="",7775.14633=""),"-",(7775.14633-6221.75319)/1170176.53664*100)</f>
        <v>0.13274861453472248</v>
      </c>
      <c r="H73" s="28">
        <f>IF(OR(1331502.34087="",7796.05416="",7775.14633=""),"-",(7796.05416-7775.14633)/1331502.34087*100)</f>
        <v>1.5702435781178564E-3</v>
      </c>
      <c r="I73" s="66"/>
      <c r="J73" s="67"/>
      <c r="K73" s="101"/>
    </row>
    <row r="74" spans="1:11" x14ac:dyDescent="0.2">
      <c r="A74" s="66" t="s">
        <v>269</v>
      </c>
      <c r="B74" s="67" t="s">
        <v>169</v>
      </c>
      <c r="C74" s="32">
        <f>IF(147498.79789="","-",147498.79789)</f>
        <v>147498.79788999999</v>
      </c>
      <c r="D74" s="28">
        <f>IF(OR(131432.68756="",147498.79789=""),"-",147498.79789/131432.68756*100)</f>
        <v>112.22383155078199</v>
      </c>
      <c r="E74" s="28">
        <f>IF(131432.68756="","-",131432.68756/1331502.34087*100)</f>
        <v>9.8710068713902697</v>
      </c>
      <c r="F74" s="28">
        <f>IF(147498.79789="","-",147498.79789/2290386.35979*100)</f>
        <v>6.4399090249351545</v>
      </c>
      <c r="G74" s="28">
        <f>IF(OR(1170176.53664="",105212.02939="",131432.68756=""),"-",(131432.68756-105212.02939)/1170176.53664*100)</f>
        <v>2.2407437979647913</v>
      </c>
      <c r="H74" s="28">
        <f>IF(OR(1331502.34087="",147498.79789="",131432.68756=""),"-",(147498.79789-131432.68756)/1331502.34087*100)</f>
        <v>1.2066152523248621</v>
      </c>
      <c r="I74" s="66"/>
      <c r="J74" s="67"/>
      <c r="K74" s="101"/>
    </row>
    <row r="75" spans="1:11" x14ac:dyDescent="0.2">
      <c r="A75" s="66" t="s">
        <v>270</v>
      </c>
      <c r="B75" s="67" t="s">
        <v>170</v>
      </c>
      <c r="C75" s="32">
        <f>IF(19801.10447="","-",19801.10447)</f>
        <v>19801.104469999998</v>
      </c>
      <c r="D75" s="28">
        <f>IF(OR(18332.26026="",19801.10447=""),"-",19801.10447/18332.26026*100)</f>
        <v>108.01234648192803</v>
      </c>
      <c r="E75" s="28">
        <f>IF(18332.26026="","-",18332.26026/1331502.34087*100)</f>
        <v>1.3768102163471791</v>
      </c>
      <c r="F75" s="28">
        <f>IF(19801.10447="","-",19801.10447/2290386.35979*100)</f>
        <v>0.86453119079068874</v>
      </c>
      <c r="G75" s="28">
        <f>IF(OR(1170176.53664="",14851.61307="",18332.26026=""),"-",(18332.26026-14851.61307)/1170176.53664*100)</f>
        <v>0.29744633232812856</v>
      </c>
      <c r="H75" s="28">
        <f>IF(OR(1331502.34087="",19801.10447="",18332.26026=""),"-",(19801.10447-18332.26026)/1331502.34087*100)</f>
        <v>0.11031480493231884</v>
      </c>
      <c r="I75" s="66"/>
      <c r="J75" s="67"/>
      <c r="K75" s="101"/>
    </row>
    <row r="76" spans="1:11" ht="24" x14ac:dyDescent="0.2">
      <c r="A76" s="66" t="s">
        <v>271</v>
      </c>
      <c r="B76" s="67" t="s">
        <v>193</v>
      </c>
      <c r="C76" s="32">
        <f>IF(10307.11952="","-",10307.11952)</f>
        <v>10307.11952</v>
      </c>
      <c r="D76" s="28">
        <f>IF(OR(12044.10457="",10307.11952=""),"-",10307.11952/12044.10457*100)</f>
        <v>85.578130446271956</v>
      </c>
      <c r="E76" s="28">
        <f>IF(12044.10457="","-",12044.10457/1331502.34087*100)</f>
        <v>0.90455001093955378</v>
      </c>
      <c r="F76" s="28">
        <f>IF(10307.11952="","-",10307.11952/2290386.35979*100)</f>
        <v>0.45001663042321977</v>
      </c>
      <c r="G76" s="28">
        <f>IF(OR(1170176.53664="",8879.39213="",12044.10457=""),"-",(12044.10457-8879.39213)/1170176.53664*100)</f>
        <v>0.27044743599859156</v>
      </c>
      <c r="H76" s="28">
        <f>IF(OR(1331502.34087="",10307.11952="",12044.10457=""),"-",(10307.11952-12044.10457)/1331502.34087*100)</f>
        <v>-0.13045302262593533</v>
      </c>
      <c r="I76" s="66"/>
      <c r="J76" s="67"/>
      <c r="K76" s="101"/>
    </row>
    <row r="77" spans="1:11" ht="15.75" customHeight="1" x14ac:dyDescent="0.2">
      <c r="A77" s="66" t="s">
        <v>272</v>
      </c>
      <c r="B77" s="67" t="s">
        <v>171</v>
      </c>
      <c r="C77" s="32">
        <f>IF(2339.434="","-",2339.434)</f>
        <v>2339.4340000000002</v>
      </c>
      <c r="D77" s="28">
        <f>IF(OR(1557.42665="",2339.434=""),"-",2339.434/1557.42665*100)</f>
        <v>150.21150434275668</v>
      </c>
      <c r="E77" s="28">
        <f>IF(1557.42665="","-",1557.42665/1331502.34087*100)</f>
        <v>0.11696762387833144</v>
      </c>
      <c r="F77" s="28">
        <f>IF(2339.434="","-",2339.434/2290386.35979*100)</f>
        <v>0.10214145705157347</v>
      </c>
      <c r="G77" s="28">
        <f>IF(OR(1170176.53664="",1483.85991="",1557.42665=""),"-",(1557.42665-1483.85991)/1170176.53664*100)</f>
        <v>6.2868069642924929E-3</v>
      </c>
      <c r="H77" s="28">
        <f>IF(OR(1331502.34087="",2339.434="",1557.42665=""),"-",(2339.434-1557.42665)/1331502.34087*100)</f>
        <v>5.8731203543287702E-2</v>
      </c>
      <c r="I77" s="66"/>
      <c r="J77" s="67"/>
      <c r="K77" s="101"/>
    </row>
    <row r="78" spans="1:11" x14ac:dyDescent="0.2">
      <c r="A78" s="66" t="s">
        <v>273</v>
      </c>
      <c r="B78" s="67" t="s">
        <v>33</v>
      </c>
      <c r="C78" s="32">
        <f>IF(40099.49696="","-",40099.49696)</f>
        <v>40099.496959999997</v>
      </c>
      <c r="D78" s="28">
        <f>IF(OR(29563.89527="",40099.49696=""),"-",40099.49696/29563.89527*100)</f>
        <v>135.63671699476967</v>
      </c>
      <c r="E78" s="28">
        <f>IF(29563.89527="","-",29563.89527/1331502.34087*100)</f>
        <v>2.2203412162747704</v>
      </c>
      <c r="F78" s="28">
        <f>IF(40099.49696="","-",40099.49696/2290386.35979*100)</f>
        <v>1.7507743524842079</v>
      </c>
      <c r="G78" s="28">
        <f>IF(OR(1170176.53664="",26811.69289="",29563.89527=""),"-",(29563.89527-26811.69289)/1170176.53664*100)</f>
        <v>0.23519548493961179</v>
      </c>
      <c r="H78" s="28">
        <f>IF(OR(1331502.34087="",40099.49696="",29563.89527=""),"-",(40099.49696-29563.89527)/1331502.34087*100)</f>
        <v>0.79125671556206678</v>
      </c>
      <c r="I78" s="66"/>
      <c r="J78" s="67"/>
      <c r="K78" s="101"/>
    </row>
    <row r="79" spans="1:11" ht="24" x14ac:dyDescent="0.2">
      <c r="A79" s="70" t="s">
        <v>276</v>
      </c>
      <c r="B79" s="71" t="s">
        <v>172</v>
      </c>
      <c r="C79" s="20">
        <f>IF(1975.44549="","-",1975.44549)</f>
        <v>1975.4454900000001</v>
      </c>
      <c r="D79" s="26" t="s">
        <v>399</v>
      </c>
      <c r="E79" s="26">
        <f>IF(358.32461="","-",358.32461/1331502.34087*100)</f>
        <v>2.6911301542727417E-2</v>
      </c>
      <c r="F79" s="26">
        <f>IF(1975.44549="","-",1975.44549/2290386.35979*100)</f>
        <v>8.6249443529742467E-2</v>
      </c>
      <c r="G79" s="26">
        <f>IF(1170176.53664="","-",(358.32461-187.21487)/1170176.53664*100)</f>
        <v>1.4622557763063508E-2</v>
      </c>
      <c r="H79" s="26">
        <f>IF(1331502.34087="","-",(1975.44549-358.32461)/1331502.34087*100)</f>
        <v>0.12145084769008951</v>
      </c>
      <c r="I79" s="66"/>
      <c r="J79" s="67"/>
      <c r="K79" s="101"/>
    </row>
    <row r="80" spans="1:11" x14ac:dyDescent="0.2">
      <c r="A80" s="103" t="s">
        <v>307</v>
      </c>
      <c r="B80" s="104" t="s">
        <v>308</v>
      </c>
      <c r="C80" s="32">
        <f>IF(720.30452="","-",720.30452)</f>
        <v>720.30452000000002</v>
      </c>
      <c r="D80" s="28" t="s">
        <v>18</v>
      </c>
      <c r="E80" s="28">
        <f>IF(358.32461="","-",358.32461/1331502.34087*100)</f>
        <v>2.6911301542727417E-2</v>
      </c>
      <c r="F80" s="28">
        <f>IF(720.30452="","-",720.30452/2290386.35979*100)</f>
        <v>3.1449039893253775E-2</v>
      </c>
      <c r="G80" s="28">
        <f>IF(OR(1170176.53664="",187.21487="",358.32461=""),"-",(358.32461-187.21487)/1170176.53664*100)</f>
        <v>1.4622557763063508E-2</v>
      </c>
      <c r="H80" s="28">
        <f>IF(OR(1331502.34087="",720.30452="",358.32461=""),"-",(720.30452-358.32461)/1331502.34087*100)</f>
        <v>2.7185826031930468E-2</v>
      </c>
      <c r="I80" s="66"/>
      <c r="J80" s="67"/>
      <c r="K80" s="101"/>
    </row>
    <row r="81" spans="1:11" ht="24" x14ac:dyDescent="0.2">
      <c r="A81" s="75" t="s">
        <v>309</v>
      </c>
      <c r="B81" s="76" t="s">
        <v>315</v>
      </c>
      <c r="C81" s="96">
        <f>IF(1255.14097="","-",1255.14097)</f>
        <v>1255.1409699999999</v>
      </c>
      <c r="D81" s="40" t="str">
        <f>IF(OR(""="",1255.14097=""),"-",1255.14097/""*100)</f>
        <v>-</v>
      </c>
      <c r="E81" s="40" t="str">
        <f>IF(""="","-",""/1331502.34087*100)</f>
        <v>-</v>
      </c>
      <c r="F81" s="40">
        <f>IF(1255.14097="","-",1255.14097/2290386.35979*100)</f>
        <v>5.4800403636488686E-2</v>
      </c>
      <c r="G81" s="40" t="str">
        <f>IF(OR(1170176.53664="",""="",""=""),"-",(""-"")/1170176.53664*100)</f>
        <v>-</v>
      </c>
      <c r="H81" s="40" t="str">
        <f>IF(OR(1331502.34087="",1255.14097="",""=""),"-",(1255.14097-"")/1331502.34087*100)</f>
        <v>-</v>
      </c>
      <c r="I81" s="66"/>
      <c r="J81" s="67"/>
      <c r="K81" s="101"/>
    </row>
    <row r="82" spans="1:11" x14ac:dyDescent="0.2">
      <c r="A82" s="41" t="s">
        <v>279</v>
      </c>
      <c r="B82" s="42"/>
      <c r="C82" s="105"/>
      <c r="D82" s="106"/>
      <c r="E82" s="106"/>
      <c r="F82" s="106"/>
      <c r="G82" s="106"/>
      <c r="H82" s="106"/>
      <c r="I82" s="18"/>
      <c r="J82" s="18"/>
      <c r="K82" s="18"/>
    </row>
    <row r="83" spans="1:11" ht="13.5" x14ac:dyDescent="0.2">
      <c r="A83" s="42" t="s">
        <v>414</v>
      </c>
      <c r="B83" s="42"/>
      <c r="C83" s="18"/>
      <c r="D83" s="18"/>
      <c r="E83" s="18"/>
      <c r="F83" s="18"/>
      <c r="G83" s="18"/>
      <c r="H83" s="18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84"/>
  <sheetViews>
    <sheetView zoomScaleNormal="100" workbookViewId="0">
      <selection sqref="A1:H1"/>
    </sheetView>
  </sheetViews>
  <sheetFormatPr defaultRowHeight="12" x14ac:dyDescent="0.2"/>
  <cols>
    <col min="1" max="1" width="5.25" style="3" customWidth="1"/>
    <col min="2" max="2" width="26.125" style="3" customWidth="1"/>
    <col min="3" max="3" width="11.5" style="3" customWidth="1"/>
    <col min="4" max="4" width="11.375" style="3" customWidth="1"/>
    <col min="5" max="5" width="7.75" style="3" customWidth="1"/>
    <col min="6" max="6" width="7.875" style="3" customWidth="1"/>
    <col min="7" max="7" width="8.125" style="3" customWidth="1"/>
    <col min="8" max="8" width="9" style="3" customWidth="1"/>
    <col min="9" max="16384" width="9" style="3"/>
  </cols>
  <sheetData>
    <row r="1" spans="1:13" x14ac:dyDescent="0.2">
      <c r="B1" s="44" t="s">
        <v>416</v>
      </c>
      <c r="C1" s="44"/>
      <c r="D1" s="44"/>
      <c r="E1" s="44"/>
      <c r="F1" s="44"/>
      <c r="G1" s="44"/>
      <c r="H1" s="44"/>
    </row>
    <row r="2" spans="1:13" x14ac:dyDescent="0.2">
      <c r="B2" s="44" t="s">
        <v>278</v>
      </c>
      <c r="C2" s="44"/>
      <c r="D2" s="44"/>
      <c r="E2" s="44"/>
      <c r="F2" s="44"/>
      <c r="G2" s="44"/>
      <c r="H2" s="44"/>
    </row>
    <row r="3" spans="1:13" x14ac:dyDescent="0.2">
      <c r="B3" s="45"/>
    </row>
    <row r="4" spans="1:13" ht="57.75" customHeight="1" x14ac:dyDescent="0.2">
      <c r="A4" s="81" t="s">
        <v>204</v>
      </c>
      <c r="B4" s="82"/>
      <c r="C4" s="83" t="s">
        <v>342</v>
      </c>
      <c r="D4" s="48"/>
      <c r="E4" s="83" t="s">
        <v>0</v>
      </c>
      <c r="F4" s="48"/>
      <c r="G4" s="49" t="s">
        <v>113</v>
      </c>
      <c r="H4" s="84"/>
    </row>
    <row r="5" spans="1:13" ht="19.5" customHeight="1" x14ac:dyDescent="0.2">
      <c r="A5" s="85"/>
      <c r="B5" s="86"/>
      <c r="C5" s="87" t="s">
        <v>105</v>
      </c>
      <c r="D5" s="46" t="s">
        <v>411</v>
      </c>
      <c r="E5" s="88" t="s">
        <v>343</v>
      </c>
      <c r="F5" s="88"/>
      <c r="G5" s="88" t="s">
        <v>417</v>
      </c>
      <c r="H5" s="83"/>
    </row>
    <row r="6" spans="1:13" ht="33" customHeight="1" x14ac:dyDescent="0.2">
      <c r="A6" s="89"/>
      <c r="B6" s="90"/>
      <c r="C6" s="91"/>
      <c r="D6" s="50"/>
      <c r="E6" s="92" t="s">
        <v>300</v>
      </c>
      <c r="F6" s="92" t="s">
        <v>301</v>
      </c>
      <c r="G6" s="92" t="s">
        <v>300</v>
      </c>
      <c r="H6" s="52" t="s">
        <v>301</v>
      </c>
    </row>
    <row r="7" spans="1:13" x14ac:dyDescent="0.2">
      <c r="A7" s="93"/>
      <c r="B7" s="55" t="s">
        <v>117</v>
      </c>
      <c r="C7" s="94">
        <f>IF(4347054.06049="","-",4347054.06049)</f>
        <v>4347054.0604900001</v>
      </c>
      <c r="D7" s="21">
        <f>IF(3266113.78787="","-",4347054.06049/3266113.78787*100)</f>
        <v>133.09560973149487</v>
      </c>
      <c r="E7" s="21">
        <v>100</v>
      </c>
      <c r="F7" s="21">
        <v>100</v>
      </c>
      <c r="G7" s="21">
        <f>IF(2393616.81978="","-",(3266113.78787-2393616.81978)/2393616.81978*100)</f>
        <v>36.450987513122186</v>
      </c>
      <c r="H7" s="21">
        <f>IF(3266113.78787="","-",(4347054.06049-3266113.78787)/3266113.78787*100)</f>
        <v>33.095609731494882</v>
      </c>
      <c r="I7" s="95"/>
      <c r="J7" s="95"/>
      <c r="K7" s="95"/>
      <c r="L7" s="95"/>
      <c r="M7" s="95"/>
    </row>
    <row r="8" spans="1:13" ht="12" customHeight="1" x14ac:dyDescent="0.2">
      <c r="A8" s="62" t="s">
        <v>205</v>
      </c>
      <c r="B8" s="63" t="s">
        <v>173</v>
      </c>
      <c r="C8" s="20">
        <f>IF(462408.17727="","-",462408.17727)</f>
        <v>462408.17726999999</v>
      </c>
      <c r="D8" s="26">
        <f>IF(375754.11994="","-",462408.17727/375754.11994*100)</f>
        <v>123.06137251238572</v>
      </c>
      <c r="E8" s="26">
        <f>IF(375754.11994="","-",375754.11994/3266113.78787*100)</f>
        <v>11.504624282702915</v>
      </c>
      <c r="F8" s="26">
        <f>IF(462408.17727="","-",462408.17727/4347054.06049*100)</f>
        <v>10.6372768968481</v>
      </c>
      <c r="G8" s="26">
        <f>IF(2393616.81978="","-",(375754.11994-316916.09093)/2393616.81978*100)</f>
        <v>2.4581223077889245</v>
      </c>
      <c r="H8" s="26">
        <f>IF(3266113.78787="","-",(462408.17727-375754.11994)/3266113.78787*100)</f>
        <v>2.6531242619845012</v>
      </c>
    </row>
    <row r="9" spans="1:13" x14ac:dyDescent="0.2">
      <c r="A9" s="66" t="s">
        <v>206</v>
      </c>
      <c r="B9" s="67" t="s">
        <v>21</v>
      </c>
      <c r="C9" s="32">
        <f>IF(4773.56368="","-",4773.56368)</f>
        <v>4773.5636800000002</v>
      </c>
      <c r="D9" s="28" t="s">
        <v>195</v>
      </c>
      <c r="E9" s="28">
        <f>IF(2595.32069="","-",2595.32069/3266113.78787*100)</f>
        <v>7.9462041391170926E-2</v>
      </c>
      <c r="F9" s="28">
        <f>IF(4773.56368="","-",4773.56368/4347054.06049*100)</f>
        <v>0.10981146343190229</v>
      </c>
      <c r="G9" s="28">
        <f>IF(OR(2393616.81978="",3639.08919="",2595.32069=""),"-",(2595.32069-3639.08919)/2393616.81978*100)</f>
        <v>-4.3606332115260375E-2</v>
      </c>
      <c r="H9" s="28">
        <f>IF(OR(3266113.78787="",4773.56368="",2595.32069=""),"-",(4773.56368-2595.32069)/3266113.78787*100)</f>
        <v>6.6692195418596972E-2</v>
      </c>
    </row>
    <row r="10" spans="1:13" ht="14.25" customHeight="1" x14ac:dyDescent="0.2">
      <c r="A10" s="66" t="s">
        <v>207</v>
      </c>
      <c r="B10" s="67" t="s">
        <v>174</v>
      </c>
      <c r="C10" s="32">
        <f>IF(43680.52737="","-",43680.52737)</f>
        <v>43680.527370000003</v>
      </c>
      <c r="D10" s="28" t="s">
        <v>100</v>
      </c>
      <c r="E10" s="28">
        <f>IF(26695.85792="","-",26695.85792/3266113.78787*100)</f>
        <v>0.81735847719530108</v>
      </c>
      <c r="F10" s="28">
        <f>IF(43680.52737="","-",43680.52737/4347054.06049*100)</f>
        <v>1.0048305533397561</v>
      </c>
      <c r="G10" s="28">
        <f>IF(OR(2393616.81978="",17837.44954="",26695.85792=""),"-",(26695.85792-17837.44954)/2393616.81978*100)</f>
        <v>0.37008464791846607</v>
      </c>
      <c r="H10" s="28">
        <f>IF(OR(3266113.78787="",43680.52737="",26695.85792=""),"-",(43680.52737-26695.85792)/3266113.78787*100)</f>
        <v>0.52002687454060126</v>
      </c>
    </row>
    <row r="11" spans="1:13" s="31" customFormat="1" x14ac:dyDescent="0.2">
      <c r="A11" s="66" t="s">
        <v>208</v>
      </c>
      <c r="B11" s="67" t="s">
        <v>175</v>
      </c>
      <c r="C11" s="32">
        <f>IF(58932.90991="","-",58932.90991)</f>
        <v>58932.909910000002</v>
      </c>
      <c r="D11" s="28">
        <f>IF(OR(43497.62524="",58932.90991=""),"-",58932.90991/43497.62524*100)</f>
        <v>135.48535025725005</v>
      </c>
      <c r="E11" s="28">
        <f>IF(43497.62524="","-",43497.62524/3266113.78787*100)</f>
        <v>1.3317853591490156</v>
      </c>
      <c r="F11" s="28">
        <f>IF(58932.90991="","-",58932.90991/4347054.06049*100)</f>
        <v>1.3556976538579573</v>
      </c>
      <c r="G11" s="28">
        <f>IF(OR(2393616.81978="",39418.26196="",43497.62524=""),"-",(43497.62524-39418.26196)/2393616.81978*100)</f>
        <v>0.17042674693332646</v>
      </c>
      <c r="H11" s="28">
        <f>IF(OR(3266113.78787="",58932.90991="",43497.62524=""),"-",(58932.90991-43497.62524)/3266113.78787*100)</f>
        <v>0.47258869936880366</v>
      </c>
    </row>
    <row r="12" spans="1:13" s="31" customFormat="1" x14ac:dyDescent="0.2">
      <c r="A12" s="66" t="s">
        <v>209</v>
      </c>
      <c r="B12" s="67" t="s">
        <v>176</v>
      </c>
      <c r="C12" s="32">
        <f>IF(38131.08408="","-",38131.08408)</f>
        <v>38131.084080000001</v>
      </c>
      <c r="D12" s="28">
        <f>IF(OR(33787.81085="",38131.08408=""),"-",38131.08408/33787.81085*100)</f>
        <v>112.85455648275598</v>
      </c>
      <c r="E12" s="28">
        <f>IF(33787.81085="","-",33787.81085/3266113.78787*100)</f>
        <v>1.0344958272882085</v>
      </c>
      <c r="F12" s="28">
        <f>IF(38131.08408="","-",38131.08408/4347054.06049*100)</f>
        <v>0.87717068960724776</v>
      </c>
      <c r="G12" s="28">
        <f>IF(OR(2393616.81978="",25686.31025="",33787.81085=""),"-",(33787.81085-25686.31025)/2393616.81978*100)</f>
        <v>0.33846272022539597</v>
      </c>
      <c r="H12" s="28">
        <f>IF(OR(3266113.78787="",38131.08408="",33787.81085=""),"-",(38131.08408-33787.81085)/3266113.78787*100)</f>
        <v>0.13297985043051636</v>
      </c>
    </row>
    <row r="13" spans="1:13" s="31" customFormat="1" ht="15" customHeight="1" x14ac:dyDescent="0.2">
      <c r="A13" s="66" t="s">
        <v>210</v>
      </c>
      <c r="B13" s="67" t="s">
        <v>177</v>
      </c>
      <c r="C13" s="32">
        <f>IF(77000.95761="","-",77000.95761)</f>
        <v>77000.957609999998</v>
      </c>
      <c r="D13" s="28">
        <f>IF(OR(55009.23357="",77000.95761=""),"-",77000.95761/55009.23357*100)</f>
        <v>139.97824112931011</v>
      </c>
      <c r="E13" s="28">
        <f>IF(55009.23357="","-",55009.23357/3266113.78787*100)</f>
        <v>1.6842411851754353</v>
      </c>
      <c r="F13" s="28">
        <f>IF(77000.95761="","-",77000.95761/4347054.06049*100)</f>
        <v>1.7713365543312438</v>
      </c>
      <c r="G13" s="28">
        <f>IF(OR(2393616.81978="",50087.81655="",55009.23357=""),"-",(55009.23357-50087.81655)/2393616.81978*100)</f>
        <v>0.20560588392140086</v>
      </c>
      <c r="H13" s="28">
        <f>IF(OR(3266113.78787="",77000.95761="",55009.23357=""),"-",(77000.95761-55009.23357)/3266113.78787*100)</f>
        <v>0.67333000220858596</v>
      </c>
    </row>
    <row r="14" spans="1:13" s="31" customFormat="1" ht="14.25" customHeight="1" x14ac:dyDescent="0.2">
      <c r="A14" s="66" t="s">
        <v>211</v>
      </c>
      <c r="B14" s="67" t="s">
        <v>178</v>
      </c>
      <c r="C14" s="32">
        <f>IF(108610.93298="","-",108610.93298)</f>
        <v>108610.93298</v>
      </c>
      <c r="D14" s="28">
        <f>IF(OR(101371.66627="",108610.93298=""),"-",108610.93298/101371.66627*100)</f>
        <v>107.14131174555072</v>
      </c>
      <c r="E14" s="28">
        <f>IF(101371.66627="","-",101371.66627/3266113.78787*100)</f>
        <v>3.1037395771844696</v>
      </c>
      <c r="F14" s="28">
        <f>IF(108610.93298="","-",108610.93298/4347054.06049*100)</f>
        <v>2.4984951065402066</v>
      </c>
      <c r="G14" s="28">
        <f>IF(OR(2393616.81978="",91797.37015="",101371.66627=""),"-",(101371.66627-91797.37015)/2393616.81978*100)</f>
        <v>0.39999284935171803</v>
      </c>
      <c r="H14" s="28">
        <f>IF(OR(3266113.78787="",108610.93298="",101371.66627=""),"-",(108610.93298-101371.66627)/3266113.78787*100)</f>
        <v>0.22164771897678104</v>
      </c>
    </row>
    <row r="15" spans="1:13" s="31" customFormat="1" ht="24" x14ac:dyDescent="0.2">
      <c r="A15" s="66" t="s">
        <v>212</v>
      </c>
      <c r="B15" s="67" t="s">
        <v>136</v>
      </c>
      <c r="C15" s="32">
        <f>IF(10529.36102="","-",10529.36102)</f>
        <v>10529.36102</v>
      </c>
      <c r="D15" s="28">
        <f>IF(OR(9666.38567="",10529.36102=""),"-",10529.36102/9666.38567*100)</f>
        <v>108.92759071964487</v>
      </c>
      <c r="E15" s="28">
        <f>IF(9666.38567="","-",9666.38567/3266113.78787*100)</f>
        <v>0.29595985620280379</v>
      </c>
      <c r="F15" s="28">
        <f>IF(10529.36102="","-",10529.36102/4347054.06049*100)</f>
        <v>0.24221831321815054</v>
      </c>
      <c r="G15" s="28">
        <f>IF(OR(2393616.81978="",8568.60403="",9666.38567=""),"-",(9666.38567-8568.60403)/2393616.81978*100)</f>
        <v>4.5862881265218446E-2</v>
      </c>
      <c r="H15" s="28">
        <f>IF(OR(3266113.78787="",10529.36102="",9666.38567=""),"-",(10529.36102-9666.38567)/3266113.78787*100)</f>
        <v>2.6422084656235783E-2</v>
      </c>
    </row>
    <row r="16" spans="1:13" s="31" customFormat="1" ht="24" x14ac:dyDescent="0.2">
      <c r="A16" s="66" t="s">
        <v>213</v>
      </c>
      <c r="B16" s="67" t="s">
        <v>179</v>
      </c>
      <c r="C16" s="32">
        <f>IF(32658.969="","-",32658.969)</f>
        <v>32658.969000000001</v>
      </c>
      <c r="D16" s="28">
        <f>IF(OR(30197.85893="",32658.969=""),"-",32658.969/30197.85893*100)</f>
        <v>108.14994889440661</v>
      </c>
      <c r="E16" s="28">
        <f>IF(30197.85893="","-",30197.85893/3266113.78787*100)</f>
        <v>0.92458073696487975</v>
      </c>
      <c r="F16" s="28">
        <f>IF(32658.969="","-",32658.969/4347054.06049*100)</f>
        <v>0.75128969057078354</v>
      </c>
      <c r="G16" s="28">
        <f>IF(OR(2393616.81978="",24086.08012="",30197.85893=""),"-",(30197.85893-24086.08012)/2393616.81978*100)</f>
        <v>0.25533655844554687</v>
      </c>
      <c r="H16" s="28">
        <f>IF(OR(3266113.78787="",32658.969="",30197.85893=""),"-",(32658.969-30197.85893)/3266113.78787*100)</f>
        <v>7.53528575501657E-2</v>
      </c>
    </row>
    <row r="17" spans="1:8" s="31" customFormat="1" ht="24" x14ac:dyDescent="0.2">
      <c r="A17" s="66" t="s">
        <v>214</v>
      </c>
      <c r="B17" s="67" t="s">
        <v>137</v>
      </c>
      <c r="C17" s="32">
        <f>IF(28123.28895="","-",28123.28895)</f>
        <v>28123.288949999998</v>
      </c>
      <c r="D17" s="28">
        <f>IF(OR(24285.15036="",28123.28895=""),"-",28123.28895/24285.15036*100)</f>
        <v>115.80446706363318</v>
      </c>
      <c r="E17" s="28">
        <f>IF(24285.15036="","-",24285.15036/3266113.78787*100)</f>
        <v>0.74354881480836554</v>
      </c>
      <c r="F17" s="28">
        <f>IF(28123.28895="","-",28123.28895/4347054.06049*100)</f>
        <v>0.64695052232292549</v>
      </c>
      <c r="G17" s="28">
        <f>IF(OR(2393616.81978="",18414.38084="",24285.15036=""),"-",(24285.15036-18414.38084)/2393616.81978*100)</f>
        <v>0.24526772503794431</v>
      </c>
      <c r="H17" s="28">
        <f>IF(OR(3266113.78787="",28123.28895="",24285.15036=""),"-",(28123.28895-24285.15036)/3266113.78787*100)</f>
        <v>0.11751392753842312</v>
      </c>
    </row>
    <row r="18" spans="1:8" s="31" customFormat="1" ht="24" x14ac:dyDescent="0.2">
      <c r="A18" s="66" t="s">
        <v>215</v>
      </c>
      <c r="B18" s="67" t="s">
        <v>180</v>
      </c>
      <c r="C18" s="32">
        <f>IF(59966.58267="","-",59966.58267)</f>
        <v>59966.582670000003</v>
      </c>
      <c r="D18" s="28">
        <f>IF(OR(48647.21044="",59966.58267=""),"-",59966.58267/48647.21044*100)</f>
        <v>123.26828635726395</v>
      </c>
      <c r="E18" s="28">
        <f>IF(48647.21044="","-",48647.21044/3266113.78787*100)</f>
        <v>1.4894524073432647</v>
      </c>
      <c r="F18" s="28">
        <f>IF(59966.58267="","-",59966.58267/4347054.06049*100)</f>
        <v>1.3794763496279263</v>
      </c>
      <c r="G18" s="28">
        <f>IF(OR(2393616.81978="",37380.7283="",48647.21044=""),"-",(48647.21044-37380.7283)/2393616.81978*100)</f>
        <v>0.47068862680516743</v>
      </c>
      <c r="H18" s="28">
        <f>IF(OR(3266113.78787="",59966.58267="",48647.21044=""),"-",(59966.58267-48647.21044)/3266113.78787*100)</f>
        <v>0.34657005129579216</v>
      </c>
    </row>
    <row r="19" spans="1:8" s="31" customFormat="1" x14ac:dyDescent="0.2">
      <c r="A19" s="62" t="s">
        <v>216</v>
      </c>
      <c r="B19" s="63" t="s">
        <v>181</v>
      </c>
      <c r="C19" s="20">
        <f>IF(58729.21274="","-",58729.21274)</f>
        <v>58729.212740000003</v>
      </c>
      <c r="D19" s="26">
        <f>IF(57276.87694="","-",58729.21274/57276.87694*100)</f>
        <v>102.53564069409961</v>
      </c>
      <c r="E19" s="26">
        <f>IF(57276.87694="","-",57276.87694/3266113.78787*100)</f>
        <v>1.7536705901894858</v>
      </c>
      <c r="F19" s="26">
        <f>IF(58729.21274="","-",58729.21274/4347054.06049*100)</f>
        <v>1.3510117868968954</v>
      </c>
      <c r="G19" s="26">
        <f>IF(2393616.81978="","-",(57276.87694-46767.95084)/2393616.81978*100)</f>
        <v>0.43903961624759513</v>
      </c>
      <c r="H19" s="26">
        <f>IF(3266113.78787="","-",(58729.21274-57276.87694)/3266113.78787*100)</f>
        <v>4.4466785125301563E-2</v>
      </c>
    </row>
    <row r="20" spans="1:8" s="31" customFormat="1" x14ac:dyDescent="0.2">
      <c r="A20" s="66" t="s">
        <v>217</v>
      </c>
      <c r="B20" s="67" t="s">
        <v>182</v>
      </c>
      <c r="C20" s="32">
        <f>IF(38877.34808="","-",38877.34808)</f>
        <v>38877.348080000003</v>
      </c>
      <c r="D20" s="28">
        <f>IF(OR(35412.33694="",38877.34808=""),"-",38877.34808/35412.33694*100)</f>
        <v>109.78475706325412</v>
      </c>
      <c r="E20" s="28">
        <f>IF(35412.33694="","-",35412.33694/3266113.78787*100)</f>
        <v>1.0842346360227149</v>
      </c>
      <c r="F20" s="28">
        <f>IF(38877.34808="","-",38877.34808/4347054.06049*100)</f>
        <v>0.8943378099056295</v>
      </c>
      <c r="G20" s="28">
        <f>IF(OR(2393616.81978="",23776.18203="",35412.33694=""),"-",(35412.33694-23776.18203)/2393616.81978*100)</f>
        <v>0.48613273494082032</v>
      </c>
      <c r="H20" s="28">
        <f>IF(OR(3266113.78787="",38877.34808="",35412.33694=""),"-",(38877.34808-35412.33694)/3266113.78787*100)</f>
        <v>0.10608972513048032</v>
      </c>
    </row>
    <row r="21" spans="1:8" s="31" customFormat="1" x14ac:dyDescent="0.2">
      <c r="A21" s="66" t="s">
        <v>218</v>
      </c>
      <c r="B21" s="67" t="s">
        <v>183</v>
      </c>
      <c r="C21" s="32">
        <f>IF(19851.86466="","-",19851.86466)</f>
        <v>19851.864659999999</v>
      </c>
      <c r="D21" s="28">
        <f>IF(OR(21864.54="",19851.86466=""),"-",19851.86466/21864.54*100)</f>
        <v>90.794796780540537</v>
      </c>
      <c r="E21" s="28">
        <f>IF(21864.54="","-",21864.54/3266113.78787*100)</f>
        <v>0.66943595416677093</v>
      </c>
      <c r="F21" s="28">
        <f>IF(19851.86466="","-",19851.86466/4347054.06049*100)</f>
        <v>0.45667397699126605</v>
      </c>
      <c r="G21" s="28">
        <f>IF(OR(2393616.81978="",22991.76881="",21864.54=""),"-",(21864.54-22991.76881)/2393616.81978*100)</f>
        <v>-4.7093118693225314E-2</v>
      </c>
      <c r="H21" s="28">
        <f>IF(OR(3266113.78787="",19851.86466="",21864.54=""),"-",(19851.86466-21864.54)/3266113.78787*100)</f>
        <v>-6.1622940005178761E-2</v>
      </c>
    </row>
    <row r="22" spans="1:8" s="31" customFormat="1" ht="24" x14ac:dyDescent="0.2">
      <c r="A22" s="62" t="s">
        <v>219</v>
      </c>
      <c r="B22" s="63" t="s">
        <v>22</v>
      </c>
      <c r="C22" s="20">
        <f>IF(156300.92408="","-",156300.92408)</f>
        <v>156300.92408</v>
      </c>
      <c r="D22" s="26">
        <f>IF(105361.52235="","-",156300.92408/105361.52235*100)</f>
        <v>148.34725295709435</v>
      </c>
      <c r="E22" s="26">
        <f>IF(105361.52235="","-",105361.52235/3266113.78787*100)</f>
        <v>3.2258987038755813</v>
      </c>
      <c r="F22" s="26">
        <f>IF(156300.92408="","-",156300.92408/4347054.06049*100)</f>
        <v>3.5955597033081697</v>
      </c>
      <c r="G22" s="26">
        <f>IF(2393616.81978="","-",(105361.52235-75514.10935)/2393616.81978*100)</f>
        <v>1.2469586925255358</v>
      </c>
      <c r="H22" s="26">
        <f>IF(3266113.78787="","-",(156300.92408-105361.52235)/3266113.78787*100)</f>
        <v>1.5596334065023554</v>
      </c>
    </row>
    <row r="23" spans="1:8" s="31" customFormat="1" ht="15.75" customHeight="1" x14ac:dyDescent="0.2">
      <c r="A23" s="66" t="s">
        <v>221</v>
      </c>
      <c r="B23" s="67" t="s">
        <v>184</v>
      </c>
      <c r="C23" s="32">
        <f>IF(83947.98007="","-",83947.98007)</f>
        <v>83947.980070000005</v>
      </c>
      <c r="D23" s="28" t="s">
        <v>194</v>
      </c>
      <c r="E23" s="28">
        <f>IF(39013.28396="","-",39013.28396/3266113.78787*100)</f>
        <v>1.1944863680160562</v>
      </c>
      <c r="F23" s="28">
        <f>IF(83947.98007="","-",83947.98007/4347054.06049*100)</f>
        <v>1.9311464477287266</v>
      </c>
      <c r="G23" s="28">
        <f>IF(OR(2393616.81978="",27453.04116="",39013.28396=""),"-",(39013.28396-27453.04116)/2393616.81978*100)</f>
        <v>0.4829612954116238</v>
      </c>
      <c r="H23" s="28">
        <f>IF(OR(3266113.78787="",83947.98007="",39013.28396=""),"-",(83947.98007-39013.28396)/3266113.78787*100)</f>
        <v>1.3757847713965967</v>
      </c>
    </row>
    <row r="24" spans="1:8" s="31" customFormat="1" ht="24" x14ac:dyDescent="0.2">
      <c r="A24" s="66" t="s">
        <v>274</v>
      </c>
      <c r="B24" s="67" t="s">
        <v>185</v>
      </c>
      <c r="C24" s="32">
        <f>IF(2081.16078="","-",2081.16078)</f>
        <v>2081.1607800000002</v>
      </c>
      <c r="D24" s="28" t="s">
        <v>18</v>
      </c>
      <c r="E24" s="28">
        <f>IF(1066.04154="","-",1066.04154/3266113.78787*100)</f>
        <v>3.2639448875270823E-2</v>
      </c>
      <c r="F24" s="28">
        <f>IF(2081.16078="","-",2081.16078/4347054.06049*100)</f>
        <v>4.787519895175657E-2</v>
      </c>
      <c r="G24" s="28">
        <f>IF(OR(2393616.81978="",652.67152="",1066.04154=""),"-",(1066.04154-652.67152)/2393616.81978*100)</f>
        <v>1.7269682289331224E-2</v>
      </c>
      <c r="H24" s="28">
        <f>IF(OR(3266113.78787="",2081.16078="",1066.04154=""),"-",(2081.16078-1066.04154)/3266113.78787*100)</f>
        <v>3.1080339079735841E-2</v>
      </c>
    </row>
    <row r="25" spans="1:8" s="31" customFormat="1" x14ac:dyDescent="0.2">
      <c r="A25" s="66" t="s">
        <v>222</v>
      </c>
      <c r="B25" s="67" t="s">
        <v>186</v>
      </c>
      <c r="C25" s="32">
        <f>IF(28665.2804="","-",28665.2804)</f>
        <v>28665.2804</v>
      </c>
      <c r="D25" s="28">
        <f>IF(OR(19389.80046="",28665.2804=""),"-",28665.2804/19389.80046*100)</f>
        <v>147.83690249486975</v>
      </c>
      <c r="E25" s="28">
        <f>IF(19389.80046="","-",19389.80046/3266113.78787*100)</f>
        <v>0.59366579731580882</v>
      </c>
      <c r="F25" s="28">
        <f>IF(28665.2804="","-",28665.2804/4347054.06049*100)</f>
        <v>0.65941853956996443</v>
      </c>
      <c r="G25" s="28">
        <f>IF(OR(2393616.81978="",15735.93886="",19389.80046=""),"-",(19389.80046-15735.93886)/2393616.81978*100)</f>
        <v>0.15265023080577406</v>
      </c>
      <c r="H25" s="28">
        <f>IF(OR(3266113.78787="",28665.2804="",19389.80046=""),"-",(28665.2804-19389.80046)/3266113.78787*100)</f>
        <v>0.28399132860735438</v>
      </c>
    </row>
    <row r="26" spans="1:8" s="31" customFormat="1" x14ac:dyDescent="0.2">
      <c r="A26" s="66" t="s">
        <v>223</v>
      </c>
      <c r="B26" s="67" t="s">
        <v>138</v>
      </c>
      <c r="C26" s="32">
        <f>IF(356.75739="","-",356.75739)</f>
        <v>356.75738999999999</v>
      </c>
      <c r="D26" s="28">
        <f>IF(OR(262.95085="",356.75739=""),"-",356.75739/262.95085*100)</f>
        <v>135.6745528679599</v>
      </c>
      <c r="E26" s="28">
        <f>IF(262.95085="","-",262.95085/3266113.78787*100)</f>
        <v>8.0508784163176288E-3</v>
      </c>
      <c r="F26" s="28">
        <f>IF(356.75739="","-",356.75739/4347054.06049*100)</f>
        <v>8.2068772330792291E-3</v>
      </c>
      <c r="G26" s="28">
        <f>IF(OR(2393616.81978="",187.27346="",262.95085=""),"-",(262.95085-187.27346)/2393616.81978*100)</f>
        <v>3.1616334483710556E-3</v>
      </c>
      <c r="H26" s="28">
        <f>IF(OR(3266113.78787="",356.75739="",262.95085=""),"-",(356.75739-262.95085)/3266113.78787*100)</f>
        <v>2.8721148769644072E-3</v>
      </c>
    </row>
    <row r="27" spans="1:8" s="31" customFormat="1" ht="14.25" customHeight="1" x14ac:dyDescent="0.2">
      <c r="A27" s="66" t="s">
        <v>224</v>
      </c>
      <c r="B27" s="67" t="s">
        <v>139</v>
      </c>
      <c r="C27" s="32">
        <f>IF(3962.63147="","-",3962.63147)</f>
        <v>3962.6314699999998</v>
      </c>
      <c r="D27" s="28">
        <f>IF(OR(5004.47062="",3962.63147=""),"-",3962.63147/5004.47062*100)</f>
        <v>79.181831024517038</v>
      </c>
      <c r="E27" s="28">
        <f>IF(5004.47062="","-",5004.47062/3266113.78787*100)</f>
        <v>0.15322401315551445</v>
      </c>
      <c r="F27" s="28">
        <f>IF(3962.63147="","-",3962.63147/4347054.06049*100)</f>
        <v>9.1156710150352538E-2</v>
      </c>
      <c r="G27" s="28">
        <f>IF(OR(2393616.81978="",3135.27397="",5004.47062=""),"-",(5004.47062-3135.27397)/2393616.81978*100)</f>
        <v>7.8090888840420147E-2</v>
      </c>
      <c r="H27" s="28">
        <f>IF(OR(3266113.78787="",3962.63147="",5004.47062=""),"-",(3962.63147-5004.47062)/3266113.78787*100)</f>
        <v>-3.1898433969731251E-2</v>
      </c>
    </row>
    <row r="28" spans="1:8" s="31" customFormat="1" ht="36" x14ac:dyDescent="0.2">
      <c r="A28" s="66" t="s">
        <v>225</v>
      </c>
      <c r="B28" s="67" t="s">
        <v>140</v>
      </c>
      <c r="C28" s="32">
        <f>IF(9167.74302="","-",9167.74302)</f>
        <v>9167.7430199999999</v>
      </c>
      <c r="D28" s="28">
        <f>IF(OR(9258.88479="",9167.74302=""),"-",9167.74302/9258.88479*100)</f>
        <v>99.015629073401612</v>
      </c>
      <c r="E28" s="28">
        <f>IF(9258.88479="","-",9258.88479/3266113.78787*100)</f>
        <v>0.28348322781608271</v>
      </c>
      <c r="F28" s="28">
        <f>IF(9167.74302="","-",9167.74302/4347054.06049*100)</f>
        <v>0.21089553735539721</v>
      </c>
      <c r="G28" s="28">
        <f>IF(OR(2393616.81978="",6675.38641="",9258.88479=""),"-",(9258.88479-6675.38641)/2393616.81978*100)</f>
        <v>0.10793283029476089</v>
      </c>
      <c r="H28" s="28">
        <f>IF(OR(3266113.78787="",9167.74302="",9258.88479=""),"-",(9167.74302-9258.88479)/3266113.78787*100)</f>
        <v>-2.7905264764041915E-3</v>
      </c>
    </row>
    <row r="29" spans="1:8" s="31" customFormat="1" ht="24" x14ac:dyDescent="0.2">
      <c r="A29" s="66" t="s">
        <v>226</v>
      </c>
      <c r="B29" s="67" t="s">
        <v>141</v>
      </c>
      <c r="C29" s="32">
        <f>IF(859.52811="","-",859.52811)</f>
        <v>859.52810999999997</v>
      </c>
      <c r="D29" s="28">
        <f>IF(OR(714.15662="",859.52811=""),"-",859.52811/714.15662*100)</f>
        <v>120.3556875241176</v>
      </c>
      <c r="E29" s="28">
        <f>IF(714.15662="","-",714.15662/3266113.78787*100)</f>
        <v>2.1865638075816644E-2</v>
      </c>
      <c r="F29" s="28">
        <f>IF(859.52811="","-",859.52811/4347054.06049*100)</f>
        <v>1.9772657483424855E-2</v>
      </c>
      <c r="G29" s="28">
        <f>IF(OR(2393616.81978="",715.77442="",714.15662=""),"-",(714.15662-715.77442)/2393616.81978*100)</f>
        <v>-6.7588094578508278E-5</v>
      </c>
      <c r="H29" s="28">
        <f>IF(OR(3266113.78787="",859.52811="",714.15662=""),"-",(859.52811-714.15662)/3266113.78787*100)</f>
        <v>4.4509009618677181E-3</v>
      </c>
    </row>
    <row r="30" spans="1:8" s="31" customFormat="1" ht="24" x14ac:dyDescent="0.2">
      <c r="A30" s="66" t="s">
        <v>227</v>
      </c>
      <c r="B30" s="67" t="s">
        <v>142</v>
      </c>
      <c r="C30" s="32">
        <f>IF(27259.84284="","-",27259.84284)</f>
        <v>27259.842840000001</v>
      </c>
      <c r="D30" s="28">
        <f>IF(OR(30637.29909="",27259.84284=""),"-",27259.84284/30637.29909*100)</f>
        <v>88.975998699890624</v>
      </c>
      <c r="E30" s="28">
        <f>IF(30637.29909="","-",30637.29909/3266113.78787*100)</f>
        <v>0.93803526392080028</v>
      </c>
      <c r="F30" s="28">
        <f>IF(27259.84284="","-",27259.84284/4347054.06049*100)</f>
        <v>0.62708773483546854</v>
      </c>
      <c r="G30" s="28">
        <f>IF(OR(2393616.81978="",20958.74955="",30637.29909=""),"-",(30637.29909-20958.74955)/2393616.81978*100)</f>
        <v>0.40434832593169884</v>
      </c>
      <c r="H30" s="28">
        <f>IF(OR(3266113.78787="",27259.84284="",30637.29909=""),"-",(27259.84284-30637.29909)/3266113.78787*100)</f>
        <v>-0.10340901969011346</v>
      </c>
    </row>
    <row r="31" spans="1:8" s="31" customFormat="1" ht="24" x14ac:dyDescent="0.2">
      <c r="A31" s="62" t="s">
        <v>228</v>
      </c>
      <c r="B31" s="63" t="s">
        <v>143</v>
      </c>
      <c r="C31" s="20">
        <f>IF(1094903.72448="","-",1094903.72448)</f>
        <v>1094903.7244800001</v>
      </c>
      <c r="D31" s="26" t="s">
        <v>298</v>
      </c>
      <c r="E31" s="26">
        <f>IF(389041.92676="","-",389041.92676/3266113.78787*100)</f>
        <v>11.911462736076754</v>
      </c>
      <c r="F31" s="26">
        <f>IF(1094903.72448="","-",1094903.72448/4347054.06049*100)</f>
        <v>25.187258065904576</v>
      </c>
      <c r="G31" s="26">
        <f>IF(2393616.81978="","-",(389041.92676-306920.85099)/2393616.81978*100)</f>
        <v>3.4308363432016589</v>
      </c>
      <c r="H31" s="26">
        <f>IF(3266113.78787="","-",(1094903.72448-389041.92676)/3266113.78787*100)</f>
        <v>21.611671961384076</v>
      </c>
    </row>
    <row r="32" spans="1:8" s="31" customFormat="1" x14ac:dyDescent="0.2">
      <c r="A32" s="66" t="s">
        <v>229</v>
      </c>
      <c r="B32" s="67" t="s">
        <v>187</v>
      </c>
      <c r="C32" s="32">
        <f>IF(9464.96589="","-",9464.96589)</f>
        <v>9464.9658899999995</v>
      </c>
      <c r="D32" s="28" t="s">
        <v>99</v>
      </c>
      <c r="E32" s="28">
        <f>IF(5539.62401="","-",5539.62401/3266113.78787*100)</f>
        <v>0.16960903293000923</v>
      </c>
      <c r="F32" s="28">
        <f>IF(9464.96589="","-",9464.96589/4347054.06049*100)</f>
        <v>0.21773287744512448</v>
      </c>
      <c r="G32" s="28">
        <f>IF(OR(2393616.81978="",6748.59052="",5539.62401=""),"-",(5539.62401-6748.59052)/2393616.81978*100)</f>
        <v>-5.0507938447354198E-2</v>
      </c>
      <c r="H32" s="28">
        <f>IF(OR(3266113.78787="",9464.96589="",5539.62401=""),"-",(9464.96589-5539.62401)/3266113.78787*100)</f>
        <v>0.12018386789150769</v>
      </c>
    </row>
    <row r="33" spans="1:8" s="31" customFormat="1" ht="24" x14ac:dyDescent="0.2">
      <c r="A33" s="66" t="s">
        <v>230</v>
      </c>
      <c r="B33" s="67" t="s">
        <v>144</v>
      </c>
      <c r="C33" s="32">
        <f>IF(640617.91819="","-",640617.91819)</f>
        <v>640617.91819</v>
      </c>
      <c r="D33" s="28" t="s">
        <v>367</v>
      </c>
      <c r="E33" s="28">
        <f>IF(252271.35344="","-",252271.35344/3266113.78787*100)</f>
        <v>7.7238997115443144</v>
      </c>
      <c r="F33" s="28">
        <f>IF(640617.91819="","-",640617.91819/4347054.06049*100)</f>
        <v>14.736828879413327</v>
      </c>
      <c r="G33" s="28">
        <f>IF(OR(2393616.81978="",178295.54237="",252271.35344=""),"-",(252271.35344-178295.54237)/2393616.81978*100)</f>
        <v>3.0905452559779052</v>
      </c>
      <c r="H33" s="28">
        <f>IF(OR(3266113.78787="",640617.91819="",252271.35344=""),"-",(640617.91819-252271.35344)/3266113.78787*100)</f>
        <v>11.890172540597879</v>
      </c>
    </row>
    <row r="34" spans="1:8" s="31" customFormat="1" ht="24" x14ac:dyDescent="0.2">
      <c r="A34" s="66" t="s">
        <v>275</v>
      </c>
      <c r="B34" s="67" t="s">
        <v>188</v>
      </c>
      <c r="C34" s="32">
        <f>IF(433580.86941="","-",433580.86941)</f>
        <v>433580.86940999998</v>
      </c>
      <c r="D34" s="28" t="s">
        <v>321</v>
      </c>
      <c r="E34" s="28">
        <f>IF(127670.73032="","-",127670.73032/3266113.78787*100)</f>
        <v>3.9089492470885596</v>
      </c>
      <c r="F34" s="28">
        <f>IF(433580.86941="","-",433580.86941/4347054.06049*100)</f>
        <v>9.9741310638572269</v>
      </c>
      <c r="G34" s="28">
        <f>IF(OR(2393616.81978="",113766.20818="",127670.73032=""),"-",(127670.73032-113766.20818)/2393616.81978*100)</f>
        <v>0.58090008497174495</v>
      </c>
      <c r="H34" s="28">
        <f>IF(OR(3266113.78787="",433580.86941="",127670.73032=""),"-",(433580.86941-127670.73032)/3266113.78787*100)</f>
        <v>9.3661813077706526</v>
      </c>
    </row>
    <row r="35" spans="1:8" s="31" customFormat="1" x14ac:dyDescent="0.2">
      <c r="A35" s="66" t="s">
        <v>282</v>
      </c>
      <c r="B35" s="67" t="s">
        <v>284</v>
      </c>
      <c r="C35" s="32">
        <f>IF(11239.97099="","-",11239.97099)</f>
        <v>11239.97099</v>
      </c>
      <c r="D35" s="28" t="s">
        <v>400</v>
      </c>
      <c r="E35" s="28">
        <f>IF(3560.21899="","-",3560.21899/3266113.78787*100)</f>
        <v>0.10900474451387074</v>
      </c>
      <c r="F35" s="28">
        <f>IF(11239.97099="","-",11239.97099/4347054.06049*100)</f>
        <v>0.25856524518889995</v>
      </c>
      <c r="G35" s="28">
        <f>IF(OR(2393616.81978="",8110.50992="",3560.21899=""),"-",(3560.21899-8110.50992)/2393616.81978*100)</f>
        <v>-0.19010105930063706</v>
      </c>
      <c r="H35" s="28">
        <f>IF(OR(3266113.78787="",11239.97099="",3560.21899=""),"-",(11239.97099-3560.21899)/3266113.78787*100)</f>
        <v>0.23513424512403039</v>
      </c>
    </row>
    <row r="36" spans="1:8" s="31" customFormat="1" ht="24" x14ac:dyDescent="0.2">
      <c r="A36" s="62" t="s">
        <v>231</v>
      </c>
      <c r="B36" s="63" t="s">
        <v>145</v>
      </c>
      <c r="C36" s="20">
        <f>IF(43468.22937="","-",43468.22937)</f>
        <v>43468.229370000001</v>
      </c>
      <c r="D36" s="26" t="s">
        <v>401</v>
      </c>
      <c r="E36" s="26">
        <f>IF(6781.65624="","-",6781.65624/3266113.78787*100)</f>
        <v>0.20763686388350433</v>
      </c>
      <c r="F36" s="26">
        <f>IF(43468.22937="","-",43468.22937/4347054.06049*100)</f>
        <v>0.99994683215649405</v>
      </c>
      <c r="G36" s="26">
        <f>IF(2393616.81978="","-",(6781.65624-4508.4006)/2393616.81978*100)</f>
        <v>9.4971576954783338E-2</v>
      </c>
      <c r="H36" s="26">
        <f>IF(3266113.78787="","-",(43468.22937-6781.65624)/3266113.78787*100)</f>
        <v>1.1232484693659495</v>
      </c>
    </row>
    <row r="37" spans="1:8" s="31" customFormat="1" ht="24" x14ac:dyDescent="0.2">
      <c r="A37" s="66" t="s">
        <v>232</v>
      </c>
      <c r="B37" s="67" t="s">
        <v>191</v>
      </c>
      <c r="C37" s="32">
        <f>IF(1095.32064="","-",1095.32064)</f>
        <v>1095.3206399999999</v>
      </c>
      <c r="D37" s="28">
        <f>IF(OR(795.35357="",1095.32064=""),"-",1095.32064/795.35357*100)</f>
        <v>137.71493349806676</v>
      </c>
      <c r="E37" s="28">
        <f>IF(795.35357="","-",795.35357/3266113.78787*100)</f>
        <v>2.4351679753285348E-2</v>
      </c>
      <c r="F37" s="28">
        <f>IF(1095.32064="","-",1095.32064/4347054.06049*100)</f>
        <v>2.5196848825858296E-2</v>
      </c>
      <c r="G37" s="28">
        <f>IF(OR(2393616.81978="",732.04199="",795.35357=""),"-",(795.35357-732.04199)/2393616.81978*100)</f>
        <v>2.6450173426596731E-3</v>
      </c>
      <c r="H37" s="28">
        <f>IF(OR(3266113.78787="",1095.32064="",795.35357=""),"-",(1095.32064-795.35357)/3266113.78787*100)</f>
        <v>9.1842198246137579E-3</v>
      </c>
    </row>
    <row r="38" spans="1:8" s="31" customFormat="1" ht="24" x14ac:dyDescent="0.2">
      <c r="A38" s="66" t="s">
        <v>233</v>
      </c>
      <c r="B38" s="67" t="s">
        <v>146</v>
      </c>
      <c r="C38" s="32">
        <f>IF(40946.31182="","-",40946.31182)</f>
        <v>40946.311820000003</v>
      </c>
      <c r="D38" s="28" t="s">
        <v>402</v>
      </c>
      <c r="E38" s="28">
        <f>IF(5051.70804="","-",5051.70804/3266113.78787*100)</f>
        <v>0.15467030140718022</v>
      </c>
      <c r="F38" s="28">
        <f>IF(40946.31182="","-",40946.31182/4347054.06049*100)</f>
        <v>0.94193242711558389</v>
      </c>
      <c r="G38" s="28">
        <f>IF(OR(2393616.81978="",3017.21357="",5051.70804=""),"-",(5051.70804-3017.21357)/2393616.81978*100)</f>
        <v>8.4996665012865055E-2</v>
      </c>
      <c r="H38" s="28">
        <f>IF(OR(3266113.78787="",40946.31182="",5051.70804=""),"-",(40946.31182-5051.70804)/3266113.78787*100)</f>
        <v>1.099000405720975</v>
      </c>
    </row>
    <row r="39" spans="1:8" s="31" customFormat="1" ht="72" x14ac:dyDescent="0.2">
      <c r="A39" s="66" t="s">
        <v>234</v>
      </c>
      <c r="B39" s="67" t="s">
        <v>189</v>
      </c>
      <c r="C39" s="32">
        <f>IF(1426.59691="","-",1426.59691)</f>
        <v>1426.59691</v>
      </c>
      <c r="D39" s="28">
        <f>IF(OR(934.59463="",1426.59691=""),"-",1426.59691/934.59463*100)</f>
        <v>152.6433882891024</v>
      </c>
      <c r="E39" s="28">
        <f>IF(934.59463="","-",934.59463/3266113.78787*100)</f>
        <v>2.8614882723038776E-2</v>
      </c>
      <c r="F39" s="28">
        <f>IF(1426.59691="","-",1426.59691/4347054.06049*100)</f>
        <v>3.2817556215051849E-2</v>
      </c>
      <c r="G39" s="28">
        <f>IF(OR(2393616.81978="",759.14504="",934.59463=""),"-",(934.59463-759.14504)/2393616.81978*100)</f>
        <v>7.3298945992586158E-3</v>
      </c>
      <c r="H39" s="28">
        <f>IF(OR(3266113.78787="",1426.59691="",934.59463=""),"-",(1426.59691-934.59463)/3266113.78787*100)</f>
        <v>1.5063843820360582E-2</v>
      </c>
    </row>
    <row r="40" spans="1:8" s="31" customFormat="1" ht="24" x14ac:dyDescent="0.2">
      <c r="A40" s="62" t="s">
        <v>235</v>
      </c>
      <c r="B40" s="63" t="s">
        <v>147</v>
      </c>
      <c r="C40" s="20">
        <f>IF(574408.05745="","-",574408.05745)</f>
        <v>574408.05744999996</v>
      </c>
      <c r="D40" s="26">
        <f>IF(499942.37357="","-",574408.05745/499942.37357*100)</f>
        <v>114.89485345045945</v>
      </c>
      <c r="E40" s="26">
        <f>IF(499942.37357="","-",499942.37357/3266113.78787*100)</f>
        <v>15.306949054461388</v>
      </c>
      <c r="F40" s="26">
        <f>IF(574408.05745="","-",574408.05745/4347054.06049*100)</f>
        <v>13.21373163197452</v>
      </c>
      <c r="G40" s="26">
        <f>IF(2393616.81978="","-",(499942.37357-407703.24126)/2393616.81978*100)</f>
        <v>3.8535462964568326</v>
      </c>
      <c r="H40" s="26">
        <f>IF(3266113.78787="","-",(574408.05745-499942.37357)/3266113.78787*100)</f>
        <v>2.2799476293985106</v>
      </c>
    </row>
    <row r="41" spans="1:8" s="31" customFormat="1" x14ac:dyDescent="0.2">
      <c r="A41" s="66" t="s">
        <v>236</v>
      </c>
      <c r="B41" s="67" t="s">
        <v>23</v>
      </c>
      <c r="C41" s="32">
        <f>IF(8443.86531="","-",8443.86531)</f>
        <v>8443.8653099999992</v>
      </c>
      <c r="D41" s="28">
        <f>IF(OR(6147.46931="",8443.86531=""),"-",8443.86531/6147.46931*100)</f>
        <v>137.35514378680159</v>
      </c>
      <c r="E41" s="28">
        <f>IF(6147.46931="","-",6147.46931/3266113.78787*100)</f>
        <v>0.18821969194187443</v>
      </c>
      <c r="F41" s="28">
        <f>IF(8443.86531="","-",8443.86531/4347054.06049*100)</f>
        <v>0.19424339316930894</v>
      </c>
      <c r="G41" s="28">
        <f>IF(OR(2393616.81978="",5461.98403="",6147.46931=""),"-",(6147.46931-5461.98403)/2393616.81978*100)</f>
        <v>2.8638054108552115E-2</v>
      </c>
      <c r="H41" s="28">
        <f>IF(OR(3266113.78787="",8443.86531="",6147.46931=""),"-",(8443.86531-6147.46931)/3266113.78787*100)</f>
        <v>7.0309736559962172E-2</v>
      </c>
    </row>
    <row r="42" spans="1:8" s="31" customFormat="1" x14ac:dyDescent="0.2">
      <c r="A42" s="66" t="s">
        <v>237</v>
      </c>
      <c r="B42" s="67" t="s">
        <v>24</v>
      </c>
      <c r="C42" s="32">
        <f>IF(15293.18545="","-",15293.18545)</f>
        <v>15293.185450000001</v>
      </c>
      <c r="D42" s="28" t="s">
        <v>18</v>
      </c>
      <c r="E42" s="28">
        <f>IF(7583.18162="","-",7583.18162/3266113.78787*100)</f>
        <v>0.23217750857802724</v>
      </c>
      <c r="F42" s="28">
        <f>IF(15293.18545="","-",15293.18545/4347054.06049*100)</f>
        <v>0.351805734117697</v>
      </c>
      <c r="G42" s="28">
        <f>IF(OR(2393616.81978="",7876.94744="",7583.18162=""),"-",(7583.18162-7876.94744)/2393616.81978*100)</f>
        <v>-1.2272884179807859E-2</v>
      </c>
      <c r="H42" s="28">
        <f>IF(OR(3266113.78787="",15293.18545="",7583.18162=""),"-",(15293.18545-7583.18162)/3266113.78787*100)</f>
        <v>0.2360604783162833</v>
      </c>
    </row>
    <row r="43" spans="1:8" s="31" customFormat="1" x14ac:dyDescent="0.2">
      <c r="A43" s="66" t="s">
        <v>238</v>
      </c>
      <c r="B43" s="67" t="s">
        <v>148</v>
      </c>
      <c r="C43" s="32">
        <f>IF(22575.19362="","-",22575.19362)</f>
        <v>22575.193619999998</v>
      </c>
      <c r="D43" s="28">
        <f>IF(OR(22901.07591="",22575.19362=""),"-",22575.19362/22901.07591*100)</f>
        <v>98.577000088202411</v>
      </c>
      <c r="E43" s="28">
        <f>IF(22901.07591="","-",22901.07591/3266113.78787*100)</f>
        <v>0.70117201657370798</v>
      </c>
      <c r="F43" s="28">
        <f>IF(22575.19362="","-",22575.19362/4347054.06049*100)</f>
        <v>0.51932166717649064</v>
      </c>
      <c r="G43" s="28">
        <f>IF(OR(2393616.81978="",16761.08644="",22901.07591=""),"-",(22901.07591-16761.08644)/2393616.81978*100)</f>
        <v>0.25651513722920505</v>
      </c>
      <c r="H43" s="28">
        <f>IF(OR(3266113.78787="",22575.19362="",22901.07591=""),"-",(22575.19362-22901.07591)/3266113.78787*100)</f>
        <v>-9.9776771773933178E-3</v>
      </c>
    </row>
    <row r="44" spans="1:8" s="31" customFormat="1" x14ac:dyDescent="0.2">
      <c r="A44" s="66" t="s">
        <v>239</v>
      </c>
      <c r="B44" s="67" t="s">
        <v>149</v>
      </c>
      <c r="C44" s="32">
        <f>IF(148131.83672="","-",148131.83672)</f>
        <v>148131.83671999999</v>
      </c>
      <c r="D44" s="28">
        <f>IF(OR(149734.28551="",148131.83672=""),"-",148131.83672/149734.28551*100)</f>
        <v>98.92980503126455</v>
      </c>
      <c r="E44" s="28">
        <f>IF(149734.28551="","-",149734.28551/3266113.78787*100)</f>
        <v>4.5844785342781762</v>
      </c>
      <c r="F44" s="28">
        <f>IF(148131.83672="","-",148131.83672/4347054.06049*100)</f>
        <v>3.4076373253868057</v>
      </c>
      <c r="G44" s="28">
        <f>IF(OR(2393616.81978="",118190.15938="",149734.28551=""),"-",(149734.28551-118190.15938)/2393616.81978*100)</f>
        <v>1.3178436025904616</v>
      </c>
      <c r="H44" s="28">
        <f>IF(OR(3266113.78787="",148131.83672="",149734.28551=""),"-",(148131.83672-149734.28551)/3266113.78787*100)</f>
        <v>-4.9062858616601777E-2</v>
      </c>
    </row>
    <row r="45" spans="1:8" s="31" customFormat="1" ht="40.5" customHeight="1" x14ac:dyDescent="0.2">
      <c r="A45" s="66" t="s">
        <v>240</v>
      </c>
      <c r="B45" s="67" t="s">
        <v>150</v>
      </c>
      <c r="C45" s="32">
        <f>IF(70135.5991="","-",70135.5991)</f>
        <v>70135.599100000007</v>
      </c>
      <c r="D45" s="28">
        <f>IF(OR(65219.55464="",70135.5991=""),"-",70135.5991/65219.55464*100)</f>
        <v>107.53768480501849</v>
      </c>
      <c r="E45" s="28">
        <f>IF(65219.55464="","-",65219.55464/3266113.78787*100)</f>
        <v>1.9968549437015486</v>
      </c>
      <c r="F45" s="28">
        <f>IF(70135.5991="","-",70135.5991/4347054.06049*100)</f>
        <v>1.6134052653601996</v>
      </c>
      <c r="G45" s="28">
        <f>IF(OR(2393616.81978="",50718.61225="",65219.55464=""),"-",(65219.55464-50718.61225)/2393616.81978*100)</f>
        <v>0.60581719973595449</v>
      </c>
      <c r="H45" s="28">
        <f>IF(OR(3266113.78787="",70135.5991="",65219.55464=""),"-",(70135.5991-65219.55464)/3266113.78787*100)</f>
        <v>0.15051663166965193</v>
      </c>
    </row>
    <row r="46" spans="1:8" s="31" customFormat="1" x14ac:dyDescent="0.2">
      <c r="A46" s="66" t="s">
        <v>241</v>
      </c>
      <c r="B46" s="67" t="s">
        <v>151</v>
      </c>
      <c r="C46" s="32">
        <f>IF(82135.68088="","-",82135.68088)</f>
        <v>82135.68088</v>
      </c>
      <c r="D46" s="28" t="s">
        <v>18</v>
      </c>
      <c r="E46" s="28">
        <f>IF(40762.95244="","-",40762.95244/3266113.78787*100)</f>
        <v>1.248056714722839</v>
      </c>
      <c r="F46" s="28">
        <f>IF(82135.68088="","-",82135.68088/4347054.06049*100)</f>
        <v>1.8894561635780915</v>
      </c>
      <c r="G46" s="28">
        <f>IF(OR(2393616.81978="",47773.96831="",40762.95244=""),"-",(40762.95244-47773.96831)/2393616.81978*100)</f>
        <v>-0.2929046876702841</v>
      </c>
      <c r="H46" s="28">
        <f>IF(OR(3266113.78787="",82135.68088="",40762.95244=""),"-",(82135.68088-40762.95244)/3266113.78787*100)</f>
        <v>1.2667264868007331</v>
      </c>
    </row>
    <row r="47" spans="1:8" s="31" customFormat="1" ht="24" x14ac:dyDescent="0.2">
      <c r="A47" s="66" t="s">
        <v>242</v>
      </c>
      <c r="B47" s="67" t="s">
        <v>25</v>
      </c>
      <c r="C47" s="32">
        <f>IF(38734.94512="","-",38734.94512)</f>
        <v>38734.945119999997</v>
      </c>
      <c r="D47" s="28">
        <f>IF(OR(31121.10838="",38734.94512=""),"-",38734.94512/31121.10838*100)</f>
        <v>124.46518500251433</v>
      </c>
      <c r="E47" s="28">
        <f>IF(31121.10838="","-",31121.10838/3266113.78787*100)</f>
        <v>0.95284825946911256</v>
      </c>
      <c r="F47" s="28">
        <f>IF(38734.94512="","-",38734.94512/4347054.06049*100)</f>
        <v>0.89106196014580485</v>
      </c>
      <c r="G47" s="28">
        <f>IF(OR(2393616.81978="",21676.17363="",31121.10838=""),"-",(31121.10838-21676.17363)/2393616.81978*100)</f>
        <v>0.39458841832787983</v>
      </c>
      <c r="H47" s="28">
        <f>IF(OR(3266113.78787="",38734.94512="",31121.10838=""),"-",(38734.94512-31121.10838)/3266113.78787*100)</f>
        <v>0.23311608947235632</v>
      </c>
    </row>
    <row r="48" spans="1:8" s="31" customFormat="1" x14ac:dyDescent="0.2">
      <c r="A48" s="66" t="s">
        <v>243</v>
      </c>
      <c r="B48" s="67" t="s">
        <v>26</v>
      </c>
      <c r="C48" s="32">
        <f>IF(72330.53676="","-",72330.53676)</f>
        <v>72330.536760000003</v>
      </c>
      <c r="D48" s="28">
        <f>IF(OR(73237.70122="",72330.53676=""),"-",72330.53676/73237.70122*100)</f>
        <v>98.76134225284467</v>
      </c>
      <c r="E48" s="28">
        <f>IF(73237.70122="","-",73237.70122/3266113.78787*100)</f>
        <v>2.2423499601268349</v>
      </c>
      <c r="F48" s="28">
        <f>IF(72330.53676="","-",72330.53676/4347054.06049*100)</f>
        <v>1.6638977973015341</v>
      </c>
      <c r="G48" s="28">
        <f>IF(OR(2393616.81978="",50136.69356="",73237.70122=""),"-",(73237.70122-50136.69356)/2393616.81978*100)</f>
        <v>0.96510884570585698</v>
      </c>
      <c r="H48" s="28">
        <f>IF(OR(3266113.78787="",72330.53676="",73237.70122=""),"-",(72330.53676-73237.70122)/3266113.78787*100)</f>
        <v>-2.7775041499445378E-2</v>
      </c>
    </row>
    <row r="49" spans="1:8" s="31" customFormat="1" x14ac:dyDescent="0.2">
      <c r="A49" s="66" t="s">
        <v>244</v>
      </c>
      <c r="B49" s="67" t="s">
        <v>152</v>
      </c>
      <c r="C49" s="32">
        <f>IF(116627.21449="","-",116627.21449)</f>
        <v>116627.21449</v>
      </c>
      <c r="D49" s="28">
        <f>IF(OR(103235.04454="",116627.21449=""),"-",116627.21449/103235.04454*100)</f>
        <v>112.97250367806157</v>
      </c>
      <c r="E49" s="28">
        <f>IF(103235.04454="","-",103235.04454/3266113.78787*100)</f>
        <v>3.1607914250692675</v>
      </c>
      <c r="F49" s="28">
        <f>IF(116627.21449="","-",116627.21449/4347054.06049*100)</f>
        <v>2.6829023257385893</v>
      </c>
      <c r="G49" s="28">
        <f>IF(OR(2393616.81978="",89107.61622="",103235.04454=""),"-",(103235.04454-89107.61622)/2393616.81978*100)</f>
        <v>0.59021261060901442</v>
      </c>
      <c r="H49" s="28">
        <f>IF(OR(3266113.78787="",116627.21449="",103235.04454=""),"-",(116627.21449-103235.04454)/3266113.78787*100)</f>
        <v>0.41003378387296524</v>
      </c>
    </row>
    <row r="50" spans="1:8" s="31" customFormat="1" ht="24" x14ac:dyDescent="0.2">
      <c r="A50" s="62" t="s">
        <v>245</v>
      </c>
      <c r="B50" s="63" t="s">
        <v>341</v>
      </c>
      <c r="C50" s="20">
        <f>IF(634221.28388="","-",634221.28388)</f>
        <v>634221.28388</v>
      </c>
      <c r="D50" s="26">
        <f>IF(616692.15099="","-",634221.28388/616692.15099*100)</f>
        <v>102.8424446236035</v>
      </c>
      <c r="E50" s="26">
        <f>IF(616692.15099="","-",616692.15099/3266113.78787*100)</f>
        <v>18.881526824948022</v>
      </c>
      <c r="F50" s="26">
        <f>IF(634221.28388="","-",634221.28388/4347054.06049*100)</f>
        <v>14.589680161661263</v>
      </c>
      <c r="G50" s="26">
        <f>IF(2393616.81978="","-",(616692.15099-446226.57693)/2393616.81978*100)</f>
        <v>7.1216734713481706</v>
      </c>
      <c r="H50" s="26">
        <f>IF(3266113.78787="","-",(634221.28388-616692.15099)/3266113.78787*100)</f>
        <v>0.53669694408998692</v>
      </c>
    </row>
    <row r="51" spans="1:8" s="31" customFormat="1" x14ac:dyDescent="0.2">
      <c r="A51" s="66" t="s">
        <v>246</v>
      </c>
      <c r="B51" s="67" t="s">
        <v>153</v>
      </c>
      <c r="C51" s="32">
        <f>IF(28618.04288="","-",28618.04288)</f>
        <v>28618.042880000001</v>
      </c>
      <c r="D51" s="28">
        <f>IF(OR(28815.83133="",28618.04288=""),"-",28618.04288/28815.83133*100)</f>
        <v>99.313611855459186</v>
      </c>
      <c r="E51" s="28">
        <f>IF(28815.83133="","-",28815.83133/3266113.78787*100)</f>
        <v>0.88226660801038037</v>
      </c>
      <c r="F51" s="28">
        <f>IF(28618.04288="","-",28618.04288/4347054.06049*100)</f>
        <v>0.65833188365672579</v>
      </c>
      <c r="G51" s="28">
        <f>IF(OR(2393616.81978="",18552.03806="",28815.83133=""),"-",(28815.83133-18552.03806)/2393616.81978*100)</f>
        <v>0.42879851048771278</v>
      </c>
      <c r="H51" s="28">
        <f>IF(OR(3266113.78787="",28618.04288="",28815.83133=""),"-",(28618.04288-28815.83133)/3266113.78787*100)</f>
        <v>-6.0557734006257014E-3</v>
      </c>
    </row>
    <row r="52" spans="1:8" s="31" customFormat="1" x14ac:dyDescent="0.2">
      <c r="A52" s="66" t="s">
        <v>247</v>
      </c>
      <c r="B52" s="67" t="s">
        <v>27</v>
      </c>
      <c r="C52" s="32">
        <f>IF(40519.35817="","-",40519.35817)</f>
        <v>40519.35817</v>
      </c>
      <c r="D52" s="28">
        <f>IF(OR(31044.18922="",40519.35817=""),"-",40519.35817/31044.18922*100)</f>
        <v>130.52155391417242</v>
      </c>
      <c r="E52" s="28">
        <f>IF(31044.18922="","-",31044.18922/3266113.78787*100)</f>
        <v>0.95049319271406973</v>
      </c>
      <c r="F52" s="28">
        <f>IF(40519.35817="","-",40519.35817/4347054.06049*100)</f>
        <v>0.9321107491686601</v>
      </c>
      <c r="G52" s="28">
        <f>IF(OR(2393616.81978="",24557.1228899999="",31044.18922=""),"-",(31044.18922-24557.1228899999)/2393616.81978*100)</f>
        <v>0.27101523837872821</v>
      </c>
      <c r="H52" s="28">
        <f>IF(OR(3266113.78787="",40519.35817="",31044.18922=""),"-",(40519.35817-31044.18922)/3266113.78787*100)</f>
        <v>0.29010529226476345</v>
      </c>
    </row>
    <row r="53" spans="1:8" s="31" customFormat="1" x14ac:dyDescent="0.2">
      <c r="A53" s="66" t="s">
        <v>248</v>
      </c>
      <c r="B53" s="67" t="s">
        <v>154</v>
      </c>
      <c r="C53" s="32">
        <f>IF(50365.83467="","-",50365.83467)</f>
        <v>50365.834669999997</v>
      </c>
      <c r="D53" s="28">
        <f>IF(OR(49327.68474="",50365.83467=""),"-",50365.83467/49327.68474*100)</f>
        <v>102.10459893966635</v>
      </c>
      <c r="E53" s="28">
        <f>IF(49327.68474="","-",49327.68474/3266113.78787*100)</f>
        <v>1.5102867794501766</v>
      </c>
      <c r="F53" s="28">
        <f>IF(50365.83467="","-",50365.83467/4347054.06049*100)</f>
        <v>1.1586199290174632</v>
      </c>
      <c r="G53" s="28">
        <f>IF(OR(2393616.81978="",33918.99772="",49327.68474=""),"-",(49327.68474-33918.99772)/2393616.81978*100)</f>
        <v>0.64374075635950068</v>
      </c>
      <c r="H53" s="28">
        <f>IF(OR(3266113.78787="",50365.83467="",49327.68474=""),"-",(50365.83467-49327.68474)/3266113.78787*100)</f>
        <v>3.178547954622947E-2</v>
      </c>
    </row>
    <row r="54" spans="1:8" s="31" customFormat="1" ht="36" x14ac:dyDescent="0.2">
      <c r="A54" s="66" t="s">
        <v>249</v>
      </c>
      <c r="B54" s="67" t="s">
        <v>155</v>
      </c>
      <c r="C54" s="32">
        <f>IF(67904.47329="","-",67904.47329)</f>
        <v>67904.473289999994</v>
      </c>
      <c r="D54" s="28">
        <f>IF(OR(52024.89748="",67904.47329=""),"-",67904.47329/52024.89748*100)</f>
        <v>130.52303143144991</v>
      </c>
      <c r="E54" s="28">
        <f>IF(52024.89748="","-",52024.89748/3266113.78787*100)</f>
        <v>1.5928684932293218</v>
      </c>
      <c r="F54" s="28">
        <f>IF(67904.47329="","-",67904.47329/4347054.06049*100)</f>
        <v>1.5620802581494879</v>
      </c>
      <c r="G54" s="28">
        <f>IF(OR(2393616.81978="",42886.18886="",52024.89748=""),"-",(52024.89748-42886.18886)/2393616.81978*100)</f>
        <v>0.38179497004202811</v>
      </c>
      <c r="H54" s="28">
        <f>IF(OR(3266113.78787="",67904.47329="",52024.89748=""),"-",(67904.47329-52024.89748)/3266113.78787*100)</f>
        <v>0.48619175085004862</v>
      </c>
    </row>
    <row r="55" spans="1:8" s="31" customFormat="1" ht="27.75" customHeight="1" x14ac:dyDescent="0.2">
      <c r="A55" s="66" t="s">
        <v>250</v>
      </c>
      <c r="B55" s="67" t="s">
        <v>156</v>
      </c>
      <c r="C55" s="32">
        <f>IF(164550.24646="","-",164550.24646)</f>
        <v>164550.24645999999</v>
      </c>
      <c r="D55" s="28">
        <f>IF(OR(159378.7177="",164550.24646=""),"-",164550.24646/159378.7177*100)</f>
        <v>103.24480509984677</v>
      </c>
      <c r="E55" s="28">
        <f>IF(159378.7177="","-",159378.7177/3266113.78787*100)</f>
        <v>4.8797662314128685</v>
      </c>
      <c r="F55" s="28">
        <f>IF(164550.24646="","-",164550.24646/4347054.06049*100)</f>
        <v>3.7853278144291562</v>
      </c>
      <c r="G55" s="28">
        <f>IF(OR(2393616.81978="",115037.8795="",159378.7177=""),"-",(159378.7177-115037.8795)/2393616.81978*100)</f>
        <v>1.8524618407417204</v>
      </c>
      <c r="H55" s="28">
        <f>IF(OR(3266113.78787="",164550.24646="",159378.7177=""),"-",(164550.24646-159378.7177)/3266113.78787*100)</f>
        <v>0.15833890353748528</v>
      </c>
    </row>
    <row r="56" spans="1:8" s="31" customFormat="1" ht="16.5" customHeight="1" x14ac:dyDescent="0.2">
      <c r="A56" s="66" t="s">
        <v>251</v>
      </c>
      <c r="B56" s="67" t="s">
        <v>28</v>
      </c>
      <c r="C56" s="32">
        <f>IF(74908.47246="","-",74908.47246)</f>
        <v>74908.472460000005</v>
      </c>
      <c r="D56" s="28">
        <f>IF(OR(75856.86945="",74908.47246=""),"-",74908.47246/75856.86945*100)</f>
        <v>98.749754640711714</v>
      </c>
      <c r="E56" s="28">
        <f>IF(75856.86945="","-",75856.86945/3266113.78787*100)</f>
        <v>2.3225421518296256</v>
      </c>
      <c r="F56" s="28">
        <f>IF(74908.47246="","-",74908.47246/4347054.06049*100)</f>
        <v>1.72320084861232</v>
      </c>
      <c r="G56" s="28">
        <f>IF(OR(2393616.81978="",57315.32027="",75856.86945=""),"-",(75856.86945-57315.32027)/2393616.81978*100)</f>
        <v>0.77462478650631206</v>
      </c>
      <c r="H56" s="28">
        <f>IF(OR(3266113.78787="",74908.47246="",75856.86945=""),"-",(74908.47246-75856.86945)/3266113.78787*100)</f>
        <v>-2.9037475470764049E-2</v>
      </c>
    </row>
    <row r="57" spans="1:8" s="31" customFormat="1" ht="16.5" customHeight="1" x14ac:dyDescent="0.2">
      <c r="A57" s="66" t="s">
        <v>252</v>
      </c>
      <c r="B57" s="67" t="s">
        <v>157</v>
      </c>
      <c r="C57" s="32">
        <f>IF(96086.30718="","-",96086.30718)</f>
        <v>96086.307180000003</v>
      </c>
      <c r="D57" s="28">
        <f>IF(OR(82225.56883="",96086.30718=""),"-",96086.30718/82225.56883*100)</f>
        <v>116.8569686378903</v>
      </c>
      <c r="E57" s="28">
        <f>IF(82225.56883="","-",82225.56883/3266113.78787*100)</f>
        <v>2.517535339257837</v>
      </c>
      <c r="F57" s="28">
        <f>IF(96086.30718="","-",96086.30718/4347054.06049*100)</f>
        <v>2.2103775532335836</v>
      </c>
      <c r="G57" s="28">
        <f>IF(OR(2393616.81978="",57980.7865699999="",82225.56883=""),"-",(82225.56883-57980.7865699999)/2393616.81978*100)</f>
        <v>1.0128932107950539</v>
      </c>
      <c r="H57" s="28">
        <f>IF(OR(3266113.78787="",96086.30718="",82225.56883=""),"-",(96086.30718-82225.56883)/3266113.78787*100)</f>
        <v>0.42438014258649864</v>
      </c>
    </row>
    <row r="58" spans="1:8" s="31" customFormat="1" ht="16.5" customHeight="1" x14ac:dyDescent="0.2">
      <c r="A58" s="66" t="s">
        <v>253</v>
      </c>
      <c r="B58" s="67" t="s">
        <v>29</v>
      </c>
      <c r="C58" s="32">
        <f>IF(16747.69281="","-",16747.69281)</f>
        <v>16747.69281</v>
      </c>
      <c r="D58" s="28">
        <f>IF(OR(38517.19294="",16747.69281=""),"-",16747.69281/38517.19294*100)</f>
        <v>43.48108346339945</v>
      </c>
      <c r="E58" s="28">
        <f>IF(38517.19294="","-",38517.19294/3266113.78787*100)</f>
        <v>1.1792973374978166</v>
      </c>
      <c r="F58" s="28">
        <f>IF(16747.69281="","-",16747.69281/4347054.06049*100)</f>
        <v>0.38526534468982887</v>
      </c>
      <c r="G58" s="28">
        <f>IF(OR(2393616.81978="",29850.74417="",38517.19294=""),"-",(38517.19294-29850.74417)/2393616.81978*100)</f>
        <v>0.36206500131447694</v>
      </c>
      <c r="H58" s="28">
        <f>IF(OR(3266113.78787="",16747.69281="",38517.19294=""),"-",(16747.69281-38517.19294)/3266113.78787*100)</f>
        <v>-0.66652607789874352</v>
      </c>
    </row>
    <row r="59" spans="1:8" s="31" customFormat="1" ht="15.75" customHeight="1" x14ac:dyDescent="0.2">
      <c r="A59" s="66" t="s">
        <v>254</v>
      </c>
      <c r="B59" s="67" t="s">
        <v>30</v>
      </c>
      <c r="C59" s="32">
        <f>IF(94520.85596="","-",94520.85596)</f>
        <v>94520.855960000001</v>
      </c>
      <c r="D59" s="28">
        <f>IF(OR(99501.1993="",94520.85596=""),"-",94520.85596/99501.1993*100)</f>
        <v>94.994690139378051</v>
      </c>
      <c r="E59" s="28">
        <f>IF(99501.1993="","-",99501.1993/3266113.78787*100)</f>
        <v>3.0464706915459248</v>
      </c>
      <c r="F59" s="28">
        <f>IF(94520.85596="","-",94520.85596/4347054.06049*100)</f>
        <v>2.1743657807040386</v>
      </c>
      <c r="G59" s="28">
        <f>IF(OR(2393616.81978="",66127.49889="",99501.1993=""),"-",(99501.1993-66127.49889)/2393616.81978*100)</f>
        <v>1.3942791567226454</v>
      </c>
      <c r="H59" s="28">
        <f>IF(OR(3266113.78787="",94520.85596="",99501.1993=""),"-",(94520.85596-99501.1993)/3266113.78787*100)</f>
        <v>-0.1524852979249057</v>
      </c>
    </row>
    <row r="60" spans="1:8" s="31" customFormat="1" ht="24" x14ac:dyDescent="0.2">
      <c r="A60" s="62" t="s">
        <v>255</v>
      </c>
      <c r="B60" s="63" t="s">
        <v>158</v>
      </c>
      <c r="C60" s="20">
        <f>IF(935182.38745="","-",935182.38745)</f>
        <v>935182.38745000004</v>
      </c>
      <c r="D60" s="26">
        <f>IF(834670.46985="","-",935182.38745/834670.46985*100)</f>
        <v>112.0421077815372</v>
      </c>
      <c r="E60" s="26">
        <f>IF(834670.46985="","-",834670.46985/3266113.78787*100)</f>
        <v>25.555462058605478</v>
      </c>
      <c r="F60" s="26">
        <f>IF(935182.38745="","-",935182.38745/4347054.06049*100)</f>
        <v>21.513014893230618</v>
      </c>
      <c r="G60" s="26">
        <f>IF(2393616.81978="","-",(834670.46985-552768.19786)/2393616.81978*100)</f>
        <v>11.777251465667341</v>
      </c>
      <c r="H60" s="26">
        <f>IF(3266113.78787="","-",(935182.38745-834670.46985)/3266113.78787*100)</f>
        <v>3.0774162851671192</v>
      </c>
    </row>
    <row r="61" spans="1:8" s="31" customFormat="1" ht="24" x14ac:dyDescent="0.2">
      <c r="A61" s="66" t="s">
        <v>256</v>
      </c>
      <c r="B61" s="67" t="s">
        <v>159</v>
      </c>
      <c r="C61" s="32">
        <f>IF(14137.55659="","-",14137.55659)</f>
        <v>14137.55659</v>
      </c>
      <c r="D61" s="28">
        <f>IF(OR(13605.21258="",14137.55659=""),"-",14137.55659/13605.21258*100)</f>
        <v>103.91279450335497</v>
      </c>
      <c r="E61" s="28">
        <f>IF(13605.21258="","-",13605.21258/3266113.78787*100)</f>
        <v>0.41655660101397307</v>
      </c>
      <c r="F61" s="28">
        <f>IF(14137.55659="","-",14137.55659/4347054.06049*100)</f>
        <v>0.32522154988811924</v>
      </c>
      <c r="G61" s="28">
        <f>IF(OR(2393616.81978="",7565.09157="",13605.21258=""),"-",(13605.21258-7565.09157)/2393616.81978*100)</f>
        <v>0.25234285454909</v>
      </c>
      <c r="H61" s="28">
        <f>IF(OR(3266113.78787="",14137.55659="",13605.21258=""),"-",(14137.55659-13605.21258)/3266113.78787*100)</f>
        <v>1.629900378783709E-2</v>
      </c>
    </row>
    <row r="62" spans="1:8" s="31" customFormat="1" ht="24" x14ac:dyDescent="0.2">
      <c r="A62" s="66" t="s">
        <v>257</v>
      </c>
      <c r="B62" s="67" t="s">
        <v>160</v>
      </c>
      <c r="C62" s="32">
        <f>IF(156207.5877="","-",156207.5877)</f>
        <v>156207.5877</v>
      </c>
      <c r="D62" s="28" t="s">
        <v>100</v>
      </c>
      <c r="E62" s="28">
        <f>IF(96476.93529="","-",96476.93529/3266113.78787*100)</f>
        <v>2.9538755094297415</v>
      </c>
      <c r="F62" s="28">
        <f>IF(156207.5877="","-",156207.5877/4347054.06049*100)</f>
        <v>3.5934125853128287</v>
      </c>
      <c r="G62" s="28">
        <f>IF(OR(2393616.81978="",78238.70511="",96476.93529=""),"-",(96476.93529-78238.70511)/2393616.81978*100)</f>
        <v>0.76195279166179553</v>
      </c>
      <c r="H62" s="28">
        <f>IF(OR(3266113.78787="",156207.5877="",96476.93529=""),"-",(156207.5877-96476.93529)/3266113.78787*100)</f>
        <v>1.8287988811606415</v>
      </c>
    </row>
    <row r="63" spans="1:8" s="31" customFormat="1" ht="27" customHeight="1" x14ac:dyDescent="0.2">
      <c r="A63" s="66" t="s">
        <v>258</v>
      </c>
      <c r="B63" s="67" t="s">
        <v>161</v>
      </c>
      <c r="C63" s="32">
        <f>IF(5835.98875="","-",5835.98875)</f>
        <v>5835.9887500000004</v>
      </c>
      <c r="D63" s="28">
        <f>IF(OR(9371.71465="",5835.98875=""),"-",5835.98875/9371.71465*100)</f>
        <v>62.272369229679867</v>
      </c>
      <c r="E63" s="28">
        <f>IF(9371.71465="","-",9371.71465/3266113.78787*100)</f>
        <v>0.28693778780168511</v>
      </c>
      <c r="F63" s="28">
        <f>IF(5835.98875="","-",5835.98875/4347054.06049*100)</f>
        <v>0.134251579777735</v>
      </c>
      <c r="G63" s="28">
        <f>IF(OR(2393616.81978="",6737.57881="",9371.71465=""),"-",(9371.71465-6737.57881)/2393616.81978*100)</f>
        <v>0.11004835102395823</v>
      </c>
      <c r="H63" s="28">
        <f>IF(OR(3266113.78787="",5835.98875="",9371.71465=""),"-",(5835.98875-9371.71465)/3266113.78787*100)</f>
        <v>-0.10825482912234442</v>
      </c>
    </row>
    <row r="64" spans="1:8" s="31" customFormat="1" ht="36" x14ac:dyDescent="0.2">
      <c r="A64" s="66" t="s">
        <v>259</v>
      </c>
      <c r="B64" s="67" t="s">
        <v>162</v>
      </c>
      <c r="C64" s="32">
        <f>IF(118804.42844="","-",118804.42844)</f>
        <v>118804.42844</v>
      </c>
      <c r="D64" s="28">
        <f>IF(OR(118541.09958="",118804.42844=""),"-",118804.42844/118541.09958*100)</f>
        <v>100.22214140153332</v>
      </c>
      <c r="E64" s="28">
        <f>IF(118541.09958="","-",118541.09958/3266113.78787*100)</f>
        <v>3.6294234456940555</v>
      </c>
      <c r="F64" s="28">
        <f>IF(118804.42844="","-",118804.42844/4347054.06049*100)</f>
        <v>2.7329871399530825</v>
      </c>
      <c r="G64" s="28">
        <f>IF(OR(2393616.81978="",91761.5504="",118541.09958=""),"-",(118541.09958-91761.5504)/2393616.81978*100)</f>
        <v>1.1187901488117609</v>
      </c>
      <c r="H64" s="28">
        <f>IF(OR(3266113.78787="",118804.42844="",118541.09958=""),"-",(118804.42844-118541.09958)/3266113.78787*100)</f>
        <v>8.0624521098433283E-3</v>
      </c>
    </row>
    <row r="65" spans="1:8" s="31" customFormat="1" ht="27.75" customHeight="1" x14ac:dyDescent="0.2">
      <c r="A65" s="66" t="s">
        <v>260</v>
      </c>
      <c r="B65" s="67" t="s">
        <v>163</v>
      </c>
      <c r="C65" s="32">
        <f>IF(42820.5584="","-",42820.5584)</f>
        <v>42820.558400000002</v>
      </c>
      <c r="D65" s="28">
        <f>IF(OR(37560.26563="",42820.5584=""),"-",42820.5584/37560.26563*100)</f>
        <v>114.00494027869313</v>
      </c>
      <c r="E65" s="28">
        <f>IF(37560.26563="","-",37560.26563/3266113.78787*100)</f>
        <v>1.1499986855784032</v>
      </c>
      <c r="F65" s="28">
        <f>IF(42820.5584="","-",42820.5584/4347054.06049*100)</f>
        <v>0.98504775427553037</v>
      </c>
      <c r="G65" s="28">
        <f>IF(OR(2393616.81978="",20530.59668="",37560.26563=""),"-",(37560.26563-20530.59668)/2393616.81978*100)</f>
        <v>0.71146178491364453</v>
      </c>
      <c r="H65" s="28">
        <f>IF(OR(3266113.78787="",42820.5584="",37560.26563=""),"-",(42820.5584-37560.26563)/3266113.78787*100)</f>
        <v>0.16105662912101129</v>
      </c>
    </row>
    <row r="66" spans="1:8" s="31" customFormat="1" ht="39.75" customHeight="1" x14ac:dyDescent="0.2">
      <c r="A66" s="66" t="s">
        <v>261</v>
      </c>
      <c r="B66" s="67" t="s">
        <v>164</v>
      </c>
      <c r="C66" s="32">
        <f>IF(85107.38183="","-",85107.38183)</f>
        <v>85107.381829999998</v>
      </c>
      <c r="D66" s="28">
        <f>IF(OR(88791.68188="",85107.38183=""),"-",85107.38183/88791.68188*100)</f>
        <v>95.850624774762963</v>
      </c>
      <c r="E66" s="28">
        <f>IF(88791.68188="","-",88791.68188/3266113.78787*100)</f>
        <v>2.7185728252874375</v>
      </c>
      <c r="F66" s="28">
        <f>IF(85107.38183="","-",85107.38183/4347054.06049*100)</f>
        <v>1.9578174240696398</v>
      </c>
      <c r="G66" s="28">
        <f>IF(OR(2393616.81978="",65237.62219="",88791.68188=""),"-",(88791.68188-65237.62219)/2393616.81978*100)</f>
        <v>0.98403635433030101</v>
      </c>
      <c r="H66" s="28">
        <f>IF(OR(3266113.78787="",85107.38183="",88791.68188=""),"-",(85107.38183-88791.68188)/3266113.78787*100)</f>
        <v>-0.11280378729250354</v>
      </c>
    </row>
    <row r="67" spans="1:8" s="31" customFormat="1" ht="41.25" customHeight="1" x14ac:dyDescent="0.2">
      <c r="A67" s="66" t="s">
        <v>262</v>
      </c>
      <c r="B67" s="67" t="s">
        <v>165</v>
      </c>
      <c r="C67" s="32">
        <f>IF(265704.75022="","-",265704.75022)</f>
        <v>265704.75021999999</v>
      </c>
      <c r="D67" s="28">
        <f>IF(OR(261860.02324="",265704.75022=""),"-",265704.75022/261860.02324*100)</f>
        <v>101.46823746993874</v>
      </c>
      <c r="E67" s="28">
        <f>IF(261860.02324="","-",261860.02324/3266113.78787*100)</f>
        <v>8.0174801077819247</v>
      </c>
      <c r="F67" s="28">
        <f>IF(265704.75022="","-",265704.75022/4347054.06049*100)</f>
        <v>6.1122945912950009</v>
      </c>
      <c r="G67" s="28">
        <f>IF(OR(2393616.81978="",163403.18599="",261860.02324=""),"-",(261860.02324-163403.18599)/2393616.81978*100)</f>
        <v>4.1133082135949097</v>
      </c>
      <c r="H67" s="28">
        <f>IF(OR(3266113.78787="",265704.75022="",261860.02324=""),"-",(265704.75022-261860.02324)/3266113.78787*100)</f>
        <v>0.11771564708733925</v>
      </c>
    </row>
    <row r="68" spans="1:8" s="31" customFormat="1" ht="24" x14ac:dyDescent="0.2">
      <c r="A68" s="66" t="s">
        <v>263</v>
      </c>
      <c r="B68" s="67" t="s">
        <v>166</v>
      </c>
      <c r="C68" s="32">
        <f>IF(242270.16413="","-",242270.16413)</f>
        <v>242270.16412999999</v>
      </c>
      <c r="D68" s="28">
        <f>IF(OR(207297.69889="",242270.16413=""),"-",242270.16413/207297.69889*100)</f>
        <v>116.87064807147604</v>
      </c>
      <c r="E68" s="28">
        <f>IF(207297.69889="","-",207297.69889/3266113.78787*100)</f>
        <v>6.3469221329606347</v>
      </c>
      <c r="F68" s="28">
        <f>IF(242270.16413="","-",242270.16413/4347054.06049*100)</f>
        <v>5.5732033869091406</v>
      </c>
      <c r="G68" s="28">
        <f>IF(OR(2393616.81978="",115445.81405="",207297.69889=""),"-",(207297.69889-115445.81405)/2393616.81978*100)</f>
        <v>3.8373679563482601</v>
      </c>
      <c r="H68" s="28">
        <f>IF(OR(3266113.78787="",242270.16413="",207297.69889=""),"-",(242270.16413-207297.69889)/3266113.78787*100)</f>
        <v>1.0707668964224093</v>
      </c>
    </row>
    <row r="69" spans="1:8" s="31" customFormat="1" x14ac:dyDescent="0.2">
      <c r="A69" s="66" t="s">
        <v>264</v>
      </c>
      <c r="B69" s="67" t="s">
        <v>31</v>
      </c>
      <c r="C69" s="32">
        <f>IF(4293.97139="","-",4293.97139)</f>
        <v>4293.9713899999997</v>
      </c>
      <c r="D69" s="28" t="s">
        <v>290</v>
      </c>
      <c r="E69" s="28">
        <f>IF(1165.83811="","-",1165.83811/3266113.78787*100)</f>
        <v>3.5694963057619086E-2</v>
      </c>
      <c r="F69" s="28">
        <f>IF(4293.97139="","-",4293.97139/4347054.06049*100)</f>
        <v>9.8778881749540137E-2</v>
      </c>
      <c r="G69" s="28">
        <f>IF(OR(2393616.81978="",3848.05306="",1165.83811=""),"-",(1165.83811-3848.05306)/2393616.81978*100)</f>
        <v>-0.11205698956638038</v>
      </c>
      <c r="H69" s="28">
        <f>IF(OR(3266113.78787="",4293.97139="",1165.83811=""),"-",(4293.97139-1165.83811)/3266113.78787*100)</f>
        <v>9.5775391892883671E-2</v>
      </c>
    </row>
    <row r="70" spans="1:8" s="31" customFormat="1" x14ac:dyDescent="0.2">
      <c r="A70" s="62" t="s">
        <v>265</v>
      </c>
      <c r="B70" s="63" t="s">
        <v>32</v>
      </c>
      <c r="C70" s="20">
        <f>IF(374622.46557="","-",374622.46557)</f>
        <v>374622.46557</v>
      </c>
      <c r="D70" s="26">
        <f>IF(380506.70617="","-",374622.46557/380506.70617*100)</f>
        <v>98.453577688754038</v>
      </c>
      <c r="E70" s="26">
        <f>IF(380506.70617="","-",380506.70617/3266113.78787*100)</f>
        <v>11.650136243971705</v>
      </c>
      <c r="F70" s="26">
        <f>IF(374622.46557="","-",374622.46557/4347054.06049*100)</f>
        <v>8.6178469454730582</v>
      </c>
      <c r="G70" s="26">
        <f>IF(2393616.81978="","-",(380506.70617-236113.88061)/2393616.81978*100)</f>
        <v>6.032411886764371</v>
      </c>
      <c r="H70" s="26">
        <f>IF(3266113.78787="","-",(374622.46557-380506.70617)/3266113.78787*100)</f>
        <v>-0.18016030616733147</v>
      </c>
    </row>
    <row r="71" spans="1:8" s="31" customFormat="1" ht="48" x14ac:dyDescent="0.2">
      <c r="A71" s="66" t="s">
        <v>266</v>
      </c>
      <c r="B71" s="67" t="s">
        <v>192</v>
      </c>
      <c r="C71" s="32">
        <f>IF(29441.18582="","-",29441.18582)</f>
        <v>29441.185819999999</v>
      </c>
      <c r="D71" s="28">
        <f>IF(OR(30521.93526="",29441.18582=""),"-",29441.18582/30521.93526*100)</f>
        <v>96.459105784762087</v>
      </c>
      <c r="E71" s="28">
        <f>IF(30521.93526="","-",30521.93526/3266113.78787*100)</f>
        <v>0.93450312029407012</v>
      </c>
      <c r="F71" s="28">
        <f>IF(29441.18582="","-",29441.18582/4347054.06049*100)</f>
        <v>0.67726753360599767</v>
      </c>
      <c r="G71" s="28">
        <f>IF(OR(2393616.81978="",17930.33029="",30521.93526=""),"-",(30521.93526-17930.33029)/2393616.81978*100)</f>
        <v>0.52604931858547455</v>
      </c>
      <c r="H71" s="28">
        <f>IF(OR(3266113.78787="",29441.18582="",30521.93526=""),"-",(29441.18582-30521.93526)/3266113.78787*100)</f>
        <v>-3.3089766927710491E-2</v>
      </c>
    </row>
    <row r="72" spans="1:8" x14ac:dyDescent="0.2">
      <c r="A72" s="66" t="s">
        <v>267</v>
      </c>
      <c r="B72" s="67" t="s">
        <v>167</v>
      </c>
      <c r="C72" s="32">
        <f>IF(35617.0993="","-",35617.0993)</f>
        <v>35617.099300000002</v>
      </c>
      <c r="D72" s="28">
        <f>IF(OR(33628.47288="",35617.0993=""),"-",35617.0993/33628.47288*100)</f>
        <v>105.91351985294195</v>
      </c>
      <c r="E72" s="28">
        <f>IF(33628.47288="","-",33628.47288/3266113.78787*100)</f>
        <v>1.0296173086465199</v>
      </c>
      <c r="F72" s="28">
        <f>IF(35617.0993="","-",35617.0993/4347054.06049*100)</f>
        <v>0.81933877067968275</v>
      </c>
      <c r="G72" s="28">
        <f>IF(OR(2393616.81978="",20755.91831="",33628.47288=""),"-",(33628.47288-20755.91831)/2393616.81978*100)</f>
        <v>0.53778676952909821</v>
      </c>
      <c r="H72" s="28">
        <f>IF(OR(3266113.78787="",35617.0993="",33628.47288=""),"-",(35617.0993-33628.47288)/3266113.78787*100)</f>
        <v>6.0886623956138572E-2</v>
      </c>
    </row>
    <row r="73" spans="1:8" x14ac:dyDescent="0.2">
      <c r="A73" s="66" t="s">
        <v>268</v>
      </c>
      <c r="B73" s="67" t="s">
        <v>168</v>
      </c>
      <c r="C73" s="32">
        <f>IF(8200.94204="","-",8200.94204)</f>
        <v>8200.9420399999999</v>
      </c>
      <c r="D73" s="28">
        <f>IF(OR(6078.90916="",8200.94204=""),"-",8200.94204/6078.90916*100)</f>
        <v>134.90811960085284</v>
      </c>
      <c r="E73" s="28">
        <f>IF(6078.90916="","-",6078.90916/3266113.78787*100)</f>
        <v>0.18612055656408616</v>
      </c>
      <c r="F73" s="28">
        <f>IF(8200.94204="","-",8200.94204/4347054.06049*100)</f>
        <v>0.18865516567961865</v>
      </c>
      <c r="G73" s="28">
        <f>IF(OR(2393616.81978="",3609.58892="",6078.90916=""),"-",(6078.90916-3609.58892)/2393616.81978*100)</f>
        <v>0.10316272093320927</v>
      </c>
      <c r="H73" s="28">
        <f>IF(OR(3266113.78787="",8200.94204="",6078.90916=""),"-",(8200.94204-6078.90916)/3266113.78787*100)</f>
        <v>6.4971186487164184E-2</v>
      </c>
    </row>
    <row r="74" spans="1:8" x14ac:dyDescent="0.2">
      <c r="A74" s="66" t="s">
        <v>269</v>
      </c>
      <c r="B74" s="67" t="s">
        <v>169</v>
      </c>
      <c r="C74" s="32">
        <f>IF(92719.97753="","-",92719.97753)</f>
        <v>92719.977530000004</v>
      </c>
      <c r="D74" s="28">
        <f>IF(OR(88652.84892="",92719.97753=""),"-",92719.97753/88652.84892*100)</f>
        <v>104.58770209818091</v>
      </c>
      <c r="E74" s="28">
        <f>IF(88652.84892="","-",88652.84892/3266113.78787*100)</f>
        <v>2.7143221172895835</v>
      </c>
      <c r="F74" s="28">
        <f>IF(92719.97753="","-",92719.97753/4347054.06049*100)</f>
        <v>2.1329382206842995</v>
      </c>
      <c r="G74" s="28">
        <f>IF(OR(2393616.81978="",53238.27236="",88652.84892=""),"-",(88652.84892-53238.27236)/2393616.81978*100)</f>
        <v>1.4795424341668437</v>
      </c>
      <c r="H74" s="28">
        <f>IF(OR(3266113.78787="",92719.97753="",88652.84892=""),"-",(92719.97753-88652.84892)/3266113.78787*100)</f>
        <v>0.12452501272628294</v>
      </c>
    </row>
    <row r="75" spans="1:8" x14ac:dyDescent="0.2">
      <c r="A75" s="66" t="s">
        <v>270</v>
      </c>
      <c r="B75" s="67" t="s">
        <v>170</v>
      </c>
      <c r="C75" s="32">
        <f>IF(30047.41229="","-",30047.41229)</f>
        <v>30047.41229</v>
      </c>
      <c r="D75" s="28">
        <f>IF(OR(24636.03446="",30047.41229=""),"-",30047.41229/24636.03446*100)</f>
        <v>121.96529574914388</v>
      </c>
      <c r="E75" s="28">
        <f>IF(24636.03446="","-",24636.03446/3266113.78787*100)</f>
        <v>0.75429198307467471</v>
      </c>
      <c r="F75" s="28">
        <f>IF(30047.41229="","-",30047.41229/4347054.06049*100)</f>
        <v>0.69121321869673402</v>
      </c>
      <c r="G75" s="28">
        <f>IF(OR(2393616.81978="",18114.84107="",24636.03446=""),"-",(24636.03446-18114.84107)/2393616.81978*100)</f>
        <v>0.27244099122763393</v>
      </c>
      <c r="H75" s="28">
        <f>IF(OR(3266113.78787="",30047.41229="",24636.03446=""),"-",(30047.41229-24636.03446)/3266113.78787*100)</f>
        <v>0.16568246489443461</v>
      </c>
    </row>
    <row r="76" spans="1:8" ht="24" x14ac:dyDescent="0.2">
      <c r="A76" s="66" t="s">
        <v>271</v>
      </c>
      <c r="B76" s="67" t="s">
        <v>193</v>
      </c>
      <c r="C76" s="32">
        <f>IF(33851.08665="","-",33851.08665)</f>
        <v>33851.086649999997</v>
      </c>
      <c r="D76" s="28">
        <f>IF(OR(48038.9842="",33851.08665=""),"-",33851.08665/48038.9842*100)</f>
        <v>70.465866865686138</v>
      </c>
      <c r="E76" s="28">
        <f>IF(48038.9842="","-",48038.9842/3266113.78787*100)</f>
        <v>1.4708300849288132</v>
      </c>
      <c r="F76" s="28">
        <f>IF(33851.08665="","-",33851.08665/4347054.06049*100)</f>
        <v>0.77871326601777535</v>
      </c>
      <c r="G76" s="28">
        <f>IF(OR(2393616.81978="",24669.19537="",48038.9842=""),"-",(48038.9842-24669.19537)/2393616.81978*100)</f>
        <v>0.97633792664224095</v>
      </c>
      <c r="H76" s="28">
        <f>IF(OR(3266113.78787="",33851.08665="",48038.9842=""),"-",(33851.08665-48038.9842)/3266113.78787*100)</f>
        <v>-0.43439691546241732</v>
      </c>
    </row>
    <row r="77" spans="1:8" ht="24" x14ac:dyDescent="0.2">
      <c r="A77" s="66" t="s">
        <v>272</v>
      </c>
      <c r="B77" s="67" t="s">
        <v>171</v>
      </c>
      <c r="C77" s="32">
        <f>IF(6869.66517="","-",6869.66517)</f>
        <v>6869.6651700000002</v>
      </c>
      <c r="D77" s="28">
        <f>IF(OR(9296.80939="",6869.66517=""),"-",6869.66517/9296.80939*100)</f>
        <v>73.892718262991082</v>
      </c>
      <c r="E77" s="28">
        <f>IF(9296.80939="","-",9296.80939/3266113.78787*100)</f>
        <v>0.28464438148258531</v>
      </c>
      <c r="F77" s="28">
        <f>IF(6869.66517="","-",6869.66517/4347054.06049*100)</f>
        <v>0.15803035974265411</v>
      </c>
      <c r="G77" s="28">
        <f>IF(OR(2393616.81978="",5006.9134="",9296.80939=""),"-",(9296.80939-5006.9134)/2393616.81978*100)</f>
        <v>0.17922233644707966</v>
      </c>
      <c r="H77" s="28">
        <f>IF(OR(3266113.78787="",6869.66517="",9296.80939=""),"-",(6869.66517-9296.80939)/3266113.78787*100)</f>
        <v>-7.431291062222499E-2</v>
      </c>
    </row>
    <row r="78" spans="1:8" x14ac:dyDescent="0.2">
      <c r="A78" s="66" t="s">
        <v>273</v>
      </c>
      <c r="B78" s="67" t="s">
        <v>33</v>
      </c>
      <c r="C78" s="32">
        <f>IF(137875.09677="","-",137875.09677)</f>
        <v>137875.09677</v>
      </c>
      <c r="D78" s="28">
        <f>IF(OR(139652.7119="",137875.09677=""),"-",137875.09677/139652.7119*100)</f>
        <v>98.727117357181811</v>
      </c>
      <c r="E78" s="28">
        <f>IF(139652.7119="","-",139652.7119/3266113.78787*100)</f>
        <v>4.275806691691372</v>
      </c>
      <c r="F78" s="28">
        <f>IF(137875.09677="","-",137875.09677/4347054.06049*100)</f>
        <v>3.1716904103662955</v>
      </c>
      <c r="G78" s="28">
        <f>IF(OR(2393616.81978="",92788.82089="",139652.7119=""),"-",(139652.7119-92788.82089)/2393616.81978*100)</f>
        <v>1.957869389232789</v>
      </c>
      <c r="H78" s="28">
        <f>IF(OR(3266113.78787="",137875.09677="",139652.7119=""),"-",(137875.09677-139652.7119)/3266113.78787*100)</f>
        <v>-5.4426001218998085E-2</v>
      </c>
    </row>
    <row r="79" spans="1:8" ht="24" x14ac:dyDescent="0.2">
      <c r="A79" s="70" t="s">
        <v>276</v>
      </c>
      <c r="B79" s="71" t="s">
        <v>172</v>
      </c>
      <c r="C79" s="20">
        <f>IF(12809.5982="","-",12809.5982)</f>
        <v>12809.5982</v>
      </c>
      <c r="D79" s="26" t="s">
        <v>403</v>
      </c>
      <c r="E79" s="26">
        <f>IF(85.98506="","-",85.98506/3266113.78787*100)</f>
        <v>2.6326412851670812E-3</v>
      </c>
      <c r="F79" s="26">
        <f>IF(12809.5982="","-",12809.5982/4347054.06049*100)</f>
        <v>0.29467308254630037</v>
      </c>
      <c r="G79" s="26">
        <f>IF(2393616.81978="","-",(85.98506-177.52041)/2393616.81978*100)</f>
        <v>-3.824143833030598E-3</v>
      </c>
      <c r="H79" s="26">
        <f>IF(3266113.78787="","-",(12809.5982-85.98506)/3266113.78787*100)</f>
        <v>0.38956429464442266</v>
      </c>
    </row>
    <row r="80" spans="1:8" ht="24" x14ac:dyDescent="0.2">
      <c r="A80" s="66" t="s">
        <v>316</v>
      </c>
      <c r="B80" s="67" t="s">
        <v>317</v>
      </c>
      <c r="C80" s="32">
        <f>IF(333.24465="","-",333.24465)</f>
        <v>333.24464999999998</v>
      </c>
      <c r="D80" s="28" t="str">
        <f>IF(OR(""="",333.24465=""),"-",333.24465/""*100)</f>
        <v>-</v>
      </c>
      <c r="E80" s="28" t="str">
        <f>IF(""="","-",""/3266113.78787*100)</f>
        <v>-</v>
      </c>
      <c r="F80" s="28">
        <f>IF(333.24465="","-",333.24465/4347054.06049*100)</f>
        <v>7.6659881695245501E-3</v>
      </c>
      <c r="G80" s="28" t="str">
        <f>IF(OR(2393616.81978="",""="",""=""),"-",(""-"")/2393616.81978*100)</f>
        <v>-</v>
      </c>
      <c r="H80" s="28" t="str">
        <f>IF(OR(3266113.78787="",333.24465="",""=""),"-",(333.24465-"")/3266113.78787*100)</f>
        <v>-</v>
      </c>
    </row>
    <row r="81" spans="1:10" x14ac:dyDescent="0.2">
      <c r="A81" s="66" t="s">
        <v>307</v>
      </c>
      <c r="B81" s="67" t="s">
        <v>308</v>
      </c>
      <c r="C81" s="32">
        <f>IF(296.77712="","-",296.77712)</f>
        <v>296.77712000000002</v>
      </c>
      <c r="D81" s="28" t="s">
        <v>404</v>
      </c>
      <c r="E81" s="28">
        <f>IF(1.43609="","-",1.43609/3266113.78787*100)</f>
        <v>4.3969380532101664E-5</v>
      </c>
      <c r="F81" s="28">
        <f>IF(296.77712="","-",296.77712/4347054.06049*100)</f>
        <v>6.8270860189520461E-3</v>
      </c>
      <c r="G81" s="28" t="str">
        <f>IF(OR(2393616.81978="",""="",1.43609=""),"-",(1.43609-"")/2393616.81978*100)</f>
        <v>-</v>
      </c>
      <c r="H81" s="28">
        <f>IF(OR(3266113.78787="",296.77712="",1.43609=""),"-",(296.77712-1.43609)/3266113.78787*100)</f>
        <v>9.0425823832857646E-3</v>
      </c>
    </row>
    <row r="82" spans="1:10" ht="24" x14ac:dyDescent="0.2">
      <c r="A82" s="75" t="s">
        <v>309</v>
      </c>
      <c r="B82" s="76" t="s">
        <v>315</v>
      </c>
      <c r="C82" s="96">
        <f>IF(12179.57643="","-",12179.57643)</f>
        <v>12179.576429999999</v>
      </c>
      <c r="D82" s="40" t="s">
        <v>405</v>
      </c>
      <c r="E82" s="40">
        <f>IF(84.54897="","-",84.54897/3266113.78787*100)</f>
        <v>2.5886719046349792E-3</v>
      </c>
      <c r="F82" s="40">
        <f>IF(12179.57643="","-",12179.57643/4347054.06049*100)</f>
        <v>0.28018000835782375</v>
      </c>
      <c r="G82" s="40">
        <f>IF(OR(2393616.81978="",177.52041="",84.54897=""),"-",(84.54897-177.52041)/2393616.81978*100)</f>
        <v>-3.8841404869700532E-3</v>
      </c>
      <c r="H82" s="40">
        <f>IF(OR(3266113.78787="",12179.57643="",84.54897=""),"-",(12179.57643-84.54897)/3266113.78787*100)</f>
        <v>0.37031861856496384</v>
      </c>
    </row>
    <row r="83" spans="1:10" x14ac:dyDescent="0.2">
      <c r="A83" s="41" t="s">
        <v>279</v>
      </c>
      <c r="B83" s="42"/>
      <c r="C83" s="97"/>
      <c r="D83" s="37"/>
      <c r="E83" s="37"/>
      <c r="F83" s="37"/>
      <c r="G83" s="37"/>
      <c r="H83" s="37"/>
      <c r="I83" s="18"/>
      <c r="J83" s="18"/>
    </row>
    <row r="84" spans="1:10" ht="13.5" x14ac:dyDescent="0.2">
      <c r="A84" s="98" t="s">
        <v>414</v>
      </c>
      <c r="B84" s="98"/>
      <c r="C84" s="98"/>
      <c r="D84" s="98"/>
      <c r="E84" s="98"/>
      <c r="F84" s="18"/>
      <c r="G84" s="18"/>
      <c r="H84" s="18"/>
    </row>
  </sheetData>
  <mergeCells count="12">
    <mergeCell ref="A84:E84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6"/>
  <sheetViews>
    <sheetView zoomScale="99" zoomScaleNormal="99" workbookViewId="0">
      <selection sqref="A1:G1"/>
    </sheetView>
  </sheetViews>
  <sheetFormatPr defaultRowHeight="12" x14ac:dyDescent="0.2"/>
  <cols>
    <col min="1" max="1" width="7" style="3" customWidth="1"/>
    <col min="2" max="2" width="38" style="3" customWidth="1"/>
    <col min="3" max="3" width="13.5" style="3" customWidth="1"/>
    <col min="4" max="4" width="12.5" style="3" customWidth="1"/>
    <col min="5" max="5" width="16.125" style="3" customWidth="1"/>
    <col min="6" max="16384" width="9" style="3"/>
  </cols>
  <sheetData>
    <row r="1" spans="1:5" x14ac:dyDescent="0.2">
      <c r="B1" s="44" t="s">
        <v>415</v>
      </c>
      <c r="C1" s="44"/>
      <c r="D1" s="44"/>
      <c r="E1" s="44"/>
    </row>
    <row r="2" spans="1:5" x14ac:dyDescent="0.2">
      <c r="B2" s="44" t="s">
        <v>278</v>
      </c>
      <c r="C2" s="44"/>
      <c r="D2" s="44"/>
      <c r="E2" s="44"/>
    </row>
    <row r="3" spans="1:5" x14ac:dyDescent="0.2">
      <c r="B3" s="45"/>
    </row>
    <row r="4" spans="1:5" ht="24.75" customHeight="1" x14ac:dyDescent="0.2">
      <c r="A4" s="46" t="s">
        <v>277</v>
      </c>
      <c r="B4" s="46"/>
      <c r="C4" s="47" t="s">
        <v>344</v>
      </c>
      <c r="D4" s="48"/>
      <c r="E4" s="49" t="s">
        <v>345</v>
      </c>
    </row>
    <row r="5" spans="1:5" ht="22.5" customHeight="1" x14ac:dyDescent="0.2">
      <c r="A5" s="50"/>
      <c r="B5" s="50"/>
      <c r="C5" s="51" t="s">
        <v>300</v>
      </c>
      <c r="D5" s="52" t="s">
        <v>301</v>
      </c>
      <c r="E5" s="53"/>
    </row>
    <row r="6" spans="1:5" x14ac:dyDescent="0.2">
      <c r="A6" s="54"/>
      <c r="B6" s="55" t="s">
        <v>285</v>
      </c>
      <c r="C6" s="56">
        <v>-1934611.4469999999</v>
      </c>
      <c r="D6" s="57">
        <v>-2056667.7006999999</v>
      </c>
      <c r="E6" s="58">
        <v>106.3090836089734</v>
      </c>
    </row>
    <row r="7" spans="1:5" x14ac:dyDescent="0.2">
      <c r="A7" s="54"/>
      <c r="B7" s="59" t="s">
        <v>120</v>
      </c>
      <c r="C7" s="60"/>
      <c r="D7" s="60"/>
      <c r="E7" s="61"/>
    </row>
    <row r="8" spans="1:5" x14ac:dyDescent="0.2">
      <c r="A8" s="62" t="s">
        <v>205</v>
      </c>
      <c r="B8" s="63" t="s">
        <v>173</v>
      </c>
      <c r="C8" s="64">
        <v>-145537.65622999999</v>
      </c>
      <c r="D8" s="64">
        <v>130938.96773</v>
      </c>
      <c r="E8" s="65" t="s">
        <v>20</v>
      </c>
    </row>
    <row r="9" spans="1:5" x14ac:dyDescent="0.2">
      <c r="A9" s="66" t="s">
        <v>206</v>
      </c>
      <c r="B9" s="67" t="s">
        <v>21</v>
      </c>
      <c r="C9" s="68">
        <v>3770.4438500000001</v>
      </c>
      <c r="D9" s="68">
        <v>-729.40311999999994</v>
      </c>
      <c r="E9" s="69" t="s">
        <v>20</v>
      </c>
    </row>
    <row r="10" spans="1:5" x14ac:dyDescent="0.2">
      <c r="A10" s="66" t="s">
        <v>207</v>
      </c>
      <c r="B10" s="67" t="s">
        <v>174</v>
      </c>
      <c r="C10" s="68">
        <v>-23541.19658</v>
      </c>
      <c r="D10" s="68">
        <v>-41934.391770000002</v>
      </c>
      <c r="E10" s="69" t="s">
        <v>195</v>
      </c>
    </row>
    <row r="11" spans="1:5" x14ac:dyDescent="0.2">
      <c r="A11" s="66" t="s">
        <v>208</v>
      </c>
      <c r="B11" s="67" t="s">
        <v>175</v>
      </c>
      <c r="C11" s="68">
        <v>-38444.623540000001</v>
      </c>
      <c r="D11" s="68">
        <v>-51466.099770000001</v>
      </c>
      <c r="E11" s="69">
        <v>133.87073413907075</v>
      </c>
    </row>
    <row r="12" spans="1:5" x14ac:dyDescent="0.2">
      <c r="A12" s="66" t="s">
        <v>209</v>
      </c>
      <c r="B12" s="67" t="s">
        <v>176</v>
      </c>
      <c r="C12" s="68">
        <v>-33748.31897</v>
      </c>
      <c r="D12" s="68">
        <v>-38075.203560000002</v>
      </c>
      <c r="E12" s="69">
        <v>112.82103737921381</v>
      </c>
    </row>
    <row r="13" spans="1:5" x14ac:dyDescent="0.2">
      <c r="A13" s="66" t="s">
        <v>210</v>
      </c>
      <c r="B13" s="67" t="s">
        <v>177</v>
      </c>
      <c r="C13" s="68">
        <v>4008.2430399999998</v>
      </c>
      <c r="D13" s="68">
        <v>256944.66268000001</v>
      </c>
      <c r="E13" s="69" t="s">
        <v>406</v>
      </c>
    </row>
    <row r="14" spans="1:5" x14ac:dyDescent="0.2">
      <c r="A14" s="66" t="s">
        <v>211</v>
      </c>
      <c r="B14" s="67" t="s">
        <v>178</v>
      </c>
      <c r="C14" s="68">
        <v>31780.047350000001</v>
      </c>
      <c r="D14" s="68">
        <v>80885.936220000003</v>
      </c>
      <c r="E14" s="69" t="s">
        <v>367</v>
      </c>
    </row>
    <row r="15" spans="1:5" x14ac:dyDescent="0.2">
      <c r="A15" s="66" t="s">
        <v>212</v>
      </c>
      <c r="B15" s="67" t="s">
        <v>136</v>
      </c>
      <c r="C15" s="68">
        <v>-3435.7915600000001</v>
      </c>
      <c r="D15" s="68">
        <v>2765.3800500000002</v>
      </c>
      <c r="E15" s="69" t="s">
        <v>20</v>
      </c>
    </row>
    <row r="16" spans="1:5" ht="15.75" customHeight="1" x14ac:dyDescent="0.2">
      <c r="A16" s="66" t="s">
        <v>213</v>
      </c>
      <c r="B16" s="67" t="s">
        <v>179</v>
      </c>
      <c r="C16" s="68">
        <v>-25437.09103</v>
      </c>
      <c r="D16" s="68">
        <v>-27024.791499999999</v>
      </c>
      <c r="E16" s="69">
        <v>106.24167467941794</v>
      </c>
    </row>
    <row r="17" spans="1:5" ht="24" x14ac:dyDescent="0.2">
      <c r="A17" s="66" t="s">
        <v>214</v>
      </c>
      <c r="B17" s="67" t="s">
        <v>137</v>
      </c>
      <c r="C17" s="68">
        <v>-14291.054980000001</v>
      </c>
      <c r="D17" s="68">
        <v>5814.1549599999998</v>
      </c>
      <c r="E17" s="69" t="s">
        <v>20</v>
      </c>
    </row>
    <row r="18" spans="1:5" x14ac:dyDescent="0.2">
      <c r="A18" s="66" t="s">
        <v>215</v>
      </c>
      <c r="B18" s="67" t="s">
        <v>180</v>
      </c>
      <c r="C18" s="68">
        <v>-46198.31381</v>
      </c>
      <c r="D18" s="68">
        <v>-56241.276460000001</v>
      </c>
      <c r="E18" s="69">
        <v>121.73880780866536</v>
      </c>
    </row>
    <row r="19" spans="1:5" x14ac:dyDescent="0.2">
      <c r="A19" s="62" t="s">
        <v>216</v>
      </c>
      <c r="B19" s="63" t="s">
        <v>181</v>
      </c>
      <c r="C19" s="64">
        <v>42680.475559999999</v>
      </c>
      <c r="D19" s="64">
        <v>19112.958920000001</v>
      </c>
      <c r="E19" s="65">
        <v>44.781504116867438</v>
      </c>
    </row>
    <row r="20" spans="1:5" x14ac:dyDescent="0.2">
      <c r="A20" s="66" t="s">
        <v>217</v>
      </c>
      <c r="B20" s="67" t="s">
        <v>182</v>
      </c>
      <c r="C20" s="68">
        <v>58781.659</v>
      </c>
      <c r="D20" s="68">
        <v>33913.968639999999</v>
      </c>
      <c r="E20" s="69">
        <v>57.69481368329533</v>
      </c>
    </row>
    <row r="21" spans="1:5" x14ac:dyDescent="0.2">
      <c r="A21" s="66" t="s">
        <v>218</v>
      </c>
      <c r="B21" s="67" t="s">
        <v>183</v>
      </c>
      <c r="C21" s="68">
        <v>-16101.183440000001</v>
      </c>
      <c r="D21" s="68">
        <v>-14801.00972</v>
      </c>
      <c r="E21" s="69">
        <v>91.924980391379236</v>
      </c>
    </row>
    <row r="22" spans="1:5" ht="16.5" customHeight="1" x14ac:dyDescent="0.2">
      <c r="A22" s="62" t="s">
        <v>219</v>
      </c>
      <c r="B22" s="63" t="s">
        <v>22</v>
      </c>
      <c r="C22" s="64">
        <v>23510.718519999999</v>
      </c>
      <c r="D22" s="64">
        <v>153138.76191999999</v>
      </c>
      <c r="E22" s="65" t="s">
        <v>340</v>
      </c>
    </row>
    <row r="23" spans="1:5" x14ac:dyDescent="0.2">
      <c r="A23" s="66" t="s">
        <v>220</v>
      </c>
      <c r="B23" s="67" t="s">
        <v>190</v>
      </c>
      <c r="C23" s="68">
        <v>640.98766999999998</v>
      </c>
      <c r="D23" s="68">
        <v>790.04340000000002</v>
      </c>
      <c r="E23" s="69">
        <v>123.25407133026445</v>
      </c>
    </row>
    <row r="24" spans="1:5" x14ac:dyDescent="0.2">
      <c r="A24" s="66" t="s">
        <v>221</v>
      </c>
      <c r="B24" s="67" t="s">
        <v>184</v>
      </c>
      <c r="C24" s="68">
        <v>38003.685279999998</v>
      </c>
      <c r="D24" s="68">
        <v>173517.28409999999</v>
      </c>
      <c r="E24" s="69" t="s">
        <v>390</v>
      </c>
    </row>
    <row r="25" spans="1:5" ht="17.25" customHeight="1" x14ac:dyDescent="0.2">
      <c r="A25" s="66" t="s">
        <v>274</v>
      </c>
      <c r="B25" s="67" t="s">
        <v>185</v>
      </c>
      <c r="C25" s="68">
        <v>-1065.50136</v>
      </c>
      <c r="D25" s="68">
        <v>-2076.4720299999999</v>
      </c>
      <c r="E25" s="69" t="s">
        <v>101</v>
      </c>
    </row>
    <row r="26" spans="1:5" x14ac:dyDescent="0.2">
      <c r="A26" s="66" t="s">
        <v>222</v>
      </c>
      <c r="B26" s="67" t="s">
        <v>186</v>
      </c>
      <c r="C26" s="68">
        <v>-18440.61476</v>
      </c>
      <c r="D26" s="68">
        <v>-26992.15322</v>
      </c>
      <c r="E26" s="69">
        <v>146.37339140422452</v>
      </c>
    </row>
    <row r="27" spans="1:5" x14ac:dyDescent="0.2">
      <c r="A27" s="66" t="s">
        <v>223</v>
      </c>
      <c r="B27" s="67" t="s">
        <v>138</v>
      </c>
      <c r="C27" s="68">
        <v>2177.3363199999999</v>
      </c>
      <c r="D27" s="68">
        <v>2381.36006</v>
      </c>
      <c r="E27" s="69">
        <v>109.3703365036413</v>
      </c>
    </row>
    <row r="28" spans="1:5" ht="36" x14ac:dyDescent="0.2">
      <c r="A28" s="66" t="s">
        <v>224</v>
      </c>
      <c r="B28" s="67" t="s">
        <v>139</v>
      </c>
      <c r="C28" s="68">
        <v>-4865.6383100000003</v>
      </c>
      <c r="D28" s="68">
        <v>-3912.9256999999998</v>
      </c>
      <c r="E28" s="69">
        <v>80.419576028864327</v>
      </c>
    </row>
    <row r="29" spans="1:5" ht="24" x14ac:dyDescent="0.2">
      <c r="A29" s="66" t="s">
        <v>225</v>
      </c>
      <c r="B29" s="67" t="s">
        <v>140</v>
      </c>
      <c r="C29" s="68">
        <v>-5614.6915399999998</v>
      </c>
      <c r="D29" s="68">
        <v>-4178.1748699999998</v>
      </c>
      <c r="E29" s="69">
        <v>74.415038479567116</v>
      </c>
    </row>
    <row r="30" spans="1:5" x14ac:dyDescent="0.2">
      <c r="A30" s="66" t="s">
        <v>226</v>
      </c>
      <c r="B30" s="67" t="s">
        <v>141</v>
      </c>
      <c r="C30" s="68">
        <v>41376.831259999999</v>
      </c>
      <c r="D30" s="68">
        <v>39002.354809999997</v>
      </c>
      <c r="E30" s="69">
        <v>94.261338102283659</v>
      </c>
    </row>
    <row r="31" spans="1:5" x14ac:dyDescent="0.2">
      <c r="A31" s="66" t="s">
        <v>227</v>
      </c>
      <c r="B31" s="67" t="s">
        <v>142</v>
      </c>
      <c r="C31" s="68">
        <v>-28701.676039999998</v>
      </c>
      <c r="D31" s="68">
        <v>-25392.554629999999</v>
      </c>
      <c r="E31" s="69">
        <v>88.470633542834733</v>
      </c>
    </row>
    <row r="32" spans="1:5" ht="15.75" customHeight="1" x14ac:dyDescent="0.2">
      <c r="A32" s="62" t="s">
        <v>228</v>
      </c>
      <c r="B32" s="63" t="s">
        <v>143</v>
      </c>
      <c r="C32" s="64">
        <v>-375783.304</v>
      </c>
      <c r="D32" s="64">
        <v>-893111.88966999995</v>
      </c>
      <c r="E32" s="65" t="s">
        <v>281</v>
      </c>
    </row>
    <row r="33" spans="1:5" x14ac:dyDescent="0.2">
      <c r="A33" s="66" t="s">
        <v>229</v>
      </c>
      <c r="B33" s="67" t="s">
        <v>187</v>
      </c>
      <c r="C33" s="68">
        <v>-5159.7174299999997</v>
      </c>
      <c r="D33" s="68">
        <v>-9395.8387700000003</v>
      </c>
      <c r="E33" s="69" t="s">
        <v>195</v>
      </c>
    </row>
    <row r="34" spans="1:5" x14ac:dyDescent="0.2">
      <c r="A34" s="66" t="s">
        <v>230</v>
      </c>
      <c r="B34" s="67" t="s">
        <v>144</v>
      </c>
      <c r="C34" s="68">
        <v>-239395.49559000001</v>
      </c>
      <c r="D34" s="68">
        <v>-441669.88563999999</v>
      </c>
      <c r="E34" s="69" t="s">
        <v>195</v>
      </c>
    </row>
    <row r="35" spans="1:5" x14ac:dyDescent="0.2">
      <c r="A35" s="66" t="s">
        <v>275</v>
      </c>
      <c r="B35" s="67" t="s">
        <v>188</v>
      </c>
      <c r="C35" s="68">
        <v>-127670.73032</v>
      </c>
      <c r="D35" s="68">
        <v>-430809.89267999999</v>
      </c>
      <c r="E35" s="69" t="s">
        <v>321</v>
      </c>
    </row>
    <row r="36" spans="1:5" x14ac:dyDescent="0.2">
      <c r="A36" s="66" t="s">
        <v>282</v>
      </c>
      <c r="B36" s="67" t="s">
        <v>284</v>
      </c>
      <c r="C36" s="68">
        <v>-3557.3606599999998</v>
      </c>
      <c r="D36" s="68">
        <v>-11236.272580000001</v>
      </c>
      <c r="E36" s="69" t="s">
        <v>400</v>
      </c>
    </row>
    <row r="37" spans="1:5" ht="24" x14ac:dyDescent="0.2">
      <c r="A37" s="62" t="s">
        <v>231</v>
      </c>
      <c r="B37" s="63" t="s">
        <v>145</v>
      </c>
      <c r="C37" s="64">
        <v>37262.154210000001</v>
      </c>
      <c r="D37" s="64">
        <v>186089.26314</v>
      </c>
      <c r="E37" s="65" t="s">
        <v>407</v>
      </c>
    </row>
    <row r="38" spans="1:5" x14ac:dyDescent="0.2">
      <c r="A38" s="66" t="s">
        <v>232</v>
      </c>
      <c r="B38" s="67" t="s">
        <v>191</v>
      </c>
      <c r="C38" s="68">
        <v>-790.53854999999999</v>
      </c>
      <c r="D38" s="68">
        <v>-1093.7247</v>
      </c>
      <c r="E38" s="69">
        <v>138.35184887568101</v>
      </c>
    </row>
    <row r="39" spans="1:5" ht="14.25" customHeight="1" x14ac:dyDescent="0.2">
      <c r="A39" s="66" t="s">
        <v>233</v>
      </c>
      <c r="B39" s="67" t="s">
        <v>146</v>
      </c>
      <c r="C39" s="68">
        <v>38983.725059999997</v>
      </c>
      <c r="D39" s="68">
        <v>188609.58475000001</v>
      </c>
      <c r="E39" s="69" t="s">
        <v>408</v>
      </c>
    </row>
    <row r="40" spans="1:5" ht="40.5" customHeight="1" x14ac:dyDescent="0.2">
      <c r="A40" s="66" t="s">
        <v>234</v>
      </c>
      <c r="B40" s="67" t="s">
        <v>189</v>
      </c>
      <c r="C40" s="68">
        <v>-931.03229999999996</v>
      </c>
      <c r="D40" s="68">
        <v>-1426.59691</v>
      </c>
      <c r="E40" s="69">
        <v>153.22743475172666</v>
      </c>
    </row>
    <row r="41" spans="1:5" ht="15" customHeight="1" x14ac:dyDescent="0.2">
      <c r="A41" s="62" t="s">
        <v>235</v>
      </c>
      <c r="B41" s="63" t="s">
        <v>147</v>
      </c>
      <c r="C41" s="64">
        <v>-434931.43800000002</v>
      </c>
      <c r="D41" s="64">
        <v>-505365.47039999999</v>
      </c>
      <c r="E41" s="65">
        <v>116.19428402873926</v>
      </c>
    </row>
    <row r="42" spans="1:5" x14ac:dyDescent="0.2">
      <c r="A42" s="66" t="s">
        <v>236</v>
      </c>
      <c r="B42" s="67" t="s">
        <v>23</v>
      </c>
      <c r="C42" s="68">
        <v>9955.0782799999997</v>
      </c>
      <c r="D42" s="68">
        <v>15824.1734</v>
      </c>
      <c r="E42" s="69">
        <v>158.95579075245604</v>
      </c>
    </row>
    <row r="43" spans="1:5" x14ac:dyDescent="0.2">
      <c r="A43" s="66" t="s">
        <v>237</v>
      </c>
      <c r="B43" s="67" t="s">
        <v>24</v>
      </c>
      <c r="C43" s="68">
        <v>-7113.3540800000001</v>
      </c>
      <c r="D43" s="68">
        <v>-12598.71566</v>
      </c>
      <c r="E43" s="69" t="s">
        <v>195</v>
      </c>
    </row>
    <row r="44" spans="1:5" x14ac:dyDescent="0.2">
      <c r="A44" s="66" t="s">
        <v>238</v>
      </c>
      <c r="B44" s="67" t="s">
        <v>148</v>
      </c>
      <c r="C44" s="68">
        <v>-21725.205419999998</v>
      </c>
      <c r="D44" s="68">
        <v>-21222.620040000002</v>
      </c>
      <c r="E44" s="69">
        <v>97.686625418338636</v>
      </c>
    </row>
    <row r="45" spans="1:5" x14ac:dyDescent="0.2">
      <c r="A45" s="66" t="s">
        <v>239</v>
      </c>
      <c r="B45" s="67" t="s">
        <v>149</v>
      </c>
      <c r="C45" s="68">
        <v>-113683.97375999999</v>
      </c>
      <c r="D45" s="68">
        <v>-120983.99004999999</v>
      </c>
      <c r="E45" s="69">
        <v>106.42132399894042</v>
      </c>
    </row>
    <row r="46" spans="1:5" ht="28.5" customHeight="1" x14ac:dyDescent="0.2">
      <c r="A46" s="66" t="s">
        <v>240</v>
      </c>
      <c r="B46" s="67" t="s">
        <v>150</v>
      </c>
      <c r="C46" s="68">
        <v>-60475.470439999997</v>
      </c>
      <c r="D46" s="68">
        <v>-63187.895499999999</v>
      </c>
      <c r="E46" s="69">
        <v>104.48516570481432</v>
      </c>
    </row>
    <row r="47" spans="1:5" x14ac:dyDescent="0.2">
      <c r="A47" s="66" t="s">
        <v>241</v>
      </c>
      <c r="B47" s="67" t="s">
        <v>151</v>
      </c>
      <c r="C47" s="68">
        <v>-40699.365299999998</v>
      </c>
      <c r="D47" s="68">
        <v>-82064.462920000005</v>
      </c>
      <c r="E47" s="69" t="s">
        <v>18</v>
      </c>
    </row>
    <row r="48" spans="1:5" x14ac:dyDescent="0.2">
      <c r="A48" s="66" t="s">
        <v>242</v>
      </c>
      <c r="B48" s="67" t="s">
        <v>25</v>
      </c>
      <c r="C48" s="68">
        <v>-30193.081109999999</v>
      </c>
      <c r="D48" s="68">
        <v>-37275.730069999998</v>
      </c>
      <c r="E48" s="69">
        <v>123.4578542487809</v>
      </c>
    </row>
    <row r="49" spans="1:5" x14ac:dyDescent="0.2">
      <c r="A49" s="66" t="s">
        <v>243</v>
      </c>
      <c r="B49" s="67" t="s">
        <v>26</v>
      </c>
      <c r="C49" s="68">
        <v>-71028.17383</v>
      </c>
      <c r="D49" s="68">
        <v>-69607.487420000005</v>
      </c>
      <c r="E49" s="69">
        <v>97.999826923045646</v>
      </c>
    </row>
    <row r="50" spans="1:5" x14ac:dyDescent="0.2">
      <c r="A50" s="66" t="s">
        <v>244</v>
      </c>
      <c r="B50" s="67" t="s">
        <v>152</v>
      </c>
      <c r="C50" s="68">
        <v>-99967.892340000006</v>
      </c>
      <c r="D50" s="68">
        <v>-114248.74214</v>
      </c>
      <c r="E50" s="69">
        <v>114.28543651938716</v>
      </c>
    </row>
    <row r="51" spans="1:5" ht="24" x14ac:dyDescent="0.2">
      <c r="A51" s="62" t="s">
        <v>245</v>
      </c>
      <c r="B51" s="63" t="s">
        <v>341</v>
      </c>
      <c r="C51" s="64">
        <v>-502325.57903999998</v>
      </c>
      <c r="D51" s="64">
        <v>-492218.13400999998</v>
      </c>
      <c r="E51" s="65">
        <v>97.987869729963492</v>
      </c>
    </row>
    <row r="52" spans="1:5" x14ac:dyDescent="0.2">
      <c r="A52" s="66" t="s">
        <v>246</v>
      </c>
      <c r="B52" s="67" t="s">
        <v>153</v>
      </c>
      <c r="C52" s="68">
        <v>-28267.49235</v>
      </c>
      <c r="D52" s="68">
        <v>-27281.348290000002</v>
      </c>
      <c r="E52" s="69">
        <v>96.511384710784228</v>
      </c>
    </row>
    <row r="53" spans="1:5" x14ac:dyDescent="0.2">
      <c r="A53" s="66" t="s">
        <v>247</v>
      </c>
      <c r="B53" s="67" t="s">
        <v>27</v>
      </c>
      <c r="C53" s="68">
        <v>-30273.205399999999</v>
      </c>
      <c r="D53" s="68">
        <v>-40027.865839999999</v>
      </c>
      <c r="E53" s="69">
        <v>132.22209313850854</v>
      </c>
    </row>
    <row r="54" spans="1:5" x14ac:dyDescent="0.2">
      <c r="A54" s="66" t="s">
        <v>248</v>
      </c>
      <c r="B54" s="67" t="s">
        <v>154</v>
      </c>
      <c r="C54" s="68">
        <v>-36983.411599999999</v>
      </c>
      <c r="D54" s="68">
        <v>-35757.808169999997</v>
      </c>
      <c r="E54" s="69">
        <v>96.686072547184907</v>
      </c>
    </row>
    <row r="55" spans="1:5" ht="24" x14ac:dyDescent="0.2">
      <c r="A55" s="66" t="s">
        <v>249</v>
      </c>
      <c r="B55" s="67" t="s">
        <v>155</v>
      </c>
      <c r="C55" s="68">
        <v>-46839.690860000002</v>
      </c>
      <c r="D55" s="68">
        <v>-58047.834690000003</v>
      </c>
      <c r="E55" s="69">
        <v>123.92873143313483</v>
      </c>
    </row>
    <row r="56" spans="1:5" ht="24" x14ac:dyDescent="0.2">
      <c r="A56" s="66" t="s">
        <v>250</v>
      </c>
      <c r="B56" s="67" t="s">
        <v>156</v>
      </c>
      <c r="C56" s="68">
        <v>-118982.54448</v>
      </c>
      <c r="D56" s="68">
        <v>-117828.55155</v>
      </c>
      <c r="E56" s="69">
        <v>99.030115774508445</v>
      </c>
    </row>
    <row r="57" spans="1:5" x14ac:dyDescent="0.2">
      <c r="A57" s="66" t="s">
        <v>251</v>
      </c>
      <c r="B57" s="67" t="s">
        <v>28</v>
      </c>
      <c r="C57" s="68">
        <v>-46862.552739999999</v>
      </c>
      <c r="D57" s="68">
        <v>-32779.458209999997</v>
      </c>
      <c r="E57" s="69">
        <v>69.948084970669484</v>
      </c>
    </row>
    <row r="58" spans="1:5" x14ac:dyDescent="0.2">
      <c r="A58" s="66" t="s">
        <v>252</v>
      </c>
      <c r="B58" s="67" t="s">
        <v>157</v>
      </c>
      <c r="C58" s="68">
        <v>-77360.536630000002</v>
      </c>
      <c r="D58" s="68">
        <v>-91291.194340000002</v>
      </c>
      <c r="E58" s="69">
        <v>118.00744710009906</v>
      </c>
    </row>
    <row r="59" spans="1:5" x14ac:dyDescent="0.2">
      <c r="A59" s="66" t="s">
        <v>253</v>
      </c>
      <c r="B59" s="67" t="s">
        <v>29</v>
      </c>
      <c r="C59" s="68">
        <v>-37779.634919999997</v>
      </c>
      <c r="D59" s="68">
        <v>-15558.11529</v>
      </c>
      <c r="E59" s="69">
        <v>41.181221901548227</v>
      </c>
    </row>
    <row r="60" spans="1:5" x14ac:dyDescent="0.2">
      <c r="A60" s="66" t="s">
        <v>254</v>
      </c>
      <c r="B60" s="67" t="s">
        <v>30</v>
      </c>
      <c r="C60" s="68">
        <v>-78976.510060000001</v>
      </c>
      <c r="D60" s="68">
        <v>-73645.957630000004</v>
      </c>
      <c r="E60" s="69">
        <v>93.250458362935674</v>
      </c>
    </row>
    <row r="61" spans="1:5" x14ac:dyDescent="0.2">
      <c r="A61" s="62" t="s">
        <v>255</v>
      </c>
      <c r="B61" s="63" t="s">
        <v>158</v>
      </c>
      <c r="C61" s="64">
        <v>-488974.53547</v>
      </c>
      <c r="D61" s="64">
        <v>-581047.25069000002</v>
      </c>
      <c r="E61" s="65">
        <v>118.82975667260467</v>
      </c>
    </row>
    <row r="62" spans="1:5" ht="16.5" customHeight="1" x14ac:dyDescent="0.2">
      <c r="A62" s="66" t="s">
        <v>256</v>
      </c>
      <c r="B62" s="67" t="s">
        <v>159</v>
      </c>
      <c r="C62" s="68">
        <v>-12526.20061</v>
      </c>
      <c r="D62" s="68">
        <v>-12418.46718</v>
      </c>
      <c r="E62" s="69">
        <v>99.139935297587414</v>
      </c>
    </row>
    <row r="63" spans="1:5" ht="24" x14ac:dyDescent="0.2">
      <c r="A63" s="66" t="s">
        <v>257</v>
      </c>
      <c r="B63" s="67" t="s">
        <v>160</v>
      </c>
      <c r="C63" s="68">
        <v>-89164.358649999995</v>
      </c>
      <c r="D63" s="68">
        <v>-150093.63777</v>
      </c>
      <c r="E63" s="69" t="s">
        <v>99</v>
      </c>
    </row>
    <row r="64" spans="1:5" x14ac:dyDescent="0.2">
      <c r="A64" s="66" t="s">
        <v>258</v>
      </c>
      <c r="B64" s="67" t="s">
        <v>161</v>
      </c>
      <c r="C64" s="68">
        <v>-6971.53</v>
      </c>
      <c r="D64" s="68">
        <v>-3564.7784200000001</v>
      </c>
      <c r="E64" s="69">
        <v>51.133372731667222</v>
      </c>
    </row>
    <row r="65" spans="1:5" ht="24" x14ac:dyDescent="0.2">
      <c r="A65" s="66" t="s">
        <v>259</v>
      </c>
      <c r="B65" s="67" t="s">
        <v>162</v>
      </c>
      <c r="C65" s="68">
        <v>-106166.02524</v>
      </c>
      <c r="D65" s="68">
        <v>-105282.07578</v>
      </c>
      <c r="E65" s="69">
        <v>99.167389512792127</v>
      </c>
    </row>
    <row r="66" spans="1:5" ht="27.75" customHeight="1" x14ac:dyDescent="0.2">
      <c r="A66" s="66" t="s">
        <v>260</v>
      </c>
      <c r="B66" s="67" t="s">
        <v>163</v>
      </c>
      <c r="C66" s="68">
        <v>-36532.081579999904</v>
      </c>
      <c r="D66" s="68">
        <v>-41169.557950000002</v>
      </c>
      <c r="E66" s="69">
        <v>112.6942571280662</v>
      </c>
    </row>
    <row r="67" spans="1:5" ht="29.25" customHeight="1" x14ac:dyDescent="0.2">
      <c r="A67" s="66" t="s">
        <v>261</v>
      </c>
      <c r="B67" s="67" t="s">
        <v>164</v>
      </c>
      <c r="C67" s="68">
        <v>-87197.975019999998</v>
      </c>
      <c r="D67" s="68">
        <v>-83755.039149999997</v>
      </c>
      <c r="E67" s="69">
        <v>96.051587357148691</v>
      </c>
    </row>
    <row r="68" spans="1:5" ht="15" customHeight="1" x14ac:dyDescent="0.2">
      <c r="A68" s="66" t="s">
        <v>262</v>
      </c>
      <c r="B68" s="67" t="s">
        <v>165</v>
      </c>
      <c r="C68" s="68">
        <v>31050.26355</v>
      </c>
      <c r="D68" s="68">
        <v>15531.693079999999</v>
      </c>
      <c r="E68" s="69">
        <v>50.021131237708929</v>
      </c>
    </row>
    <row r="69" spans="1:5" x14ac:dyDescent="0.2">
      <c r="A69" s="66" t="s">
        <v>263</v>
      </c>
      <c r="B69" s="67" t="s">
        <v>166</v>
      </c>
      <c r="C69" s="68">
        <v>-180655.68351</v>
      </c>
      <c r="D69" s="68">
        <v>-197537.79790999999</v>
      </c>
      <c r="E69" s="69">
        <v>109.34491186327138</v>
      </c>
    </row>
    <row r="70" spans="1:5" x14ac:dyDescent="0.2">
      <c r="A70" s="66" t="s">
        <v>264</v>
      </c>
      <c r="B70" s="67" t="s">
        <v>31</v>
      </c>
      <c r="C70" s="68">
        <v>-810.94440999999995</v>
      </c>
      <c r="D70" s="68">
        <v>-2757.58961</v>
      </c>
      <c r="E70" s="69" t="s">
        <v>321</v>
      </c>
    </row>
    <row r="71" spans="1:5" x14ac:dyDescent="0.2">
      <c r="A71" s="62" t="s">
        <v>265</v>
      </c>
      <c r="B71" s="63" t="s">
        <v>32</v>
      </c>
      <c r="C71" s="64">
        <v>-90784.622099999993</v>
      </c>
      <c r="D71" s="64">
        <v>-63370.754930000003</v>
      </c>
      <c r="E71" s="65">
        <v>69.803402232810541</v>
      </c>
    </row>
    <row r="72" spans="1:5" ht="24" x14ac:dyDescent="0.2">
      <c r="A72" s="66" t="s">
        <v>266</v>
      </c>
      <c r="B72" s="67" t="s">
        <v>192</v>
      </c>
      <c r="C72" s="68">
        <v>-21992.412950000002</v>
      </c>
      <c r="D72" s="68">
        <v>-20976.47308</v>
      </c>
      <c r="E72" s="69">
        <v>95.380498391378183</v>
      </c>
    </row>
    <row r="73" spans="1:5" x14ac:dyDescent="0.2">
      <c r="A73" s="66" t="s">
        <v>267</v>
      </c>
      <c r="B73" s="67" t="s">
        <v>167</v>
      </c>
      <c r="C73" s="68">
        <v>46858.568240000001</v>
      </c>
      <c r="D73" s="68">
        <v>39327.891600000003</v>
      </c>
      <c r="E73" s="69">
        <v>83.928922878246269</v>
      </c>
    </row>
    <row r="74" spans="1:5" x14ac:dyDescent="0.2">
      <c r="A74" s="66" t="s">
        <v>268</v>
      </c>
      <c r="B74" s="67" t="s">
        <v>168</v>
      </c>
      <c r="C74" s="68">
        <v>1696.2371700000001</v>
      </c>
      <c r="D74" s="68">
        <v>-404.88788</v>
      </c>
      <c r="E74" s="69" t="s">
        <v>20</v>
      </c>
    </row>
    <row r="75" spans="1:5" x14ac:dyDescent="0.2">
      <c r="A75" s="66" t="s">
        <v>269</v>
      </c>
      <c r="B75" s="67" t="s">
        <v>169</v>
      </c>
      <c r="C75" s="68">
        <v>42779.838640000002</v>
      </c>
      <c r="D75" s="68">
        <v>54778.820359999998</v>
      </c>
      <c r="E75" s="69">
        <v>128.04821640626926</v>
      </c>
    </row>
    <row r="76" spans="1:5" x14ac:dyDescent="0.2">
      <c r="A76" s="66" t="s">
        <v>270</v>
      </c>
      <c r="B76" s="67" t="s">
        <v>170</v>
      </c>
      <c r="C76" s="68">
        <v>-6303.7741999999998</v>
      </c>
      <c r="D76" s="68">
        <v>-10246.30782</v>
      </c>
      <c r="E76" s="69" t="s">
        <v>100</v>
      </c>
    </row>
    <row r="77" spans="1:5" ht="24" x14ac:dyDescent="0.2">
      <c r="A77" s="66" t="s">
        <v>271</v>
      </c>
      <c r="B77" s="67" t="s">
        <v>193</v>
      </c>
      <c r="C77" s="68">
        <v>-35994.879630000003</v>
      </c>
      <c r="D77" s="68">
        <v>-23543.967130000001</v>
      </c>
      <c r="E77" s="69">
        <v>65.409212010191681</v>
      </c>
    </row>
    <row r="78" spans="1:5" ht="24" x14ac:dyDescent="0.2">
      <c r="A78" s="66" t="s">
        <v>272</v>
      </c>
      <c r="B78" s="67" t="s">
        <v>171</v>
      </c>
      <c r="C78" s="68">
        <v>-7739.38274</v>
      </c>
      <c r="D78" s="68">
        <v>-4530.23117</v>
      </c>
      <c r="E78" s="69">
        <v>58.534786586869323</v>
      </c>
    </row>
    <row r="79" spans="1:5" x14ac:dyDescent="0.2">
      <c r="A79" s="66" t="s">
        <v>273</v>
      </c>
      <c r="B79" s="67" t="s">
        <v>33</v>
      </c>
      <c r="C79" s="68">
        <v>-110088.81663</v>
      </c>
      <c r="D79" s="68">
        <v>-97775.59981</v>
      </c>
      <c r="E79" s="69">
        <v>88.815197404306957</v>
      </c>
    </row>
    <row r="80" spans="1:5" x14ac:dyDescent="0.2">
      <c r="A80" s="70" t="s">
        <v>276</v>
      </c>
      <c r="B80" s="71" t="s">
        <v>172</v>
      </c>
      <c r="C80" s="72">
        <v>272.33954999999997</v>
      </c>
      <c r="D80" s="64">
        <v>-10834.15271</v>
      </c>
      <c r="E80" s="65" t="s">
        <v>20</v>
      </c>
    </row>
    <row r="81" spans="1:5" ht="24" x14ac:dyDescent="0.2">
      <c r="A81" s="66" t="s">
        <v>316</v>
      </c>
      <c r="B81" s="67" t="s">
        <v>317</v>
      </c>
      <c r="C81" s="73" t="s">
        <v>280</v>
      </c>
      <c r="D81" s="68">
        <v>-333.24464999999998</v>
      </c>
      <c r="E81" s="69" t="s">
        <v>280</v>
      </c>
    </row>
    <row r="82" spans="1:5" x14ac:dyDescent="0.2">
      <c r="A82" s="66" t="s">
        <v>307</v>
      </c>
      <c r="B82" s="67" t="s">
        <v>308</v>
      </c>
      <c r="C82" s="74">
        <v>356.88852000000003</v>
      </c>
      <c r="D82" s="68">
        <v>423.5274</v>
      </c>
      <c r="E82" s="69">
        <v>118.67218368357715</v>
      </c>
    </row>
    <row r="83" spans="1:5" x14ac:dyDescent="0.2">
      <c r="A83" s="75" t="s">
        <v>309</v>
      </c>
      <c r="B83" s="76" t="s">
        <v>315</v>
      </c>
      <c r="C83" s="77">
        <v>-84.548969999999997</v>
      </c>
      <c r="D83" s="78">
        <v>-10924.435460000001</v>
      </c>
      <c r="E83" s="79" t="s">
        <v>409</v>
      </c>
    </row>
    <row r="84" spans="1:5" x14ac:dyDescent="0.2">
      <c r="A84" s="41" t="s">
        <v>279</v>
      </c>
      <c r="B84" s="42"/>
    </row>
    <row r="85" spans="1:5" x14ac:dyDescent="0.2">
      <c r="C85" s="68"/>
      <c r="D85" s="68"/>
      <c r="E85" s="80"/>
    </row>
    <row r="86" spans="1:5" x14ac:dyDescent="0.2">
      <c r="C86" s="68"/>
      <c r="D86" s="68"/>
      <c r="E86" s="80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Cebotari</cp:lastModifiedBy>
  <cp:lastPrinted>2022-08-16T09:42:18Z</cp:lastPrinted>
  <dcterms:created xsi:type="dcterms:W3CDTF">2016-09-01T07:59:47Z</dcterms:created>
  <dcterms:modified xsi:type="dcterms:W3CDTF">2022-08-17T06:09:15Z</dcterms:modified>
</cp:coreProperties>
</file>