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5_2022_REV.1\"/>
    </mc:Choice>
  </mc:AlternateContent>
  <bookViews>
    <workbookView xWindow="0" yWindow="0" windowWidth="25125" windowHeight="1219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D47" i="5" l="1"/>
  <c r="E81" i="4" l="1"/>
  <c r="E79" i="4"/>
  <c r="E78" i="4"/>
  <c r="E77" i="4"/>
  <c r="E76" i="4"/>
  <c r="E75" i="4"/>
  <c r="E73" i="4"/>
  <c r="E72" i="4"/>
  <c r="E71" i="4"/>
  <c r="E69" i="4"/>
  <c r="E68" i="4"/>
  <c r="E67" i="4"/>
  <c r="E66" i="4"/>
  <c r="E65" i="4"/>
  <c r="E64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6" i="4"/>
  <c r="E45" i="4"/>
  <c r="E44" i="4"/>
  <c r="E41" i="4"/>
  <c r="E40" i="4"/>
  <c r="E38" i="4"/>
  <c r="E31" i="4"/>
  <c r="E30" i="4"/>
  <c r="E29" i="4"/>
  <c r="E28" i="4"/>
  <c r="E27" i="4"/>
  <c r="E23" i="4"/>
  <c r="E21" i="4"/>
  <c r="E20" i="4"/>
  <c r="E19" i="4"/>
  <c r="E18" i="4"/>
  <c r="E16" i="4"/>
  <c r="E12" i="4"/>
  <c r="E11" i="4"/>
  <c r="E6" i="4"/>
  <c r="H82" i="6" l="1"/>
  <c r="G82" i="6"/>
  <c r="F82" i="6"/>
  <c r="E82" i="6"/>
  <c r="H81" i="6"/>
  <c r="G81" i="6"/>
  <c r="F81" i="6"/>
  <c r="E81" i="6"/>
  <c r="H80" i="6"/>
  <c r="G80" i="6"/>
  <c r="F80" i="6"/>
  <c r="E80" i="6"/>
  <c r="D80" i="6"/>
  <c r="H79" i="6"/>
  <c r="G79" i="6"/>
  <c r="F79" i="6"/>
  <c r="E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H37" i="6"/>
  <c r="G37" i="6"/>
  <c r="F37" i="6"/>
  <c r="E37" i="6"/>
  <c r="D37" i="6"/>
  <c r="H36" i="6"/>
  <c r="G36" i="6"/>
  <c r="F36" i="6"/>
  <c r="E36" i="6"/>
  <c r="H35" i="6"/>
  <c r="G35" i="6"/>
  <c r="F35" i="6"/>
  <c r="E35" i="6"/>
  <c r="H34" i="6"/>
  <c r="G34" i="6"/>
  <c r="F34" i="6"/>
  <c r="E34" i="6"/>
  <c r="H33" i="6"/>
  <c r="G33" i="6"/>
  <c r="F33" i="6"/>
  <c r="E33" i="6"/>
  <c r="H32" i="6"/>
  <c r="G32" i="6"/>
  <c r="F32" i="6"/>
  <c r="E32" i="6"/>
  <c r="H31" i="6"/>
  <c r="G31" i="6"/>
  <c r="F31" i="6"/>
  <c r="E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H23" i="6"/>
  <c r="G23" i="6"/>
  <c r="F23" i="6"/>
  <c r="E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H9" i="6"/>
  <c r="G9" i="6"/>
  <c r="F9" i="6"/>
  <c r="E9" i="6"/>
  <c r="H8" i="6"/>
  <c r="G8" i="6"/>
  <c r="F8" i="6"/>
  <c r="E8" i="6"/>
  <c r="D8" i="6"/>
  <c r="H7" i="6"/>
  <c r="G7" i="6"/>
  <c r="D7" i="6"/>
  <c r="H81" i="5"/>
  <c r="G81" i="5"/>
  <c r="F81" i="5"/>
  <c r="E81" i="5"/>
  <c r="D81" i="5"/>
  <c r="C81" i="5"/>
  <c r="H80" i="5"/>
  <c r="G80" i="5"/>
  <c r="F80" i="5"/>
  <c r="E80" i="5"/>
  <c r="D80" i="5"/>
  <c r="C80" i="5"/>
  <c r="F79" i="5"/>
  <c r="E79" i="5"/>
  <c r="D79" i="5"/>
  <c r="C79" i="5"/>
  <c r="H78" i="5"/>
  <c r="G78" i="5"/>
  <c r="F78" i="5"/>
  <c r="E78" i="5"/>
  <c r="D78" i="5"/>
  <c r="C78" i="5"/>
  <c r="H77" i="5"/>
  <c r="G77" i="5"/>
  <c r="F77" i="5"/>
  <c r="E77" i="5"/>
  <c r="D77" i="5"/>
  <c r="C77" i="5"/>
  <c r="H76" i="5"/>
  <c r="G76" i="5"/>
  <c r="F76" i="5"/>
  <c r="E76" i="5"/>
  <c r="D76" i="5"/>
  <c r="C76" i="5"/>
  <c r="H75" i="5"/>
  <c r="G75" i="5"/>
  <c r="F75" i="5"/>
  <c r="E75" i="5"/>
  <c r="D75" i="5"/>
  <c r="C75" i="5"/>
  <c r="H74" i="5"/>
  <c r="G74" i="5"/>
  <c r="F74" i="5"/>
  <c r="E74" i="5"/>
  <c r="D74" i="5"/>
  <c r="C74" i="5"/>
  <c r="H73" i="5"/>
  <c r="G73" i="5"/>
  <c r="F73" i="5"/>
  <c r="E73" i="5"/>
  <c r="D73" i="5"/>
  <c r="C73" i="5"/>
  <c r="H72" i="5"/>
  <c r="G72" i="5"/>
  <c r="F72" i="5"/>
  <c r="E72" i="5"/>
  <c r="D72" i="5"/>
  <c r="C72" i="5"/>
  <c r="H71" i="5"/>
  <c r="G71" i="5"/>
  <c r="F71" i="5"/>
  <c r="E71" i="5"/>
  <c r="D71" i="5"/>
  <c r="C71" i="5"/>
  <c r="H70" i="5"/>
  <c r="G70" i="5"/>
  <c r="F70" i="5"/>
  <c r="E70" i="5"/>
  <c r="D70" i="5"/>
  <c r="C70" i="5"/>
  <c r="H69" i="5"/>
  <c r="G69" i="5"/>
  <c r="F69" i="5"/>
  <c r="E69" i="5"/>
  <c r="D69" i="5"/>
  <c r="C69" i="5"/>
  <c r="H68" i="5"/>
  <c r="G68" i="5"/>
  <c r="F68" i="5"/>
  <c r="E68" i="5"/>
  <c r="C68" i="5"/>
  <c r="H67" i="5"/>
  <c r="G67" i="5"/>
  <c r="F67" i="5"/>
  <c r="E67" i="5"/>
  <c r="D67" i="5"/>
  <c r="C67" i="5"/>
  <c r="H66" i="5"/>
  <c r="G66" i="5"/>
  <c r="F66" i="5"/>
  <c r="E66" i="5"/>
  <c r="D66" i="5"/>
  <c r="C66" i="5"/>
  <c r="H65" i="5"/>
  <c r="G65" i="5"/>
  <c r="F65" i="5"/>
  <c r="E65" i="5"/>
  <c r="C65" i="5"/>
  <c r="H64" i="5"/>
  <c r="G64" i="5"/>
  <c r="F64" i="5"/>
  <c r="E64" i="5"/>
  <c r="D64" i="5"/>
  <c r="C64" i="5"/>
  <c r="H63" i="5"/>
  <c r="G63" i="5"/>
  <c r="F63" i="5"/>
  <c r="E63" i="5"/>
  <c r="D63" i="5"/>
  <c r="C63" i="5"/>
  <c r="H62" i="5"/>
  <c r="G62" i="5"/>
  <c r="F62" i="5"/>
  <c r="E62" i="5"/>
  <c r="D62" i="5"/>
  <c r="C62" i="5"/>
  <c r="H61" i="5"/>
  <c r="G61" i="5"/>
  <c r="F61" i="5"/>
  <c r="E61" i="5"/>
  <c r="D61" i="5"/>
  <c r="C61" i="5"/>
  <c r="H60" i="5"/>
  <c r="G60" i="5"/>
  <c r="F60" i="5"/>
  <c r="E60" i="5"/>
  <c r="D60" i="5"/>
  <c r="C60" i="5"/>
  <c r="H59" i="5"/>
  <c r="G59" i="5"/>
  <c r="F59" i="5"/>
  <c r="E59" i="5"/>
  <c r="D59" i="5"/>
  <c r="C59" i="5"/>
  <c r="H58" i="5"/>
  <c r="G58" i="5"/>
  <c r="F58" i="5"/>
  <c r="E58" i="5"/>
  <c r="C58" i="5"/>
  <c r="H57" i="5"/>
  <c r="G57" i="5"/>
  <c r="F57" i="5"/>
  <c r="E57" i="5"/>
  <c r="D57" i="5"/>
  <c r="C57" i="5"/>
  <c r="H56" i="5"/>
  <c r="G56" i="5"/>
  <c r="F56" i="5"/>
  <c r="E56" i="5"/>
  <c r="D56" i="5"/>
  <c r="C56" i="5"/>
  <c r="H55" i="5"/>
  <c r="G55" i="5"/>
  <c r="F55" i="5"/>
  <c r="E55" i="5"/>
  <c r="D55" i="5"/>
  <c r="C55" i="5"/>
  <c r="H54" i="5"/>
  <c r="G54" i="5"/>
  <c r="F54" i="5"/>
  <c r="E54" i="5"/>
  <c r="C54" i="5"/>
  <c r="H53" i="5"/>
  <c r="G53" i="5"/>
  <c r="F53" i="5"/>
  <c r="E53" i="5"/>
  <c r="D53" i="5"/>
  <c r="C53" i="5"/>
  <c r="H52" i="5"/>
  <c r="G52" i="5"/>
  <c r="F52" i="5"/>
  <c r="E52" i="5"/>
  <c r="D52" i="5"/>
  <c r="C52" i="5"/>
  <c r="H51" i="5"/>
  <c r="G51" i="5"/>
  <c r="F51" i="5"/>
  <c r="E51" i="5"/>
  <c r="C51" i="5"/>
  <c r="H50" i="5"/>
  <c r="G50" i="5"/>
  <c r="F50" i="5"/>
  <c r="E50" i="5"/>
  <c r="D50" i="5"/>
  <c r="C50" i="5"/>
  <c r="H49" i="5"/>
  <c r="G49" i="5"/>
  <c r="F49" i="5"/>
  <c r="E49" i="5"/>
  <c r="D49" i="5"/>
  <c r="C49" i="5"/>
  <c r="H48" i="5"/>
  <c r="G48" i="5"/>
  <c r="F48" i="5"/>
  <c r="E48" i="5"/>
  <c r="D48" i="5"/>
  <c r="C48" i="5"/>
  <c r="H47" i="5"/>
  <c r="G47" i="5"/>
  <c r="F47" i="5"/>
  <c r="E47" i="5"/>
  <c r="C47" i="5"/>
  <c r="H46" i="5"/>
  <c r="G46" i="5"/>
  <c r="F46" i="5"/>
  <c r="E46" i="5"/>
  <c r="D46" i="5"/>
  <c r="C46" i="5"/>
  <c r="H45" i="5"/>
  <c r="G45" i="5"/>
  <c r="F45" i="5"/>
  <c r="E45" i="5"/>
  <c r="D45" i="5"/>
  <c r="C45" i="5"/>
  <c r="H44" i="5"/>
  <c r="G44" i="5"/>
  <c r="F44" i="5"/>
  <c r="E44" i="5"/>
  <c r="D44" i="5"/>
  <c r="C44" i="5"/>
  <c r="H43" i="5"/>
  <c r="G43" i="5"/>
  <c r="F43" i="5"/>
  <c r="E43" i="5"/>
  <c r="D43" i="5"/>
  <c r="C43" i="5"/>
  <c r="H42" i="5"/>
  <c r="G42" i="5"/>
  <c r="F42" i="5"/>
  <c r="E42" i="5"/>
  <c r="C42" i="5"/>
  <c r="H41" i="5"/>
  <c r="G41" i="5"/>
  <c r="F41" i="5"/>
  <c r="E41" i="5"/>
  <c r="D41" i="5"/>
  <c r="C41" i="5"/>
  <c r="H40" i="5"/>
  <c r="G40" i="5"/>
  <c r="F40" i="5"/>
  <c r="E40" i="5"/>
  <c r="D40" i="5"/>
  <c r="C40" i="5"/>
  <c r="H39" i="5"/>
  <c r="G39" i="5"/>
  <c r="F39" i="5"/>
  <c r="E39" i="5"/>
  <c r="C39" i="5"/>
  <c r="H38" i="5"/>
  <c r="G38" i="5"/>
  <c r="F38" i="5"/>
  <c r="E38" i="5"/>
  <c r="D38" i="5"/>
  <c r="C38" i="5"/>
  <c r="H37" i="5"/>
  <c r="G37" i="5"/>
  <c r="F37" i="5"/>
  <c r="E37" i="5"/>
  <c r="C37" i="5"/>
  <c r="H36" i="5"/>
  <c r="G36" i="5"/>
  <c r="F36" i="5"/>
  <c r="E36" i="5"/>
  <c r="D36" i="5"/>
  <c r="C36" i="5"/>
  <c r="H35" i="5"/>
  <c r="G35" i="5"/>
  <c r="F35" i="5"/>
  <c r="E35" i="5"/>
  <c r="D35" i="5"/>
  <c r="C35" i="5"/>
  <c r="H34" i="5"/>
  <c r="G34" i="5"/>
  <c r="F34" i="5"/>
  <c r="E34" i="5"/>
  <c r="C34" i="5"/>
  <c r="H33" i="5"/>
  <c r="G33" i="5"/>
  <c r="F33" i="5"/>
  <c r="E33" i="5"/>
  <c r="D33" i="5"/>
  <c r="C33" i="5"/>
  <c r="H32" i="5"/>
  <c r="G32" i="5"/>
  <c r="F32" i="5"/>
  <c r="E32" i="5"/>
  <c r="C32" i="5"/>
  <c r="H31" i="5"/>
  <c r="G31" i="5"/>
  <c r="F31" i="5"/>
  <c r="E31" i="5"/>
  <c r="D31" i="5"/>
  <c r="C31" i="5"/>
  <c r="H30" i="5"/>
  <c r="G30" i="5"/>
  <c r="F30" i="5"/>
  <c r="E30" i="5"/>
  <c r="D30" i="5"/>
  <c r="C30" i="5"/>
  <c r="H29" i="5"/>
  <c r="G29" i="5"/>
  <c r="F29" i="5"/>
  <c r="E29" i="5"/>
  <c r="D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C26" i="5"/>
  <c r="H25" i="5"/>
  <c r="G25" i="5"/>
  <c r="F25" i="5"/>
  <c r="E25" i="5"/>
  <c r="C25" i="5"/>
  <c r="H24" i="5"/>
  <c r="G24" i="5"/>
  <c r="F24" i="5"/>
  <c r="E24" i="5"/>
  <c r="C24" i="5"/>
  <c r="H23" i="5"/>
  <c r="G23" i="5"/>
  <c r="F23" i="5"/>
  <c r="E23" i="5"/>
  <c r="D23" i="5"/>
  <c r="C23" i="5"/>
  <c r="H22" i="5"/>
  <c r="G22" i="5"/>
  <c r="F22" i="5"/>
  <c r="E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C17" i="5"/>
  <c r="H16" i="5"/>
  <c r="G16" i="5"/>
  <c r="F16" i="5"/>
  <c r="E16" i="5"/>
  <c r="D16" i="5"/>
  <c r="C16" i="5"/>
  <c r="H15" i="5"/>
  <c r="G15" i="5"/>
  <c r="F15" i="5"/>
  <c r="E15" i="5"/>
  <c r="C15" i="5"/>
  <c r="H14" i="5"/>
  <c r="G14" i="5"/>
  <c r="F14" i="5"/>
  <c r="E14" i="5"/>
  <c r="D14" i="5"/>
  <c r="C14" i="5"/>
  <c r="H13" i="5"/>
  <c r="G13" i="5"/>
  <c r="F13" i="5"/>
  <c r="E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C8" i="5"/>
  <c r="H7" i="5"/>
  <c r="G7" i="5"/>
  <c r="E39" i="8" l="1"/>
  <c r="D39" i="8"/>
  <c r="E38" i="8"/>
  <c r="D38" i="8"/>
  <c r="E37" i="8"/>
  <c r="D37" i="8"/>
  <c r="E36" i="8"/>
  <c r="D36" i="8"/>
  <c r="E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C131" i="3" l="1"/>
  <c r="B131" i="3"/>
  <c r="D130" i="3"/>
  <c r="C130" i="3"/>
  <c r="B130" i="3"/>
  <c r="C129" i="3"/>
  <c r="B129" i="3"/>
  <c r="D128" i="3"/>
  <c r="C128" i="3"/>
  <c r="B128" i="3"/>
  <c r="D127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D120" i="3"/>
  <c r="C120" i="3"/>
  <c r="B120" i="3"/>
  <c r="C119" i="3"/>
  <c r="B119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D103" i="3"/>
  <c r="C103" i="3"/>
  <c r="B103" i="3"/>
  <c r="C102" i="3"/>
  <c r="B102" i="3"/>
  <c r="D101" i="3"/>
  <c r="C101" i="3"/>
  <c r="D100" i="3"/>
  <c r="C100" i="3"/>
  <c r="B100" i="3"/>
  <c r="C99" i="3"/>
  <c r="B99" i="3"/>
  <c r="C98" i="3"/>
  <c r="B98" i="3"/>
  <c r="C97" i="3"/>
  <c r="B97" i="3"/>
  <c r="D96" i="3"/>
  <c r="C96" i="3"/>
  <c r="B96" i="3"/>
  <c r="C95" i="3"/>
  <c r="B95" i="3"/>
  <c r="C94" i="3"/>
  <c r="B94" i="3"/>
  <c r="C93" i="3"/>
  <c r="B93" i="3"/>
  <c r="D92" i="3"/>
  <c r="C92" i="3"/>
  <c r="B92" i="3"/>
  <c r="D91" i="3"/>
  <c r="C91" i="3"/>
  <c r="B91" i="3"/>
  <c r="C90" i="3"/>
  <c r="B90" i="3"/>
  <c r="D89" i="3"/>
  <c r="C89" i="3"/>
  <c r="B89" i="3"/>
  <c r="C88" i="3"/>
  <c r="B88" i="3"/>
  <c r="D87" i="3"/>
  <c r="C87" i="3"/>
  <c r="B87" i="3"/>
  <c r="D86" i="3"/>
  <c r="C86" i="3"/>
  <c r="B86" i="3"/>
  <c r="C85" i="3"/>
  <c r="B85" i="3"/>
  <c r="D84" i="3"/>
  <c r="C84" i="3"/>
  <c r="B84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C78" i="3"/>
  <c r="B78" i="3"/>
  <c r="D77" i="3"/>
  <c r="C77" i="3"/>
  <c r="B77" i="3"/>
  <c r="D76" i="3"/>
  <c r="C76" i="3"/>
  <c r="B76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C59" i="3"/>
  <c r="B59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D39" i="3"/>
  <c r="C39" i="3"/>
  <c r="B39" i="3"/>
  <c r="D38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D30" i="3"/>
  <c r="C30" i="3"/>
  <c r="B30" i="3"/>
  <c r="D29" i="3"/>
  <c r="C29" i="3"/>
  <c r="B29" i="3"/>
  <c r="C28" i="3"/>
  <c r="B28" i="3"/>
  <c r="D27" i="3"/>
  <c r="C27" i="3"/>
  <c r="B27" i="3"/>
  <c r="D26" i="3"/>
  <c r="C26" i="3"/>
  <c r="B26" i="3"/>
  <c r="D25" i="3"/>
  <c r="C25" i="3"/>
  <c r="B25" i="3"/>
  <c r="C24" i="3"/>
  <c r="B24" i="3"/>
  <c r="D23" i="3"/>
  <c r="C23" i="3"/>
  <c r="B23" i="3"/>
  <c r="D22" i="3"/>
  <c r="C22" i="3"/>
  <c r="B22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5" i="3"/>
  <c r="C5" i="3"/>
  <c r="B5" i="3"/>
  <c r="G113" i="2" l="1"/>
  <c r="F113" i="2"/>
  <c r="E113" i="2"/>
  <c r="D113" i="2"/>
  <c r="G112" i="2"/>
  <c r="F112" i="2"/>
  <c r="E112" i="2"/>
  <c r="D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G101" i="2"/>
  <c r="F101" i="2"/>
  <c r="E101" i="2"/>
  <c r="D101" i="2"/>
  <c r="C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G72" i="2"/>
  <c r="F72" i="2"/>
  <c r="E72" i="2"/>
  <c r="D72" i="2"/>
  <c r="C72" i="2"/>
  <c r="G71" i="2"/>
  <c r="F71" i="2"/>
  <c r="E71" i="2"/>
  <c r="D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G61" i="2"/>
  <c r="F61" i="2"/>
  <c r="E61" i="2"/>
  <c r="D61" i="2"/>
  <c r="C61" i="2"/>
  <c r="G60" i="2"/>
  <c r="F60" i="2"/>
  <c r="E60" i="2"/>
  <c r="D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G41" i="2"/>
  <c r="F41" i="2"/>
  <c r="E41" i="2"/>
  <c r="D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G37" i="2"/>
  <c r="F37" i="2"/>
  <c r="E37" i="2"/>
  <c r="D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G8" i="2"/>
  <c r="F8" i="2"/>
  <c r="E8" i="2"/>
  <c r="D8" i="2"/>
  <c r="C8" i="2"/>
  <c r="G6" i="2" l="1"/>
  <c r="F6" i="2"/>
  <c r="C6" i="2"/>
  <c r="G107" i="1" l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G101" i="1"/>
  <c r="F101" i="1"/>
  <c r="E101" i="1"/>
  <c r="D101" i="1"/>
  <c r="C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G89" i="1"/>
  <c r="F89" i="1"/>
  <c r="E89" i="1"/>
  <c r="D89" i="1"/>
  <c r="C89" i="1"/>
  <c r="G88" i="1"/>
  <c r="F88" i="1"/>
  <c r="E88" i="1"/>
  <c r="D88" i="1"/>
  <c r="G87" i="1"/>
  <c r="F87" i="1"/>
  <c r="E87" i="1"/>
  <c r="D87" i="1"/>
  <c r="C87" i="1"/>
  <c r="G86" i="1"/>
  <c r="F86" i="1"/>
  <c r="E86" i="1"/>
  <c r="D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G74" i="1"/>
  <c r="F74" i="1"/>
  <c r="E74" i="1"/>
  <c r="D74" i="1"/>
  <c r="C74" i="1"/>
  <c r="G73" i="1"/>
  <c r="F73" i="1"/>
  <c r="E73" i="1"/>
  <c r="D73" i="1"/>
  <c r="G72" i="1"/>
  <c r="F72" i="1"/>
  <c r="E72" i="1"/>
  <c r="D72" i="1"/>
  <c r="C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G59" i="1"/>
  <c r="F59" i="1"/>
  <c r="E59" i="1"/>
  <c r="D59" i="1"/>
  <c r="C59" i="1"/>
  <c r="G58" i="1"/>
  <c r="F58" i="1"/>
  <c r="E58" i="1"/>
  <c r="D58" i="1"/>
  <c r="G57" i="1"/>
  <c r="F57" i="1"/>
  <c r="E57" i="1"/>
  <c r="D57" i="1"/>
  <c r="C57" i="1"/>
  <c r="G56" i="1"/>
  <c r="F56" i="1"/>
  <c r="E56" i="1"/>
  <c r="D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G28" i="1"/>
  <c r="F28" i="1"/>
  <c r="E28" i="1"/>
  <c r="D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G13" i="1"/>
  <c r="F13" i="1"/>
  <c r="E13" i="1"/>
  <c r="D13" i="1"/>
  <c r="C13" i="1"/>
  <c r="G12" i="1"/>
  <c r="F12" i="1"/>
  <c r="E12" i="1"/>
  <c r="D12" i="1"/>
  <c r="G11" i="1"/>
  <c r="F11" i="1"/>
  <c r="E11" i="1"/>
  <c r="D11" i="1"/>
  <c r="C11" i="1"/>
  <c r="G10" i="1"/>
  <c r="F10" i="1"/>
  <c r="E10" i="1"/>
  <c r="D10" i="1"/>
  <c r="G9" i="1"/>
  <c r="F9" i="1"/>
  <c r="E9" i="1"/>
  <c r="D9" i="1"/>
  <c r="G8" i="1"/>
  <c r="F8" i="1"/>
  <c r="E8" i="1"/>
  <c r="D8" i="1"/>
  <c r="G6" i="1"/>
  <c r="F6" i="1"/>
</calcChain>
</file>

<file path=xl/sharedStrings.xml><?xml version="1.0" encoding="utf-8"?>
<sst xmlns="http://schemas.openxmlformats.org/spreadsheetml/2006/main" count="1164" uniqueCount="413">
  <si>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</si>
  <si>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</si>
  <si>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</si>
  <si>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</si>
  <si>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</si>
  <si>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</si>
  <si>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</si>
  <si>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</si>
  <si>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</si>
  <si>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</si>
  <si>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</si>
  <si>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</si>
  <si>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</si>
  <si>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</si>
  <si>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</si>
  <si>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</si>
  <si>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</si>
  <si>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</si>
  <si>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</si>
  <si>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</si>
  <si>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</si>
  <si>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</si>
  <si>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</si>
  <si>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</si>
  <si>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</si>
  <si>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</si>
  <si>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</si>
  <si>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</si>
  <si>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</si>
  <si>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</si>
  <si>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</si>
  <si>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</si>
  <si>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</si>
  <si>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</si>
  <si>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</si>
  <si>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</si>
  <si>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</si>
  <si>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</si>
  <si>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</si>
  <si>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</si>
  <si>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</si>
  <si>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</si>
  <si>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</si>
  <si>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</si>
  <si>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</si>
  <si>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</si>
  <si>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</si>
  <si>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</si>
  <si>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</si>
  <si>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</si>
  <si>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</si>
  <si>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</si>
  <si>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</si>
  <si>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</si>
  <si>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</si>
  <si>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</si>
  <si>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</si>
  <si>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</si>
  <si>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</si>
  <si>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</si>
  <si>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</si>
  <si>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</si>
  <si>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</si>
  <si>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</si>
  <si>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</si>
  <si>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</si>
  <si>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</si>
  <si>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</si>
  <si>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</si>
  <si>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</si>
  <si>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</si>
  <si>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</si>
  <si>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</si>
  <si>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</si>
  <si>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</si>
  <si>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</si>
  <si>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</si>
  <si>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</si>
  <si>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</si>
  <si>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</si>
  <si>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</si>
  <si>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</si>
  <si>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</si>
  <si>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</si>
  <si>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</si>
  <si>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</si>
  <si>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</si>
  <si>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</si>
  <si>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</si>
  <si>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</si>
  <si>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</si>
  <si>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</si>
  <si>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</si>
  <si>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</si>
  <si>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</si>
  <si>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</si>
  <si>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</si>
  <si>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</si>
  <si>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</si>
  <si>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</si>
  <si>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</si>
  <si>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</si>
  <si>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</si>
  <si>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</si>
  <si>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</si>
  <si>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mii dolari         SUA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</si>
  <si>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</si>
  <si>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</si>
  <si>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</si>
  <si>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</si>
  <si>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</si>
  <si>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</si>
  <si>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</si>
  <si>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</si>
  <si>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</si>
  <si>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</si>
  <si>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</si>
  <si>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</si>
  <si>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</si>
  <si>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</si>
  <si>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</si>
  <si>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</si>
  <si>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</si>
  <si>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</si>
  <si>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</si>
  <si>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</si>
  <si>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</si>
  <si>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</si>
  <si>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</si>
  <si>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</si>
  <si>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</si>
  <si>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</si>
  <si>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</si>
  <si>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</si>
  <si>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</si>
  <si>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</si>
  <si>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</si>
  <si>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</si>
  <si>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</si>
  <si>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</si>
  <si>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</si>
  <si>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</si>
  <si>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</si>
  <si>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</si>
  <si>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</si>
  <si>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</si>
  <si>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</si>
  <si>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</si>
  <si>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</si>
  <si>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</si>
  <si>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</si>
  <si>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</si>
  <si>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</si>
  <si>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</si>
  <si>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</si>
  <si>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</si>
  <si>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</si>
  <si>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</si>
  <si>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</si>
  <si>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</si>
  <si>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</si>
  <si>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</si>
  <si>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</si>
  <si>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</si>
  <si>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</si>
  <si>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</si>
  <si>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</si>
  <si>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</si>
  <si>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</si>
  <si>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</si>
  <si>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</si>
  <si>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</si>
  <si>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</si>
  <si>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</si>
  <si>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</si>
  <si>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</si>
  <si>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</si>
  <si>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</si>
  <si>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</si>
  <si>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</si>
  <si>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</si>
  <si>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</si>
  <si>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</si>
  <si>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</si>
  <si>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</si>
  <si>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</si>
  <si>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</si>
  <si>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</si>
  <si>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</si>
  <si>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</si>
  <si>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</si>
  <si>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</si>
  <si>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</si>
  <si>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</si>
  <si>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</si>
  <si>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</si>
  <si>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</si>
  <si>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</si>
  <si>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</si>
  <si>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</si>
  <si>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</si>
  <si>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</si>
  <si>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</si>
  <si>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BALANŢA COMERCIALĂ – total, mii dolari SUA</t>
  </si>
  <si>
    <t>de 2,5 ori</t>
  </si>
  <si>
    <t>Libia</t>
  </si>
  <si>
    <t>de 2,3 ori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</si>
  <si>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</si>
  <si>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</si>
  <si>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</si>
  <si>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</si>
  <si>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</si>
  <si>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</si>
  <si>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</si>
  <si>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</si>
  <si>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</si>
  <si>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</si>
  <si>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</si>
  <si>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</si>
  <si>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</si>
  <si>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</si>
  <si>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</si>
  <si>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</si>
  <si>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</si>
  <si>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</si>
  <si>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</si>
  <si>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</si>
  <si>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</si>
  <si>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</si>
  <si>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</si>
  <si>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</si>
  <si>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</si>
  <si>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</si>
  <si>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</si>
  <si>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</si>
  <si>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</si>
  <si>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</si>
  <si>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</si>
  <si>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</si>
  <si>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</si>
  <si>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</si>
  <si>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</si>
  <si>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</si>
  <si>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</si>
  <si>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</si>
  <si>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</si>
  <si>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</si>
  <si>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</si>
  <si>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</si>
  <si>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</si>
  <si>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</si>
  <si>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</si>
  <si>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</si>
  <si>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</si>
  <si>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</si>
  <si>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</si>
  <si>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</si>
  <si>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</si>
  <si>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</si>
  <si>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</si>
  <si>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</si>
  <si>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</si>
  <si>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</si>
  <si>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</si>
  <si>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</si>
  <si>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</si>
  <si>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</si>
  <si>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</si>
  <si>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</si>
  <si>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</si>
  <si>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</si>
  <si>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</si>
  <si>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</si>
  <si>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</si>
  <si>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</si>
  <si>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</si>
  <si>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</si>
  <si>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</si>
  <si>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</si>
  <si>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</si>
  <si>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</si>
  <si>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</si>
  <si>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</si>
  <si>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</si>
  <si>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</si>
  <si>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-</t>
  </si>
  <si>
    <t>de 2,7 ori</t>
  </si>
  <si>
    <t>de 2,4 ori</t>
  </si>
  <si>
    <t>35</t>
  </si>
  <si>
    <t>Energie electrica</t>
  </si>
  <si>
    <t>Energie electrică</t>
  </si>
  <si>
    <t>BALANŢA COMERCIALĂ - total, mii dolari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</si>
  <si>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</si>
  <si>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</si>
  <si>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de 4,2 ori</t>
  </si>
  <si>
    <t>de 3,0 ori</t>
  </si>
  <si>
    <t>Celelalte țări ale lumii</t>
  </si>
  <si>
    <t>Madagascar</t>
  </si>
  <si>
    <t>Malawi</t>
  </si>
  <si>
    <t>Coreea de Nord</t>
  </si>
  <si>
    <t>de 3,3 ori</t>
  </si>
  <si>
    <t>de 3,7 ori</t>
  </si>
  <si>
    <t>Republica Yemen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</si>
  <si>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</si>
  <si>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</si>
  <si>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perioada corespunzătoare din anul precedent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</si>
  <si>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</si>
  <si>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</si>
  <si>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</si>
  <si>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</si>
  <si>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</si>
  <si>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</si>
  <si>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</si>
  <si>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3,2 ori</t>
  </si>
  <si>
    <t>de 2,8 ori</t>
  </si>
  <si>
    <t>Șri Lanka</t>
  </si>
  <si>
    <t>de 4,1 ori</t>
  </si>
  <si>
    <t>Mărfuri manufacturate, clasificate noiembrie ales după materia primă</t>
  </si>
  <si>
    <t>de 4,0 ori</t>
  </si>
  <si>
    <t>2021</t>
  </si>
  <si>
    <t>2022</t>
  </si>
  <si>
    <t>Cehia</t>
  </si>
  <si>
    <t>Kârgâzstan</t>
  </si>
  <si>
    <t>Panama</t>
  </si>
  <si>
    <t>Taiwan, provincie a Chinei</t>
  </si>
  <si>
    <t>de 5,1 ori</t>
  </si>
  <si>
    <t>de 2,9 ori</t>
  </si>
  <si>
    <t>Insulele Feroe</t>
  </si>
  <si>
    <t>97</t>
  </si>
  <si>
    <t>Aur nemonetar</t>
  </si>
  <si>
    <t>99</t>
  </si>
  <si>
    <t>Kuwait</t>
  </si>
  <si>
    <t>Paraguay</t>
  </si>
  <si>
    <t>Burkina Faso</t>
  </si>
  <si>
    <t>de 4,5 ori</t>
  </si>
  <si>
    <t>de 4,3 ori</t>
  </si>
  <si>
    <t>Liechtenstein</t>
  </si>
  <si>
    <t>Operațiuni neidentificate (ajutor umanitar)</t>
  </si>
  <si>
    <t>96</t>
  </si>
  <si>
    <t>Monede, care nu au curs legal (cu exceptia monedelor de aur)</t>
  </si>
  <si>
    <t>de 3,5 ori</t>
  </si>
  <si>
    <t>Gambia</t>
  </si>
  <si>
    <t>Kosovo</t>
  </si>
  <si>
    <t>de 3,4 ori</t>
  </si>
  <si>
    <t>de 106,8 ori</t>
  </si>
  <si>
    <t>de 17,0 ori</t>
  </si>
  <si>
    <t>de 3,8 ori</t>
  </si>
  <si>
    <t>de 5,9 ori</t>
  </si>
  <si>
    <t>de 80,0 ori</t>
  </si>
  <si>
    <t xml:space="preserve">Țări cu codul țării de origine a mărfii "EU" </t>
  </si>
  <si>
    <t>San Marino</t>
  </si>
  <si>
    <t>Mauritius</t>
  </si>
  <si>
    <t>Venezuela</t>
  </si>
  <si>
    <t>Guatemala</t>
  </si>
  <si>
    <t>de 5,4 ori</t>
  </si>
  <si>
    <t>de 13,8 ori</t>
  </si>
  <si>
    <t>de 15,7 ori</t>
  </si>
  <si>
    <t>de 72,9 ori</t>
  </si>
  <si>
    <t>de 3,6 ori</t>
  </si>
  <si>
    <t>de 3,1 ori</t>
  </si>
  <si>
    <t>de 43,1 ori</t>
  </si>
  <si>
    <t>de 5,6 ori</t>
  </si>
  <si>
    <t>de 5,7 ori</t>
  </si>
  <si>
    <t>de 85,0 ori</t>
  </si>
  <si>
    <t>de 5,8 ori</t>
  </si>
  <si>
    <t>Ianuarie - mai 2022</t>
  </si>
  <si>
    <t>în % faţă de ianuarie - mai 2021 ¹</t>
  </si>
  <si>
    <t>ianuarie - mai</t>
  </si>
  <si>
    <r>
      <t xml:space="preserve">ianuarie - mai </t>
    </r>
    <r>
      <rPr>
        <b/>
        <vertAlign val="superscript"/>
        <sz val="10"/>
        <rFont val="Times New Roman"/>
        <family val="1"/>
        <charset val="204"/>
      </rPr>
      <t>1,2</t>
    </r>
  </si>
  <si>
    <t>Ianuarie - mai</t>
  </si>
  <si>
    <t>Ianuarie - mai 2022  în % faţă de ianuarie - mai 2021 ¹</t>
  </si>
  <si>
    <r>
      <t xml:space="preserve">ianuarie - mai </t>
    </r>
    <r>
      <rPr>
        <b/>
        <vertAlign val="superscript"/>
        <sz val="10"/>
        <color indexed="8"/>
        <rFont val="Times New Roman"/>
        <family val="1"/>
        <charset val="204"/>
      </rPr>
      <t>1,2</t>
    </r>
  </si>
  <si>
    <t>Ianuarie - mai 2022 în % faţă de            ianuarie - mai 2021 ¹</t>
  </si>
  <si>
    <t>Regatul Țărilor de Jos (Netherlands)</t>
  </si>
  <si>
    <t>Senegal</t>
  </si>
  <si>
    <t>de 6,0 ori</t>
  </si>
  <si>
    <t>de 5,0 ori</t>
  </si>
  <si>
    <t>de 617,7 ori</t>
  </si>
  <si>
    <t>de 10,3 ori</t>
  </si>
  <si>
    <t>de 66,7 ori</t>
  </si>
  <si>
    <t>de 6,9 ori</t>
  </si>
  <si>
    <t>de 13,1 ori</t>
  </si>
  <si>
    <t>de 11,9 ori</t>
  </si>
  <si>
    <t>de 226,6 ori</t>
  </si>
  <si>
    <t>de 63,9 ori</t>
  </si>
  <si>
    <t>de 3,9 ori</t>
  </si>
  <si>
    <t>Samoa Americană</t>
  </si>
  <si>
    <t>Insulele Folkland</t>
  </si>
  <si>
    <t>Trinidad și Tobago</t>
  </si>
  <si>
    <t>de 11,1 ori</t>
  </si>
  <si>
    <t>de 41,9 ori</t>
  </si>
  <si>
    <t>de 3314,4 ori</t>
  </si>
  <si>
    <t>de 96,5 ori</t>
  </si>
  <si>
    <t>de 42,8 ori</t>
  </si>
  <si>
    <t>de 9,6 ori</t>
  </si>
  <si>
    <t>Țările Uniunii Europene - total</t>
  </si>
  <si>
    <t>de 151,9 ori</t>
  </si>
  <si>
    <t>de 22,3 ori</t>
  </si>
  <si>
    <t>de 7,8 ori</t>
  </si>
  <si>
    <t>de 11,3 ori</t>
  </si>
  <si>
    <t>de 30,5 ori</t>
  </si>
  <si>
    <t>de 26,5 ori</t>
  </si>
  <si>
    <t>de 7,1 ori</t>
  </si>
  <si>
    <t>Gaz și produse industriale obținute din gaz</t>
  </si>
  <si>
    <t>de 9,4 ori</t>
  </si>
  <si>
    <t>de 7,0 ori</t>
  </si>
  <si>
    <t>de 150,8 ori</t>
  </si>
  <si>
    <t>de 147,7 ori</t>
  </si>
  <si>
    <t>de 95,6 ori</t>
  </si>
  <si>
    <t>de 6,5 ori</t>
  </si>
  <si>
    <t>de 126,7 ori</t>
  </si>
  <si>
    <t>de 132,1 ori</t>
  </si>
  <si>
    <t>de 10,2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</si>
</sst>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40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0" fillId="0" borderId="0" xfId="0" applyFill="1"/>
    <xf numFmtId="4" fontId="23" fillId="0" borderId="0" xfId="0" applyNumberFormat="1" applyFont="1" applyFill="1" applyBorder="1" applyAlignment="1" applyProtection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0" fontId="11" fillId="0" borderId="0" xfId="0" applyNumberFormat="1" applyFont="1" applyFill="1" applyAlignment="1" applyProtection="1">
      <alignment horizontal="lef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27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2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0" fontId="27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2" fillId="0" borderId="0" xfId="0" applyNumberFormat="1" applyFont="1" applyFill="1" applyBorder="1" applyAlignment="1" applyProtection="1">
      <alignment horizontal="right" vertical="top" inden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8" fontId="34" fillId="0" borderId="0" xfId="0" applyNumberFormat="1" applyFont="1" applyFill="1" applyBorder="1" applyAlignment="1" applyProtection="1">
      <alignment horizontal="left" wrapText="1"/>
    </xf>
    <xf numFmtId="4" fontId="11" fillId="0" borderId="0" xfId="0" applyNumberFormat="1" applyFont="1" applyFill="1" applyAlignment="1" applyProtection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wrapText="1" indent="1"/>
    </xf>
    <xf numFmtId="4" fontId="11" fillId="0" borderId="0" xfId="0" applyNumberFormat="1" applyFont="1" applyBorder="1" applyAlignment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4" fontId="27" fillId="0" borderId="5" xfId="0" applyNumberFormat="1" applyFont="1" applyFill="1" applyBorder="1" applyAlignment="1" applyProtection="1">
      <alignment horizontal="right" vertical="top" wrapText="1" indent="1"/>
    </xf>
    <xf numFmtId="0" fontId="34" fillId="0" borderId="0" xfId="0" applyFont="1" applyAlignment="1">
      <alignment horizontal="left"/>
    </xf>
    <xf numFmtId="164" fontId="9" fillId="0" borderId="0" xfId="0" applyNumberFormat="1" applyFont="1" applyFill="1" applyAlignment="1" applyProtection="1">
      <alignment horizontal="right" vertical="top" indent="1"/>
    </xf>
    <xf numFmtId="38" fontId="11" fillId="0" borderId="0" xfId="0" applyNumberFormat="1" applyFont="1" applyFill="1" applyBorder="1" applyAlignment="1" applyProtection="1">
      <alignment horizontal="center" vertical="top"/>
    </xf>
    <xf numFmtId="38" fontId="11" fillId="0" borderId="0" xfId="0" applyNumberFormat="1" applyFont="1" applyFill="1" applyBorder="1" applyAlignment="1" applyProtection="1">
      <alignment horizontal="left" vertical="top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right" vertical="top"/>
    </xf>
    <xf numFmtId="38" fontId="9" fillId="0" borderId="0" xfId="4" applyNumberFormat="1" applyFont="1" applyFill="1" applyAlignment="1" applyProtection="1">
      <alignment horizontal="left" vertical="top" wrapText="1" indent="1"/>
    </xf>
    <xf numFmtId="4" fontId="36" fillId="0" borderId="0" xfId="0" applyNumberFormat="1" applyFont="1" applyAlignment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wrapText="1" indent="1"/>
    </xf>
    <xf numFmtId="38" fontId="9" fillId="0" borderId="3" xfId="0" applyNumberFormat="1" applyFont="1" applyFill="1" applyBorder="1" applyAlignment="1" applyProtection="1">
      <alignment horizontal="center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0" fontId="37" fillId="0" borderId="0" xfId="0" applyFont="1" applyAlignment="1">
      <alignment horizontal="center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0" fontId="34" fillId="0" borderId="0" xfId="0" applyFont="1" applyAlignment="1">
      <alignment horizontal="left"/>
    </xf>
    <xf numFmtId="4" fontId="36" fillId="0" borderId="0" xfId="0" applyNumberFormat="1" applyFont="1" applyAlignment="1">
      <alignment horizontal="right" vertical="top"/>
    </xf>
    <xf numFmtId="0" fontId="36" fillId="0" borderId="0" xfId="0" applyFont="1" applyAlignment="1">
      <alignment horizontal="left" vertical="top" wrapText="1" indent="1"/>
    </xf>
    <xf numFmtId="38" fontId="9" fillId="0" borderId="0" xfId="0" applyNumberFormat="1" applyFont="1" applyFill="1" applyBorder="1" applyAlignment="1" applyProtection="1">
      <alignment horizontal="left" vertical="top" wrapText="1" indent="1"/>
    </xf>
    <xf numFmtId="4" fontId="36" fillId="0" borderId="3" xfId="0" applyNumberFormat="1" applyFont="1" applyBorder="1" applyAlignment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38" fontId="9" fillId="0" borderId="0" xfId="0" applyNumberFormat="1" applyFont="1" applyFill="1" applyBorder="1" applyAlignment="1" applyProtection="1">
      <alignment horizontal="center" vertical="top"/>
    </xf>
    <xf numFmtId="4" fontId="32" fillId="0" borderId="0" xfId="0" applyNumberFormat="1" applyFont="1" applyAlignment="1">
      <alignment horizontal="right" vertical="top" indent="1"/>
    </xf>
    <xf numFmtId="4" fontId="24" fillId="0" borderId="0" xfId="0" applyNumberFormat="1" applyFont="1" applyAlignment="1">
      <alignment horizontal="right" vertical="top" indent="1"/>
    </xf>
    <xf numFmtId="0" fontId="28" fillId="0" borderId="5" xfId="0" applyNumberFormat="1" applyFont="1" applyFill="1" applyBorder="1" applyAlignment="1" applyProtection="1">
      <alignment horizontal="center" vertical="top"/>
    </xf>
    <xf numFmtId="4" fontId="36" fillId="0" borderId="0" xfId="0" applyNumberFormat="1" applyFont="1" applyBorder="1" applyAlignment="1">
      <alignment horizontal="right" vertical="top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Border="1" applyAlignment="1">
      <alignment horizontal="right" vertical="top" indent="1"/>
    </xf>
    <xf numFmtId="4" fontId="36" fillId="0" borderId="0" xfId="0" applyNumberFormat="1" applyFont="1" applyBorder="1" applyAlignment="1">
      <alignment horizontal="right" vertical="top" indent="1"/>
    </xf>
    <xf numFmtId="4" fontId="25" fillId="0" borderId="0" xfId="0" applyNumberFormat="1" applyFont="1" applyBorder="1" applyAlignment="1">
      <alignment horizontal="right" vertical="top" inden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0" fontId="36" fillId="0" borderId="3" xfId="0" applyFont="1" applyBorder="1" applyAlignment="1">
      <alignment horizontal="left" vertical="top" wrapText="1" indent="1"/>
    </xf>
    <xf numFmtId="0" fontId="34" fillId="0" borderId="0" xfId="0" applyFont="1" applyAlignment="1">
      <alignment horizontal="left"/>
    </xf>
    <xf numFmtId="2" fontId="9" fillId="0" borderId="0" xfId="0" applyNumberFormat="1" applyFont="1" applyFill="1" applyBorder="1" applyAlignment="1" applyProtection="1">
      <alignment horizontal="right" vertical="top" indent="1"/>
    </xf>
    <xf numFmtId="49" fontId="9" fillId="0" borderId="0" xfId="0" applyNumberFormat="1" applyFont="1" applyFill="1" applyAlignment="1" applyProtection="1">
      <alignment horizontal="center" vertical="top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4" fontId="27" fillId="0" borderId="5" xfId="0" applyNumberFormat="1" applyFont="1" applyFill="1" applyBorder="1" applyAlignment="1" applyProtection="1">
      <alignment horizontal="center"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Border="1" applyAlignment="1">
      <alignment horizontal="right" vertical="top" indent="1"/>
    </xf>
    <xf numFmtId="4" fontId="36" fillId="0" borderId="3" xfId="0" applyNumberFormat="1" applyFont="1" applyBorder="1" applyAlignment="1">
      <alignment horizontal="right" vertical="top" indent="1"/>
    </xf>
    <xf numFmtId="4" fontId="31" fillId="0" borderId="0" xfId="0" applyNumberFormat="1" applyFont="1" applyAlignment="1">
      <alignment horizontal="right" vertical="top" indent="1"/>
    </xf>
    <xf numFmtId="4" fontId="27" fillId="0" borderId="5" xfId="0" applyNumberFormat="1" applyFont="1" applyFill="1" applyBorder="1" applyAlignment="1" applyProtection="1">
      <alignment horizontal="right" vertical="top" indent="2"/>
    </xf>
    <xf numFmtId="4" fontId="24" fillId="0" borderId="0" xfId="0" applyNumberFormat="1" applyFont="1" applyAlignment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9" fillId="0" borderId="3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center" vertical="top"/>
    </xf>
    <xf numFmtId="4" fontId="9" fillId="0" borderId="0" xfId="0" applyNumberFormat="1" applyFont="1" applyFill="1" applyAlignment="1" applyProtection="1">
      <alignment horizontal="center" vertical="top"/>
    </xf>
    <xf numFmtId="4" fontId="9" fillId="0" borderId="3" xfId="0" applyNumberFormat="1" applyFont="1" applyFill="1" applyBorder="1" applyAlignment="1" applyProtection="1">
      <alignment horizontal="center" vertical="top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9"/>
  <sheetViews>
    <sheetView tabSelected="1" zoomScale="99" zoomScaleNormal="99" workbookViewId="0">
      <selection activeCell="K10" sqref="K10"/>
    </sheetView>
  </sheetViews>
  <sheetFormatPr defaultRowHeight="15.75" x14ac:dyDescent="0.25"/>
  <cols>
    <col min="1" max="1" width="29.75" style="7" customWidth="1"/>
    <col min="2" max="2" width="12.125" style="7" customWidth="1"/>
    <col min="3" max="3" width="10.5" style="7" customWidth="1"/>
    <col min="4" max="4" width="9" style="7" customWidth="1"/>
    <col min="5" max="5" width="8.75" style="7" customWidth="1"/>
    <col min="6" max="6" width="9.875" style="7" customWidth="1"/>
    <col min="7" max="7" width="9.625" style="7" customWidth="1"/>
    <col min="9" max="9" width="9.625" customWidth="1"/>
  </cols>
  <sheetData>
    <row r="1" spans="1:8" x14ac:dyDescent="0.25">
      <c r="A1" s="94" t="s">
        <v>303</v>
      </c>
      <c r="B1" s="94"/>
      <c r="C1" s="94"/>
      <c r="D1" s="94"/>
      <c r="E1" s="94"/>
      <c r="F1" s="94"/>
      <c r="G1" s="94"/>
    </row>
    <row r="3" spans="1:8" ht="54" customHeight="1" x14ac:dyDescent="0.25">
      <c r="A3" s="95"/>
      <c r="B3" s="98" t="s">
        <v>365</v>
      </c>
      <c r="C3" s="99"/>
      <c r="D3" s="98" t="s">
        <v>104</v>
      </c>
      <c r="E3" s="99"/>
      <c r="F3" s="100" t="s">
        <v>1</v>
      </c>
      <c r="G3" s="101"/>
    </row>
    <row r="4" spans="1:8" ht="22.5" customHeight="1" x14ac:dyDescent="0.25">
      <c r="A4" s="96"/>
      <c r="B4" s="102" t="s">
        <v>95</v>
      </c>
      <c r="C4" s="104" t="s">
        <v>366</v>
      </c>
      <c r="D4" s="106" t="s">
        <v>367</v>
      </c>
      <c r="E4" s="106"/>
      <c r="F4" s="106" t="s">
        <v>368</v>
      </c>
      <c r="G4" s="98"/>
    </row>
    <row r="5" spans="1:8" ht="28.5" customHeight="1" x14ac:dyDescent="0.25">
      <c r="A5" s="97"/>
      <c r="B5" s="103"/>
      <c r="C5" s="105"/>
      <c r="D5" s="60" t="s">
        <v>319</v>
      </c>
      <c r="E5" s="60" t="s">
        <v>320</v>
      </c>
      <c r="F5" s="60" t="s">
        <v>319</v>
      </c>
      <c r="G5" s="61" t="s">
        <v>320</v>
      </c>
      <c r="H5" s="1"/>
    </row>
    <row r="6" spans="1:8" ht="15.75" customHeight="1" x14ac:dyDescent="0.25">
      <c r="A6" s="30" t="s">
        <v>96</v>
      </c>
      <c r="B6" s="23">
        <v>1875200.4172400001</v>
      </c>
      <c r="C6" s="24" t="s">
        <v>99</v>
      </c>
      <c r="D6" s="24">
        <v>100</v>
      </c>
      <c r="E6" s="24">
        <v>100</v>
      </c>
      <c r="F6" s="24">
        <f>IF(980597.75708="","-",(1104691.54098-980597.75708)/980597.75708*100)</f>
        <v>12.654912068076055</v>
      </c>
      <c r="G6" s="24">
        <f>IF(1104691.54098="","-",(1875200.41724-1104691.54098)/1104691.54098*100)</f>
        <v>69.748780331608401</v>
      </c>
    </row>
    <row r="7" spans="1:8" x14ac:dyDescent="0.25">
      <c r="A7" s="31" t="s">
        <v>120</v>
      </c>
      <c r="B7" s="45"/>
      <c r="C7" s="46"/>
      <c r="D7" s="46"/>
      <c r="E7" s="46"/>
      <c r="F7" s="46"/>
      <c r="G7" s="46"/>
    </row>
    <row r="8" spans="1:8" x14ac:dyDescent="0.25">
      <c r="A8" s="25" t="s">
        <v>132</v>
      </c>
      <c r="B8" s="16">
        <v>1208140.72964</v>
      </c>
      <c r="C8" s="26" t="s">
        <v>99</v>
      </c>
      <c r="D8" s="26">
        <f>IF(720907.19202="","-",720907.19202/1104691.54098*100)</f>
        <v>65.258686726293277</v>
      </c>
      <c r="E8" s="26">
        <f>IF(1208140.72964="","-",1208140.72964/1875200.41724*100)</f>
        <v>64.427285666787185</v>
      </c>
      <c r="F8" s="26">
        <f>IF(980597.75708="","-",(720907.19202-618322.30846)/980597.75708*100)</f>
        <v>10.461464226215931</v>
      </c>
      <c r="G8" s="26">
        <f>IF(1104691.54098="","-",(1208140.72964-720907.19202)/1104691.54098*100)</f>
        <v>44.105844893839127</v>
      </c>
    </row>
    <row r="9" spans="1:8" ht="15.75" customHeight="1" x14ac:dyDescent="0.25">
      <c r="A9" s="27" t="s">
        <v>2</v>
      </c>
      <c r="B9" s="17">
        <v>570774.05417999998</v>
      </c>
      <c r="C9" s="28" t="s">
        <v>101</v>
      </c>
      <c r="D9" s="28">
        <f>IF(307437.96193="","-",307437.96193/1104691.54098*100)</f>
        <v>27.830208752867243</v>
      </c>
      <c r="E9" s="28">
        <f>IF(570774.05418="","-",570774.05418/1875200.41724*100)</f>
        <v>30.438029393150924</v>
      </c>
      <c r="F9" s="28">
        <f>IF(OR(980597.75708="",241314.61116="",307437.96193=""),"-",(307437.96193-241314.61116)/980597.75708*100)</f>
        <v>6.7431676538706835</v>
      </c>
      <c r="G9" s="28">
        <f>IF(OR(1104691.54098="",570774.05418="",307437.96193=""),"-",(570774.05418-307437.96193)/1104691.54098*100)</f>
        <v>23.837974898982917</v>
      </c>
    </row>
    <row r="10" spans="1:8" ht="15.75" customHeight="1" x14ac:dyDescent="0.25">
      <c r="A10" s="27" t="s">
        <v>3</v>
      </c>
      <c r="B10" s="17">
        <v>175520.86184</v>
      </c>
      <c r="C10" s="28" t="s">
        <v>206</v>
      </c>
      <c r="D10" s="28">
        <f>IF(77334.27415="","-",77334.27415/1104691.54098*100)</f>
        <v>7.0005310334317201</v>
      </c>
      <c r="E10" s="28">
        <f>IF(175520.86184="","-",175520.86184/1875200.41724*100)</f>
        <v>9.3601121366183921</v>
      </c>
      <c r="F10" s="28">
        <f>IF(OR(980597.75708="",83656.49598="",77334.27415=""),"-",(77334.27415-83656.49598)/980597.75708*100)</f>
        <v>-0.64473141860187066</v>
      </c>
      <c r="G10" s="28">
        <f>IF(OR(1104691.54098="",175520.86184="",77334.27415=""),"-",(175520.86184-77334.27415)/1104691.54098*100)</f>
        <v>8.8881451561488536</v>
      </c>
    </row>
    <row r="11" spans="1:8" ht="13.5" customHeight="1" x14ac:dyDescent="0.25">
      <c r="A11" s="27" t="s">
        <v>4</v>
      </c>
      <c r="B11" s="17">
        <v>106834.55563</v>
      </c>
      <c r="C11" s="28">
        <f>IF(OR(114798.74452="",106834.55563=""),"-",106834.55563/114798.74452*100)</f>
        <v>93.062477361316013</v>
      </c>
      <c r="D11" s="28">
        <f>IF(114798.74452="","-",114798.74452/1104691.54098*100)</f>
        <v>10.391927543697772</v>
      </c>
      <c r="E11" s="28">
        <f>IF(106834.55563="","-",106834.55563/1875200.41724*100)</f>
        <v>5.697233994179868</v>
      </c>
      <c r="F11" s="28">
        <f>IF(OR(980597.75708="",84725.55704="",114798.74452=""),"-",(114798.74452-84725.55704)/980597.75708*100)</f>
        <v>3.0668219729108084</v>
      </c>
      <c r="G11" s="28">
        <f>IF(OR(1104691.54098="",106834.55563="",114798.74452=""),"-",(106834.55563-114798.74452)/1104691.54098*100)</f>
        <v>-0.72094232593966956</v>
      </c>
    </row>
    <row r="12" spans="1:8" ht="15.75" customHeight="1" x14ac:dyDescent="0.25">
      <c r="A12" s="27" t="s">
        <v>6</v>
      </c>
      <c r="B12" s="17">
        <v>86373.994909999994</v>
      </c>
      <c r="C12" s="28" t="s">
        <v>375</v>
      </c>
      <c r="D12" s="28">
        <f>IF(14496.17334="","-",14496.17334/1104691.54098*100)</f>
        <v>1.312237199457513</v>
      </c>
      <c r="E12" s="28">
        <f>IF(86373.99491="","-",86373.99491/1875200.41724*100)</f>
        <v>4.6061207173326526</v>
      </c>
      <c r="F12" s="28">
        <f>IF(OR(980597.75708="",16632.85304="",14496.17334=""),"-",(14496.17334-16632.85304)/980597.75708*100)</f>
        <v>-0.21789563402251241</v>
      </c>
      <c r="G12" s="28">
        <f>IF(OR(1104691.54098="",86373.99491="",14496.17334=""),"-",(86373.99491-14496.17334)/1104691.54098*100)</f>
        <v>6.5065965388161979</v>
      </c>
    </row>
    <row r="13" spans="1:8" s="10" customFormat="1" x14ac:dyDescent="0.25">
      <c r="A13" s="27" t="s">
        <v>5</v>
      </c>
      <c r="B13" s="17">
        <v>52897.945540000001</v>
      </c>
      <c r="C13" s="28">
        <f>IF(OR(43191.96557="",52897.94554=""),"-",52897.94554/43191.96557*100)</f>
        <v>122.47172556726966</v>
      </c>
      <c r="D13" s="28">
        <f>IF(43191.96557="","-",43191.96557/1104691.54098*100)</f>
        <v>3.9098665978453413</v>
      </c>
      <c r="E13" s="28">
        <f>IF(52897.94554="","-",52897.94554/1875200.41724*100)</f>
        <v>2.820922236027307</v>
      </c>
      <c r="F13" s="28">
        <f>IF(OR(980597.75708="",40551.89354="",43191.96557=""),"-",(43191.96557-40551.89354)/980597.75708*100)</f>
        <v>0.26923088605276285</v>
      </c>
      <c r="G13" s="28">
        <f>IF(OR(1104691.54098="",52897.94554="",43191.96557=""),"-",(52897.94554-43191.96557)/1104691.54098*100)</f>
        <v>0.87861449191414809</v>
      </c>
    </row>
    <row r="14" spans="1:8" s="10" customFormat="1" x14ac:dyDescent="0.25">
      <c r="A14" s="27" t="s">
        <v>373</v>
      </c>
      <c r="B14" s="17">
        <v>41060.247210000001</v>
      </c>
      <c r="C14" s="28" t="s">
        <v>204</v>
      </c>
      <c r="D14" s="28">
        <f>IF(16703.25049="","-",16703.25049/1104691.54098*100)</f>
        <v>1.5120284595627591</v>
      </c>
      <c r="E14" s="28">
        <f>IF(41060.24721="","-",41060.24721/1875200.41724*100)</f>
        <v>2.1896458017236484</v>
      </c>
      <c r="F14" s="28">
        <f>IF(OR(980597.75708="",14918.85803="",16703.25049=""),"-",(16703.25049-14918.85803)/980597.75708*100)</f>
        <v>0.18196986961437883</v>
      </c>
      <c r="G14" s="28">
        <f>IF(OR(1104691.54098="",41060.24721="",16703.25049=""),"-",(41060.24721-16703.25049)/1104691.54098*100)</f>
        <v>2.2048685824454028</v>
      </c>
    </row>
    <row r="15" spans="1:8" s="10" customFormat="1" x14ac:dyDescent="0.25">
      <c r="A15" s="27" t="s">
        <v>321</v>
      </c>
      <c r="B15" s="17">
        <v>40529.81306</v>
      </c>
      <c r="C15" s="28">
        <f>IF(OR(34027.64288="",40529.81306=""),"-",40529.81306/34027.64288*100)</f>
        <v>119.10849424078593</v>
      </c>
      <c r="D15" s="28">
        <f>IF(34027.64288="","-",34027.64288/1104691.54098*100)</f>
        <v>3.0802845516326856</v>
      </c>
      <c r="E15" s="28">
        <f>IF(40529.81306="","-",40529.81306/1875200.41724*100)</f>
        <v>2.1613590039433497</v>
      </c>
      <c r="F15" s="28">
        <f>IF(OR(980597.75708="",32758.69758="",34027.64288=""),"-",(34027.64288-32758.69758)/980597.75708*100)</f>
        <v>0.12940528273067173</v>
      </c>
      <c r="G15" s="28">
        <f>IF(OR(1104691.54098="",40529.81306="",34027.64288=""),"-",(40529.81306-34027.64288)/1104691.54098*100)</f>
        <v>0.58859599614855018</v>
      </c>
    </row>
    <row r="16" spans="1:8" s="10" customFormat="1" x14ac:dyDescent="0.25">
      <c r="A16" s="27" t="s">
        <v>40</v>
      </c>
      <c r="B16" s="17">
        <v>22297.707200000001</v>
      </c>
      <c r="C16" s="28">
        <f>IF(OR(16176.57838="",22297.7072=""),"-",22297.7072/16176.57838*100)</f>
        <v>137.83945328987426</v>
      </c>
      <c r="D16" s="28">
        <f>IF(16176.57838="","-",16176.57838/1104691.54098*100)</f>
        <v>1.4643525165087574</v>
      </c>
      <c r="E16" s="28">
        <f>IF(22297.7072="","-",22297.7072/1875200.41724*100)</f>
        <v>1.1890839504408131</v>
      </c>
      <c r="F16" s="28">
        <f>IF(OR(980597.75708="",6138.09703="",16176.57838=""),"-",(16176.57838-6138.09703)/980597.75708*100)</f>
        <v>1.0237104131149908</v>
      </c>
      <c r="G16" s="28">
        <f>IF(OR(1104691.54098="",22297.7072="",16176.57838=""),"-",(22297.7072-16176.57838)/1104691.54098*100)</f>
        <v>0.55410298648342959</v>
      </c>
    </row>
    <row r="17" spans="1:7" s="10" customFormat="1" x14ac:dyDescent="0.25">
      <c r="A17" s="27" t="s">
        <v>307</v>
      </c>
      <c r="B17" s="17">
        <v>20205.24915</v>
      </c>
      <c r="C17" s="28">
        <f>IF(OR(14640.71971="",20205.24915=""),"-",20205.24915/14640.71971*100)</f>
        <v>138.00721242002385</v>
      </c>
      <c r="D17" s="28">
        <f>IF(14640.71971="","-",14640.71971/1104691.54098*100)</f>
        <v>1.3253219715081592</v>
      </c>
      <c r="E17" s="28">
        <f>IF(20205.24915="","-",20205.24915/1875200.41724*100)</f>
        <v>1.0774981150942227</v>
      </c>
      <c r="F17" s="28">
        <f>IF(OR(980597.75708="",16232.30677="",14640.71971=""),"-",(14640.71971-16232.30677)/980597.75708*100)</f>
        <v>-0.16230784218183292</v>
      </c>
      <c r="G17" s="28">
        <f>IF(OR(1104691.54098="",20205.24915="",14640.71971=""),"-",(20205.24915-14640.71971)/1104691.54098*100)</f>
        <v>0.50371793696035405</v>
      </c>
    </row>
    <row r="18" spans="1:7" s="10" customFormat="1" x14ac:dyDescent="0.25">
      <c r="A18" s="27" t="s">
        <v>8</v>
      </c>
      <c r="B18" s="17">
        <v>18557.065449999998</v>
      </c>
      <c r="C18" s="28">
        <f>IF(OR(12204.33477="",18557.06545=""),"-",18557.06545/12204.33477*100)</f>
        <v>152.05306802641894</v>
      </c>
      <c r="D18" s="28">
        <f>IF(12204.33477="","-",12204.33477/1104691.54098*100)</f>
        <v>1.1047730807437179</v>
      </c>
      <c r="E18" s="28">
        <f>IF(18557.06545="","-",18557.06545/1875200.41724*100)</f>
        <v>0.98960437931818923</v>
      </c>
      <c r="F18" s="28">
        <f>IF(OR(980597.75708="",18694.16829="",12204.33477=""),"-",(12204.33477-18694.16829)/980597.75708*100)</f>
        <v>-0.66182422641117078</v>
      </c>
      <c r="G18" s="28">
        <f>IF(OR(1104691.54098="",18557.06545="",12204.33477=""),"-",(18557.06545-12204.33477)/1104691.54098*100)</f>
        <v>0.57506828325709181</v>
      </c>
    </row>
    <row r="19" spans="1:7" s="12" customFormat="1" x14ac:dyDescent="0.25">
      <c r="A19" s="27" t="s">
        <v>49</v>
      </c>
      <c r="B19" s="17">
        <v>14311.11844</v>
      </c>
      <c r="C19" s="28">
        <f>IF(OR(16072.40532="",14311.11844=""),"-",14311.11844/16072.40532*100)</f>
        <v>89.04154764061164</v>
      </c>
      <c r="D19" s="28">
        <f>IF(16072.40532="","-",16072.40532/1104691.54098*100)</f>
        <v>1.4549224578783104</v>
      </c>
      <c r="E19" s="28">
        <f>IF(14311.11844="","-",14311.11844/1875200.41724*100)</f>
        <v>0.76317807464354737</v>
      </c>
      <c r="F19" s="28">
        <f>IF(OR(980597.75708="",8935.94416="",16072.40532=""),"-",(16072.40532-8935.94416)/980597.75708*100)</f>
        <v>0.72776641680792542</v>
      </c>
      <c r="G19" s="28">
        <f>IF(OR(1104691.54098="",14311.11844="",16072.40532=""),"-",(14311.11844-16072.40532)/1104691.54098*100)</f>
        <v>-0.15943698441263676</v>
      </c>
    </row>
    <row r="20" spans="1:7" s="10" customFormat="1" x14ac:dyDescent="0.25">
      <c r="A20" s="27" t="s">
        <v>38</v>
      </c>
      <c r="B20" s="17">
        <v>13883.4802</v>
      </c>
      <c r="C20" s="28">
        <f>IF(OR(17345.67582="",13883.4802=""),"-",13883.4802/17345.67582*100)</f>
        <v>80.040007342879065</v>
      </c>
      <c r="D20" s="28">
        <f>IF(17345.67582="","-",17345.67582/1104691.54098*100)</f>
        <v>1.5701827321509325</v>
      </c>
      <c r="E20" s="28">
        <f>IF(13883.4802="","-",13883.4802/1875200.41724*100)</f>
        <v>0.74037313944470529</v>
      </c>
      <c r="F20" s="28">
        <f>IF(OR(980597.75708="",19662.28065="",17345.67582=""),"-",(17345.67582-19662.28065)/980597.75708*100)</f>
        <v>-0.23624414937459468</v>
      </c>
      <c r="G20" s="28">
        <f>IF(OR(1104691.54098="",13883.4802="",17345.67582=""),"-",(13883.4802-17345.67582)/1104691.54098*100)</f>
        <v>-0.31340835804070682</v>
      </c>
    </row>
    <row r="21" spans="1:7" s="10" customFormat="1" x14ac:dyDescent="0.25">
      <c r="A21" s="27" t="s">
        <v>45</v>
      </c>
      <c r="B21" s="17">
        <v>11305.014219999999</v>
      </c>
      <c r="C21" s="28" t="s">
        <v>313</v>
      </c>
      <c r="D21" s="28">
        <f>IF(3530.47227="","-",3530.47227/1104691.54098*100)</f>
        <v>0.31958896570059986</v>
      </c>
      <c r="E21" s="28">
        <f>IF(11305.01422="","-",11305.01422/1875200.41724*100)</f>
        <v>0.60286965148179739</v>
      </c>
      <c r="F21" s="28">
        <f>IF(OR(980597.75708="",7348.40355="",3530.47227=""),"-",(3530.47227-7348.40355)/980597.75708*100)</f>
        <v>-0.38934733966442486</v>
      </c>
      <c r="G21" s="28">
        <f>IF(OR(1104691.54098="",11305.01422="",3530.47227=""),"-",(11305.01422-3530.47227)/1104691.54098*100)</f>
        <v>0.70377491467916953</v>
      </c>
    </row>
    <row r="22" spans="1:7" s="10" customFormat="1" x14ac:dyDescent="0.25">
      <c r="A22" s="27" t="s">
        <v>7</v>
      </c>
      <c r="B22" s="17">
        <v>10030.528130000001</v>
      </c>
      <c r="C22" s="28">
        <f>IF(OR(9085.92045="",10030.52813=""),"-",10030.52813/9085.92045*100)</f>
        <v>110.39638950393848</v>
      </c>
      <c r="D22" s="28">
        <f>IF(9085.92045="","-",9085.92045/1104691.54098*100)</f>
        <v>0.82248483969920227</v>
      </c>
      <c r="E22" s="28">
        <f>IF(10030.52813="","-",10030.52813/1875200.41724*100)</f>
        <v>0.53490432477416783</v>
      </c>
      <c r="F22" s="28">
        <f>IF(OR(980597.75708="",8736.88487="",9085.92045=""),"-",(9085.92045-8736.88487)/980597.75708*100)</f>
        <v>3.5594164628659705E-2</v>
      </c>
      <c r="G22" s="28">
        <f>IF(OR(1104691.54098="",10030.52813="",9085.92045=""),"-",(10030.52813-9085.92045)/1104691.54098*100)</f>
        <v>8.550872754597319E-2</v>
      </c>
    </row>
    <row r="23" spans="1:7" s="10" customFormat="1" x14ac:dyDescent="0.25">
      <c r="A23" s="27" t="s">
        <v>39</v>
      </c>
      <c r="B23" s="17">
        <v>8606.6158300000006</v>
      </c>
      <c r="C23" s="28">
        <f>IF(OR(9391.07661="",8606.61583=""),"-",8606.61583/9391.07661*100)</f>
        <v>91.646742832822028</v>
      </c>
      <c r="D23" s="28">
        <f>IF(9391.07661="","-",9391.07661/1104691.54098*100)</f>
        <v>0.85010849288018786</v>
      </c>
      <c r="E23" s="28">
        <f>IF(8606.61583="","-",8606.61583/1875200.41724*100)</f>
        <v>0.45897045195134845</v>
      </c>
      <c r="F23" s="28">
        <f>IF(OR(980597.75708="",4441.92439="",9391.07661=""),"-",(9391.07661-4441.92439)/980597.75708*100)</f>
        <v>0.50470768307052472</v>
      </c>
      <c r="G23" s="28">
        <f>IF(OR(1104691.54098="",8606.61583="",9391.07661=""),"-",(8606.61583-9391.07661)/1104691.54098*100)</f>
        <v>-7.1011748610302947E-2</v>
      </c>
    </row>
    <row r="24" spans="1:7" s="10" customFormat="1" x14ac:dyDescent="0.25">
      <c r="A24" s="27" t="s">
        <v>42</v>
      </c>
      <c r="B24" s="17">
        <v>4616.8295600000001</v>
      </c>
      <c r="C24" s="28">
        <f>IF(OR(5524.05902="",4616.82956=""),"-",4616.82956/5524.05902*100)</f>
        <v>83.576760191819972</v>
      </c>
      <c r="D24" s="28">
        <f>IF(5524.05902="","-",5524.05902/1104691.54098*100)</f>
        <v>0.50005443285095363</v>
      </c>
      <c r="E24" s="28">
        <f>IF(4616.82956="","-",4616.82956/1875200.41724*100)</f>
        <v>0.2462045932559703</v>
      </c>
      <c r="F24" s="28">
        <f>IF(OR(980597.75708="",4281.28784="",5524.05902=""),"-",(5524.05902-4281.28784)/980597.75708*100)</f>
        <v>0.12673608225463348</v>
      </c>
      <c r="G24" s="28">
        <f>IF(OR(1104691.54098="",4616.82956="",5524.05902=""),"-",(4616.82956-5524.05902)/1104691.54098*100)</f>
        <v>-8.2125138678546705E-2</v>
      </c>
    </row>
    <row r="25" spans="1:7" s="10" customFormat="1" x14ac:dyDescent="0.25">
      <c r="A25" s="27" t="s">
        <v>41</v>
      </c>
      <c r="B25" s="17">
        <v>4005.4837699999998</v>
      </c>
      <c r="C25" s="28">
        <f>IF(OR(3223.01758="",4005.48377=""),"-",4005.48377/3223.01758*100)</f>
        <v>124.27744095643436</v>
      </c>
      <c r="D25" s="28">
        <f>IF(3223.01758="","-",3223.01758/1104691.54098*100)</f>
        <v>0.29175724267253633</v>
      </c>
      <c r="E25" s="28">
        <f>IF(4005.48377="","-",4005.48377/1875200.41724*100)</f>
        <v>0.21360296921730859</v>
      </c>
      <c r="F25" s="28">
        <f>IF(OR(980597.75708="",2915.60215="",3223.01758=""),"-",(3223.01758-2915.60215)/980597.75708*100)</f>
        <v>3.1349799423916101E-2</v>
      </c>
      <c r="G25" s="28">
        <f>IF(OR(1104691.54098="",4005.48377="",3223.01758=""),"-",(4005.48377-3223.01758)/1104691.54098*100)</f>
        <v>7.0831192325945938E-2</v>
      </c>
    </row>
    <row r="26" spans="1:7" s="7" customFormat="1" x14ac:dyDescent="0.25">
      <c r="A26" s="27" t="s">
        <v>43</v>
      </c>
      <c r="B26" s="17">
        <v>2096.5798300000001</v>
      </c>
      <c r="C26" s="28">
        <f>IF(OR(2050.88035="",2096.57983=""),"-",2096.57983/2050.88035*100)</f>
        <v>102.22828601385743</v>
      </c>
      <c r="D26" s="28">
        <f>IF(2050.88035="","-",2050.88035/1104691.54098*100)</f>
        <v>0.18565185609917967</v>
      </c>
      <c r="E26" s="28">
        <f>IF(2096.57983="","-",2096.57983/1875200.41724*100)</f>
        <v>0.11180564011850187</v>
      </c>
      <c r="F26" s="28">
        <f>IF(OR(980597.75708="",1771.86384="",2050.88035=""),"-",(2050.88035-1771.86384)/980597.75708*100)</f>
        <v>2.8453716927810284E-2</v>
      </c>
      <c r="G26" s="28">
        <f>IF(OR(1104691.54098="",2096.57983="",2050.88035=""),"-",(2096.57983-2050.88035)/1104691.54098*100)</f>
        <v>4.1368543439247348E-3</v>
      </c>
    </row>
    <row r="27" spans="1:7" s="7" customFormat="1" x14ac:dyDescent="0.25">
      <c r="A27" s="27" t="s">
        <v>44</v>
      </c>
      <c r="B27" s="17">
        <v>1384.3353300000001</v>
      </c>
      <c r="C27" s="28">
        <f>IF(OR(1104.3553="",1384.33533=""),"-",1384.33533/1104.3553*100)</f>
        <v>125.35235082405094</v>
      </c>
      <c r="D27" s="28">
        <f>IF(1104.3553="","-",1104.3553/1104691.54098*100)</f>
        <v>9.9969562455443278E-2</v>
      </c>
      <c r="E27" s="28">
        <f>IF(1384.33533="","-",1384.33533/1875200.41724*100)</f>
        <v>7.3823326684063134E-2</v>
      </c>
      <c r="F27" s="28">
        <f>IF(OR(980597.75708="",2732.0687="",1104.3553=""),"-",(1104.3553-2732.0687)/980597.75708*100)</f>
        <v>-0.16599195625808538</v>
      </c>
      <c r="G27" s="28">
        <f>IF(OR(1104691.54098="",1384.33533="",1104.3553=""),"-",(1384.33533-1104.3553)/1104691.54098*100)</f>
        <v>2.5344634190972687E-2</v>
      </c>
    </row>
    <row r="28" spans="1:7" s="10" customFormat="1" x14ac:dyDescent="0.25">
      <c r="A28" s="27" t="s">
        <v>308</v>
      </c>
      <c r="B28" s="17">
        <v>841.73181999999997</v>
      </c>
      <c r="C28" s="28" t="s">
        <v>359</v>
      </c>
      <c r="D28" s="28">
        <f>IF(270.09008="","-",270.09008/1104691.54098*100)</f>
        <v>2.4449366178761194E-2</v>
      </c>
      <c r="E28" s="28">
        <f>IF(841.73182="","-",841.73182/1875200.41724*100)</f>
        <v>4.4887565737581091E-2</v>
      </c>
      <c r="F28" s="28">
        <f>IF(OR(980597.75708="",433.31345="",270.09008=""),"-",(270.09008-433.31345)/980597.75708*100)</f>
        <v>-1.664529301862188E-2</v>
      </c>
      <c r="G28" s="28">
        <f>IF(OR(1104691.54098="",841.73182="",270.09008=""),"-",(841.73182-270.09008)/1104691.54098*100)</f>
        <v>5.1746729181331656E-2</v>
      </c>
    </row>
    <row r="29" spans="1:7" s="10" customFormat="1" x14ac:dyDescent="0.25">
      <c r="A29" s="27" t="s">
        <v>48</v>
      </c>
      <c r="B29" s="17">
        <v>754.24544000000003</v>
      </c>
      <c r="C29" s="28" t="s">
        <v>101</v>
      </c>
      <c r="D29" s="28">
        <f>IF(387.21906="","-",387.21906/1104691.54098*100)</f>
        <v>3.5052233644922104E-2</v>
      </c>
      <c r="E29" s="28">
        <f>IF(754.24544="","-",754.24544/1875200.41724*100)</f>
        <v>4.0222124156207822E-2</v>
      </c>
      <c r="F29" s="28">
        <f>IF(OR(980597.75708="",187.89882="",387.21906=""),"-",(387.21906-187.89882)/980597.75708*100)</f>
        <v>2.0326401785124508E-2</v>
      </c>
      <c r="G29" s="28">
        <f>IF(OR(1104691.54098="",754.24544="",387.21906=""),"-",(754.24544-387.21906)/1104691.54098*100)</f>
        <v>3.3224331533705923E-2</v>
      </c>
    </row>
    <row r="30" spans="1:7" s="7" customFormat="1" x14ac:dyDescent="0.25">
      <c r="A30" s="27" t="s">
        <v>46</v>
      </c>
      <c r="B30" s="17">
        <v>715.63633000000004</v>
      </c>
      <c r="C30" s="28">
        <f>IF(OR(721.81511="",715.63633=""),"-",715.63633/721.81511*100)</f>
        <v>99.143994090120941</v>
      </c>
      <c r="D30" s="28">
        <f>IF(721.81511="","-",721.81511/1104691.54098*100)</f>
        <v>6.5340874191872553E-2</v>
      </c>
      <c r="E30" s="28">
        <f>IF(715.63633="","-",715.63633/1875200.41724*100)</f>
        <v>3.8163191700506562E-2</v>
      </c>
      <c r="F30" s="28">
        <f>IF(OR(980597.75708="",413.06221="",721.81511=""),"-",(721.81511-413.06221)/980597.75708*100)</f>
        <v>3.148619276056646E-2</v>
      </c>
      <c r="G30" s="28">
        <f>IF(OR(1104691.54098="",715.63633="",721.81511=""),"-",(715.63633-721.81511)/1104691.54098*100)</f>
        <v>-5.5932174464906354E-4</v>
      </c>
    </row>
    <row r="31" spans="1:7" s="7" customFormat="1" x14ac:dyDescent="0.25">
      <c r="A31" s="27" t="s">
        <v>51</v>
      </c>
      <c r="B31" s="17">
        <v>444.23119000000003</v>
      </c>
      <c r="C31" s="28">
        <f>IF(OR(292.78167="",444.23119=""),"-",444.23119/292.78167*100)</f>
        <v>151.72780112908023</v>
      </c>
      <c r="D31" s="28">
        <f>IF(292.78167="","-",292.78167/1104691.54098*100)</f>
        <v>2.6503477137180386E-2</v>
      </c>
      <c r="E31" s="28">
        <f>IF(444.23119="","-",444.23119/1875200.41724*100)</f>
        <v>2.368979794990865E-2</v>
      </c>
      <c r="F31" s="28">
        <f>IF(OR(980597.75708="",152.30003="",292.78167=""),"-",(292.78167-152.30003)/980597.75708*100)</f>
        <v>1.4326122916936176E-2</v>
      </c>
      <c r="G31" s="28">
        <f>IF(OR(1104691.54098="",444.23119="",292.78167=""),"-",(444.23119-292.78167)/1104691.54098*100)</f>
        <v>1.3709665945811921E-2</v>
      </c>
    </row>
    <row r="32" spans="1:7" s="7" customFormat="1" x14ac:dyDescent="0.25">
      <c r="A32" s="27" t="s">
        <v>47</v>
      </c>
      <c r="B32" s="17">
        <v>54.828229999999998</v>
      </c>
      <c r="C32" s="28">
        <f>IF(OR(773.00838="",54.82823=""),"-",54.82823/773.00838*100)</f>
        <v>7.0928377257695452</v>
      </c>
      <c r="D32" s="28">
        <f>IF(773.00838="","-",773.00838/1104691.54098*100)</f>
        <v>6.9975042925941533E-2</v>
      </c>
      <c r="E32" s="28">
        <f>IF(54.82823="","-",54.82823/1875200.41724*100)</f>
        <v>2.92385973765399E-3</v>
      </c>
      <c r="F32" s="28">
        <f>IF(OR(980597.75708="",580.20036="",773.00838=""),"-",(773.00838-580.20036)/980597.75708*100)</f>
        <v>1.9662294616514212E-2</v>
      </c>
      <c r="G32" s="28">
        <f>IF(OR(1104691.54098="",54.82823="",773.00838=""),"-",(54.82823-773.00838)/1104691.54098*100)</f>
        <v>-6.5011826682666918E-2</v>
      </c>
    </row>
    <row r="33" spans="1:7" s="7" customFormat="1" x14ac:dyDescent="0.25">
      <c r="A33" s="27" t="s">
        <v>50</v>
      </c>
      <c r="B33" s="17">
        <v>35.97381</v>
      </c>
      <c r="C33" s="28">
        <f>IF(OR(119.12312="",35.97381=""),"-",35.97381/119.12312*100)</f>
        <v>30.198848048976558</v>
      </c>
      <c r="D33" s="28">
        <f>IF(119.12312="","-",119.12312/1104691.54098*100)</f>
        <v>1.0783383015164835E-2</v>
      </c>
      <c r="E33" s="28">
        <f>IF(35.97381="","-",35.97381/1875200.41724*100)</f>
        <v>1.9183981439673413E-3</v>
      </c>
      <c r="F33" s="28">
        <f>IF(OR(980597.75708="",77.7074="",119.12312=""),"-",(119.12312-77.7074)/980597.75708*100)</f>
        <v>4.2235177167166595E-3</v>
      </c>
      <c r="G33" s="28">
        <f>IF(OR(1104691.54098="",35.97381="",119.12312=""),"-",(35.97381-119.12312)/1104691.54098*100)</f>
        <v>-7.5269255638760598E-3</v>
      </c>
    </row>
    <row r="34" spans="1:7" s="7" customFormat="1" x14ac:dyDescent="0.25">
      <c r="A34" s="27" t="s">
        <v>53</v>
      </c>
      <c r="B34" s="17">
        <v>2.6033400000000002</v>
      </c>
      <c r="C34" s="28" t="str">
        <f>IF(OR(""="",2.60334=""),"-",2.60334/""*100)</f>
        <v>-</v>
      </c>
      <c r="D34" s="28" t="str">
        <f>IF(""="","-",""/1104691.54098*100)</f>
        <v>-</v>
      </c>
      <c r="E34" s="28">
        <f>IF(2.60334="","-",2.60334/1875200.41724*100)</f>
        <v>1.388299605773183E-4</v>
      </c>
      <c r="F34" s="28" t="str">
        <f>IF(OR(980597.75708="",2.36964="",""=""),"-",(""-2.36964)/980597.75708*100)</f>
        <v>-</v>
      </c>
      <c r="G34" s="28" t="str">
        <f>IF(OR(1104691.54098="",2.60334="",""=""),"-",(2.60334-"")/1104691.54098*100)</f>
        <v>-</v>
      </c>
    </row>
    <row r="35" spans="1:7" s="11" customFormat="1" ht="14.25" customHeight="1" x14ac:dyDescent="0.2">
      <c r="A35" s="25" t="s">
        <v>134</v>
      </c>
      <c r="B35" s="16">
        <v>284513.4094</v>
      </c>
      <c r="C35" s="26" t="s">
        <v>100</v>
      </c>
      <c r="D35" s="26">
        <v>15.694301816251425</v>
      </c>
      <c r="E35" s="26">
        <v>15.172426732858717</v>
      </c>
      <c r="F35" s="26">
        <v>1.2032375216862137</v>
      </c>
      <c r="G35" s="26">
        <v>10.060707509483152</v>
      </c>
    </row>
    <row r="36" spans="1:7" s="11" customFormat="1" ht="14.25" customHeight="1" x14ac:dyDescent="0.2">
      <c r="A36" s="27" t="s">
        <v>10</v>
      </c>
      <c r="B36" s="17">
        <v>157347.23879</v>
      </c>
      <c r="C36" s="28" t="s">
        <v>376</v>
      </c>
      <c r="D36" s="28">
        <v>2.8274847386167772</v>
      </c>
      <c r="E36" s="28">
        <v>8.3909558329551981</v>
      </c>
      <c r="F36" s="28">
        <v>0.79511177786264398</v>
      </c>
      <c r="G36" s="28">
        <v>11.416060445988625</v>
      </c>
    </row>
    <row r="37" spans="1:7" s="11" customFormat="1" ht="14.25" customHeight="1" x14ac:dyDescent="0.2">
      <c r="A37" s="27" t="s">
        <v>309</v>
      </c>
      <c r="B37" s="17">
        <v>92149.381540000002</v>
      </c>
      <c r="C37" s="28">
        <v>88.121345117280484</v>
      </c>
      <c r="D37" s="28">
        <v>9.4660823560966509</v>
      </c>
      <c r="E37" s="28">
        <v>4.9141084170421312</v>
      </c>
      <c r="F37" s="28">
        <v>0.27614069178205203</v>
      </c>
      <c r="G37" s="28">
        <v>-1.1244432539947264</v>
      </c>
    </row>
    <row r="38" spans="1:7" s="9" customFormat="1" ht="14.25" customHeight="1" x14ac:dyDescent="0.2">
      <c r="A38" s="27" t="s">
        <v>9</v>
      </c>
      <c r="B38" s="17">
        <v>24830.592570000001</v>
      </c>
      <c r="C38" s="28">
        <v>92.325259209509824</v>
      </c>
      <c r="D38" s="28">
        <v>2.4345882395497513</v>
      </c>
      <c r="E38" s="28">
        <v>1.3241567323532664</v>
      </c>
      <c r="F38" s="28">
        <v>-0.12526814395923452</v>
      </c>
      <c r="G38" s="28">
        <v>-0.18684833670120138</v>
      </c>
    </row>
    <row r="39" spans="1:7" s="11" customFormat="1" ht="14.25" customHeight="1" x14ac:dyDescent="0.2">
      <c r="A39" s="27" t="s">
        <v>11</v>
      </c>
      <c r="B39" s="17">
        <v>4397.6193899999998</v>
      </c>
      <c r="C39" s="28">
        <v>85.678212332215708</v>
      </c>
      <c r="D39" s="28">
        <v>0.46462889409351649</v>
      </c>
      <c r="E39" s="28">
        <v>0.23451463371966413</v>
      </c>
      <c r="F39" s="28">
        <v>1.7961767577817339E-2</v>
      </c>
      <c r="G39" s="28">
        <v>-6.6543163655247775E-2</v>
      </c>
    </row>
    <row r="40" spans="1:7" s="9" customFormat="1" ht="14.25" customHeight="1" x14ac:dyDescent="0.2">
      <c r="A40" s="27" t="s">
        <v>13</v>
      </c>
      <c r="B40" s="17">
        <v>2917.80078</v>
      </c>
      <c r="C40" s="28">
        <v>101.5509040789738</v>
      </c>
      <c r="D40" s="28">
        <v>0.26009428726602507</v>
      </c>
      <c r="E40" s="28">
        <v>0.15559940970440608</v>
      </c>
      <c r="F40" s="28">
        <v>0.16146968199426795</v>
      </c>
      <c r="G40" s="28">
        <v>4.033812910386598E-3</v>
      </c>
    </row>
    <row r="41" spans="1:7" s="9" customFormat="1" ht="14.25" customHeight="1" x14ac:dyDescent="0.2">
      <c r="A41" s="27" t="s">
        <v>12</v>
      </c>
      <c r="B41" s="17">
        <v>1195.1151500000001</v>
      </c>
      <c r="C41" s="28">
        <v>110.48801208709294</v>
      </c>
      <c r="D41" s="28">
        <v>9.791597743569426E-2</v>
      </c>
      <c r="E41" s="28">
        <v>6.3732662333715856E-2</v>
      </c>
      <c r="F41" s="28">
        <v>-1.8121283545369541E-3</v>
      </c>
      <c r="G41" s="28">
        <v>1.0269439548650807E-2</v>
      </c>
    </row>
    <row r="42" spans="1:7" s="9" customFormat="1" ht="14.25" customHeight="1" x14ac:dyDescent="0.2">
      <c r="A42" s="27" t="s">
        <v>14</v>
      </c>
      <c r="B42" s="33">
        <v>653.82758000000001</v>
      </c>
      <c r="C42" s="28">
        <v>151.31024213037685</v>
      </c>
      <c r="D42" s="28">
        <v>3.9115949925412091E-2</v>
      </c>
      <c r="E42" s="28">
        <v>3.4867077352848039E-2</v>
      </c>
      <c r="F42" s="28" t="s">
        <v>285</v>
      </c>
      <c r="G42" s="28">
        <v>2.0070488618325912E-2</v>
      </c>
    </row>
    <row r="43" spans="1:7" s="9" customFormat="1" ht="12.75" x14ac:dyDescent="0.2">
      <c r="A43" s="27" t="s">
        <v>15</v>
      </c>
      <c r="B43" s="17">
        <v>588.11659999999995</v>
      </c>
      <c r="C43" s="28">
        <v>141.17210636015798</v>
      </c>
      <c r="D43" s="28">
        <v>3.7711474610408219E-2</v>
      </c>
      <c r="E43" s="28">
        <v>3.1362866315143796E-2</v>
      </c>
      <c r="F43" s="28">
        <v>4.8545399636393764E-3</v>
      </c>
      <c r="G43" s="28">
        <v>1.5526608436581239E-2</v>
      </c>
    </row>
    <row r="44" spans="1:7" s="7" customFormat="1" x14ac:dyDescent="0.25">
      <c r="A44" s="27" t="s">
        <v>322</v>
      </c>
      <c r="B44" s="17">
        <v>390.45522</v>
      </c>
      <c r="C44" s="28">
        <v>65.047524457092408</v>
      </c>
      <c r="D44" s="28">
        <v>5.4337472292717362E-2</v>
      </c>
      <c r="E44" s="28">
        <v>2.0822052747550508E-2</v>
      </c>
      <c r="F44" s="28">
        <v>3.1614276879761274E-2</v>
      </c>
      <c r="G44" s="28">
        <v>-1.8992291713746227E-2</v>
      </c>
    </row>
    <row r="45" spans="1:7" s="7" customFormat="1" x14ac:dyDescent="0.25">
      <c r="A45" s="27" t="s">
        <v>16</v>
      </c>
      <c r="B45" s="17">
        <v>43.261780000000002</v>
      </c>
      <c r="C45" s="28">
        <v>31.729469508911684</v>
      </c>
      <c r="D45" s="28">
        <v>1.2342426364471318E-2</v>
      </c>
      <c r="E45" s="28">
        <v>2.3070483347947699E-3</v>
      </c>
      <c r="F45" s="28">
        <v>-9.009810532616989E-4</v>
      </c>
      <c r="G45" s="28">
        <v>-8.4262399544965151E-3</v>
      </c>
    </row>
    <row r="46" spans="1:7" s="10" customFormat="1" x14ac:dyDescent="0.25">
      <c r="A46" s="25" t="s">
        <v>135</v>
      </c>
      <c r="B46" s="16">
        <v>382546.2782</v>
      </c>
      <c r="C46" s="26" t="s">
        <v>198</v>
      </c>
      <c r="D46" s="26">
        <f>IF(210410.72438="","-",210410.72438/1104691.54098*100)</f>
        <v>19.047011457455291</v>
      </c>
      <c r="E46" s="26">
        <f>IF(382546.2782="","-",382546.2782/1875200.41724*100)</f>
        <v>20.400287600354094</v>
      </c>
      <c r="F46" s="26">
        <f>IF(980597.75708="","-",(210410.72438-200700.74419)/980597.75708*100)</f>
        <v>0.99021032017390531</v>
      </c>
      <c r="G46" s="26">
        <f>IF(1104691.54098="","-",(382546.2782-210410.72438)/1104691.54098*100)</f>
        <v>15.582227928286132</v>
      </c>
    </row>
    <row r="47" spans="1:7" s="7" customFormat="1" x14ac:dyDescent="0.25">
      <c r="A47" s="75" t="s">
        <v>54</v>
      </c>
      <c r="B47" s="74">
        <v>172711.73918</v>
      </c>
      <c r="C47" s="28" t="s">
        <v>99</v>
      </c>
      <c r="D47" s="28">
        <f>IF(100339.70326="","-",100339.70326/1104691.54098*100)</f>
        <v>9.083051651774765</v>
      </c>
      <c r="E47" s="28">
        <f>IF(172711.73918="","-",172711.73918/1875200.41724*100)</f>
        <v>9.2103082738326449</v>
      </c>
      <c r="F47" s="28">
        <f>IF(OR(980597.75708="",70549.61954="",100339.70326=""),"-",(100339.70326-70549.61954)/980597.75708*100)</f>
        <v>3.0379514438935877</v>
      </c>
      <c r="G47" s="28">
        <f>IF(OR(1104691.54098="",172711.73918="",100339.70326=""),"-",(172711.73918-100339.70326)/1104691.54098*100)</f>
        <v>6.551334307837366</v>
      </c>
    </row>
    <row r="48" spans="1:7" s="12" customFormat="1" x14ac:dyDescent="0.25">
      <c r="A48" s="27" t="s">
        <v>310</v>
      </c>
      <c r="B48" s="17">
        <v>53213.175949999997</v>
      </c>
      <c r="C48" s="28" t="s">
        <v>301</v>
      </c>
      <c r="D48" s="28">
        <f>IF(14274.4816="","-",14274.4816/1104691.54098*100)</f>
        <v>1.2921689965451117</v>
      </c>
      <c r="E48" s="28">
        <f>IF(53213.17595="","-",53213.17595/1875200.41724*100)</f>
        <v>2.8377327277007232</v>
      </c>
      <c r="F48" s="28">
        <f>IF(OR(980597.75708="",37243.51349="",14274.4816=""),"-",(14274.4816-37243.51349)/980597.75708*100)</f>
        <v>-2.342350033350741</v>
      </c>
      <c r="G48" s="28">
        <f>IF(OR(1104691.54098="",53213.17595="",14274.4816=""),"-",(53213.17595-14274.4816)/1104691.54098*100)</f>
        <v>3.5248476977977479</v>
      </c>
    </row>
    <row r="49" spans="1:7" s="10" customFormat="1" ht="25.5" x14ac:dyDescent="0.25">
      <c r="A49" s="27" t="s">
        <v>311</v>
      </c>
      <c r="B49" s="74">
        <v>32614.518769999999</v>
      </c>
      <c r="C49" s="28" t="s">
        <v>100</v>
      </c>
      <c r="D49" s="28">
        <f>IF(19967.01137="","-",19967.01137/1104691.54098*100)</f>
        <v>1.8074739082628219</v>
      </c>
      <c r="E49" s="28">
        <f>IF(32614.51877="","-",32614.51877/1875200.41724*100)</f>
        <v>1.7392550934904036</v>
      </c>
      <c r="F49" s="28">
        <f>IF(OR(980597.75708="",15356.87255="",19967.01137=""),"-",(19967.01137-15356.87255)/980597.75708*100)</f>
        <v>0.47013556646590327</v>
      </c>
      <c r="G49" s="28">
        <f>IF(OR(1104691.54098="",32614.51877="",19967.01137=""),"-",(32614.51877-19967.01137)/1104691.54098*100)</f>
        <v>1.1448903997925133</v>
      </c>
    </row>
    <row r="50" spans="1:7" s="7" customFormat="1" x14ac:dyDescent="0.25">
      <c r="A50" s="27" t="s">
        <v>17</v>
      </c>
      <c r="B50" s="74">
        <v>17777.182349999999</v>
      </c>
      <c r="C50" s="28" t="s">
        <v>101</v>
      </c>
      <c r="D50" s="28">
        <f>IF(9533.15032="","-",9533.15032/1104691.54098*100)</f>
        <v>0.86296943231256207</v>
      </c>
      <c r="E50" s="28">
        <f>IF(17777.18235="","-",17777.18235/1875200.41724*100)</f>
        <v>0.94801505943376518</v>
      </c>
      <c r="F50" s="28">
        <f>IF(OR(980597.75708="",8722.5312="",9533.15032=""),"-",(9533.15032-8722.5312)/980597.75708*100)</f>
        <v>8.2665814208452093E-2</v>
      </c>
      <c r="G50" s="28">
        <f>IF(OR(1104691.54098="",17777.18235="",9533.15032=""),"-",(17777.18235-9533.15032)/1104691.54098*100)</f>
        <v>0.74627456843622686</v>
      </c>
    </row>
    <row r="51" spans="1:7" s="7" customFormat="1" x14ac:dyDescent="0.25">
      <c r="A51" s="27" t="s">
        <v>58</v>
      </c>
      <c r="B51" s="74">
        <v>15196.771650000001</v>
      </c>
      <c r="C51" s="28">
        <f>IF(OR(9783.94954="",15196.77165=""),"-",15196.77165/9783.94954*100)</f>
        <v>155.32348759435652</v>
      </c>
      <c r="D51" s="28">
        <f>IF(9783.94954="","-",9783.94954/1104691.54098*100)</f>
        <v>0.88567253183820061</v>
      </c>
      <c r="E51" s="28">
        <f>IF(15196.77165="","-",15196.77165/1875200.41724*100)</f>
        <v>0.81040786415604882</v>
      </c>
      <c r="F51" s="28">
        <f>IF(OR(980597.75708="",6694.77909="",9783.94954=""),"-",(9783.94954-6694.77909)/980597.75708*100)</f>
        <v>0.31502932040134946</v>
      </c>
      <c r="G51" s="28">
        <f>IF(OR(1104691.54098="",15196.77165="",9783.94954=""),"-",(15196.77165-9783.94954)/1104691.54098*100)</f>
        <v>0.48998493327813014</v>
      </c>
    </row>
    <row r="52" spans="1:7" s="12" customFormat="1" x14ac:dyDescent="0.25">
      <c r="A52" s="27" t="s">
        <v>70</v>
      </c>
      <c r="B52" s="74">
        <v>11004.99943</v>
      </c>
      <c r="C52" s="28" t="s">
        <v>377</v>
      </c>
      <c r="D52" s="28">
        <f>IF(17.81651="","-",17.81651/1104691.54098*100)</f>
        <v>1.6128040578815802E-3</v>
      </c>
      <c r="E52" s="28">
        <f>IF(11004.99943="","-",11004.99943/1875200.41724*100)</f>
        <v>0.58687057281043198</v>
      </c>
      <c r="F52" s="28">
        <f>IF(OR(980597.75708="",70.05237="",17.81651=""),"-",(17.81651-70.05237)/980597.75708*100)</f>
        <v>-5.3269405954533963E-3</v>
      </c>
      <c r="G52" s="28">
        <f>IF(OR(1104691.54098="",11004.99943="",17.81651=""),"-",(11004.99943-17.81651)/1104691.54098*100)</f>
        <v>0.99459283541295052</v>
      </c>
    </row>
    <row r="53" spans="1:7" s="7" customFormat="1" x14ac:dyDescent="0.25">
      <c r="A53" s="27" t="s">
        <v>64</v>
      </c>
      <c r="B53" s="74">
        <v>6851.0537999999997</v>
      </c>
      <c r="C53" s="28" t="s">
        <v>198</v>
      </c>
      <c r="D53" s="28">
        <f>IF(3801.14765="","-",3801.14765/1104691.54098*100)</f>
        <v>0.34409131499530671</v>
      </c>
      <c r="E53" s="28">
        <f>IF(6851.0538="","-",6851.0538/1875200.41724*100)</f>
        <v>0.36535048398099618</v>
      </c>
      <c r="F53" s="28">
        <f>IF(OR(980597.75708="",3421.9589="",3801.14765=""),"-",(3801.14765-3421.9589)/980597.75708*100)</f>
        <v>3.8669143108091414E-2</v>
      </c>
      <c r="G53" s="28">
        <f>IF(OR(1104691.54098="",6851.0538="",3801.14765=""),"-",(6851.0538-3801.14765)/1104691.54098*100)</f>
        <v>0.27608667549806259</v>
      </c>
    </row>
    <row r="54" spans="1:7" s="10" customFormat="1" x14ac:dyDescent="0.25">
      <c r="A54" s="27" t="s">
        <v>66</v>
      </c>
      <c r="B54" s="17">
        <v>6083.5851599999996</v>
      </c>
      <c r="C54" s="28">
        <f>IF(OR(3936.18946="",6083.58516=""),"-",6083.58516/3936.18946*100)</f>
        <v>154.55519155828438</v>
      </c>
      <c r="D54" s="28">
        <f>IF(3936.18946="","-",3936.18946/1104691.54098*100)</f>
        <v>0.35631570569537502</v>
      </c>
      <c r="E54" s="28">
        <f>IF(6083.58516="","-",6083.58516/1875200.41724*100)</f>
        <v>0.32442319786564894</v>
      </c>
      <c r="F54" s="28">
        <f>IF(OR(980597.75708="",2402.42024="",3936.18946=""),"-",(3936.18946-2402.42024)/980597.75708*100)</f>
        <v>0.15641165900350623</v>
      </c>
      <c r="G54" s="28">
        <f>IF(OR(1104691.54098="",6083.58516="",3936.18946=""),"-",(6083.58516-3936.18946)/1104691.54098*100)</f>
        <v>0.19438871579436465</v>
      </c>
    </row>
    <row r="55" spans="1:7" s="7" customFormat="1" x14ac:dyDescent="0.25">
      <c r="A55" s="27" t="s">
        <v>56</v>
      </c>
      <c r="B55" s="17">
        <v>5314.1752200000001</v>
      </c>
      <c r="C55" s="28">
        <f>IF(OR(8176.35398="",5314.17522=""),"-",5314.17522/8176.35398*100)</f>
        <v>64.994436799078017</v>
      </c>
      <c r="D55" s="28">
        <f>IF(8176.35398="","-",8176.35398/1104691.54098*100)</f>
        <v>0.74014814784827154</v>
      </c>
      <c r="E55" s="28">
        <f>IF(5314.17522="","-",5314.17522/1875200.41724*100)</f>
        <v>0.28339238681599854</v>
      </c>
      <c r="F55" s="28">
        <f>IF(OR(980597.75708="",7714.09585="",8176.35398=""),"-",(8176.35398-7714.09585)/980597.75708*100)</f>
        <v>4.714044333290146E-2</v>
      </c>
      <c r="G55" s="28">
        <f>IF(OR(1104691.54098="",5314.17522="",8176.35398=""),"-",(5314.17522-8176.35398)/1104691.54098*100)</f>
        <v>-0.2590930276754802</v>
      </c>
    </row>
    <row r="56" spans="1:7" s="10" customFormat="1" x14ac:dyDescent="0.25">
      <c r="A56" s="27" t="s">
        <v>61</v>
      </c>
      <c r="B56" s="17">
        <v>5160.0505800000001</v>
      </c>
      <c r="C56" s="28" t="s">
        <v>286</v>
      </c>
      <c r="D56" s="28">
        <f>IF(1940.0952="","-",1940.0952/1104691.54098*100)</f>
        <v>0.17562325119995867</v>
      </c>
      <c r="E56" s="28">
        <f>IF(5160.05058="","-",5160.05058/1875200.41724*100)</f>
        <v>0.27517328454922074</v>
      </c>
      <c r="F56" s="28">
        <f>IF(OR(980597.75708="",85.11492="",1940.0952=""),"-",(1940.0952-85.11492)/980597.75708*100)</f>
        <v>0.18916831765184888</v>
      </c>
      <c r="G56" s="28">
        <f>IF(OR(1104691.54098="",5160.05058="",1940.0952=""),"-",(5160.05058-1940.0952)/1104691.54098*100)</f>
        <v>0.29148004312076981</v>
      </c>
    </row>
    <row r="57" spans="1:7" s="7" customFormat="1" x14ac:dyDescent="0.25">
      <c r="A57" s="27" t="s">
        <v>55</v>
      </c>
      <c r="B57" s="74">
        <v>4189.1557899999998</v>
      </c>
      <c r="C57" s="28">
        <f>IF(OR(2689.44956="",4189.15579=""),"-",4189.15579/2689.44956*100)</f>
        <v>155.76257135679467</v>
      </c>
      <c r="D57" s="28">
        <f>IF(2689.44956="","-",2689.44956/1104691.54098*100)</f>
        <v>0.24345706110993851</v>
      </c>
      <c r="E57" s="28">
        <f>IF(4189.15579="","-",4189.15579/1875200.41724*100)</f>
        <v>0.22339776332632102</v>
      </c>
      <c r="F57" s="28">
        <f>IF(OR(980597.75708="",3239.6293="",2689.44956=""),"-",(2689.44956-3239.6293)/980597.75708*100)</f>
        <v>-5.6106567247136259E-2</v>
      </c>
      <c r="G57" s="28">
        <f>IF(OR(1104691.54098="",4189.15579="",2689.44956=""),"-",(4189.15579-2689.44956)/1104691.54098*100)</f>
        <v>0.1357579174245846</v>
      </c>
    </row>
    <row r="58" spans="1:7" s="10" customFormat="1" x14ac:dyDescent="0.25">
      <c r="A58" s="27" t="s">
        <v>35</v>
      </c>
      <c r="B58" s="17">
        <v>3528.9421200000002</v>
      </c>
      <c r="C58" s="28" t="s">
        <v>204</v>
      </c>
      <c r="D58" s="28">
        <f>IF(1393.98285="","-",1393.98285/1104691.54098*100)</f>
        <v>0.12618751916606172</v>
      </c>
      <c r="E58" s="28">
        <f>IF(3528.94212="","-",3528.94212/1875200.41724*100)</f>
        <v>0.18819013090846298</v>
      </c>
      <c r="F58" s="28">
        <f>IF(OR(980597.75708="",2439.85964="",1393.98285=""),"-",(1393.98285-2439.85964)/980597.75708*100)</f>
        <v>-0.10665706528988873</v>
      </c>
      <c r="G58" s="28">
        <f>IF(OR(1104691.54098="",3528.94212="",1393.98285=""),"-",(3528.94212-1393.98285)/1104691.54098*100)</f>
        <v>0.1932629327555114</v>
      </c>
    </row>
    <row r="59" spans="1:7" s="7" customFormat="1" x14ac:dyDescent="0.25">
      <c r="A59" s="27" t="s">
        <v>60</v>
      </c>
      <c r="B59" s="74">
        <v>3391.7230500000001</v>
      </c>
      <c r="C59" s="28">
        <f>IF(OR(3783.79943="",3391.72305=""),"-",3391.72305/3783.79943*100)</f>
        <v>89.638024233224229</v>
      </c>
      <c r="D59" s="28">
        <f>IF(3783.79943="","-",3783.79943/1104691.54098*100)</f>
        <v>0.34252090195633206</v>
      </c>
      <c r="E59" s="28">
        <f>IF(3391.72305="","-",3391.72305/1875200.41724*100)</f>
        <v>0.18087256267743809</v>
      </c>
      <c r="F59" s="28">
        <f>IF(OR(980597.75708="",2225.61844="",3783.79943=""),"-",(3783.79943-2225.61844)/980597.75708*100)</f>
        <v>0.15890113746944648</v>
      </c>
      <c r="G59" s="28">
        <f>IF(OR(1104691.54098="",3391.72305="",3783.79943=""),"-",(3391.72305-3783.79943)/1104691.54098*100)</f>
        <v>-3.549193285685695E-2</v>
      </c>
    </row>
    <row r="60" spans="1:7" s="7" customFormat="1" x14ac:dyDescent="0.25">
      <c r="A60" s="27" t="s">
        <v>65</v>
      </c>
      <c r="B60" s="74">
        <v>3296.0846000000001</v>
      </c>
      <c r="C60" s="28" t="s">
        <v>378</v>
      </c>
      <c r="D60" s="28">
        <f>IF(320.5908="","-",320.5908/1104691.54098*100)</f>
        <v>2.9020843204393122E-2</v>
      </c>
      <c r="E60" s="28">
        <f>IF(3296.0846="","-",3296.0846/1875200.41724*100)</f>
        <v>0.17577239049740176</v>
      </c>
      <c r="F60" s="28">
        <f>IF(OR(980597.75708="",1515.65933="",320.5908=""),"-",(320.5908-1515.65933)/980597.75708*100)</f>
        <v>-0.12187143213121818</v>
      </c>
      <c r="G60" s="28">
        <f>IF(OR(1104691.54098="",3296.0846="",320.5908=""),"-",(3296.0846-320.5908)/1104691.54098*100)</f>
        <v>0.26935064582465829</v>
      </c>
    </row>
    <row r="61" spans="1:7" s="10" customFormat="1" x14ac:dyDescent="0.25">
      <c r="A61" s="27" t="s">
        <v>57</v>
      </c>
      <c r="B61" s="17">
        <v>3026.6679199999999</v>
      </c>
      <c r="C61" s="28">
        <f>IF(OR(5320.07769="",3026.66792=""),"-",3026.66792/5320.07769*100)</f>
        <v>56.891423328067972</v>
      </c>
      <c r="D61" s="28">
        <f>IF(5320.07769="","-",5320.07769/1104691.54098*100)</f>
        <v>0.48158942950540051</v>
      </c>
      <c r="E61" s="28">
        <f>IF(3026.66792="","-",3026.66792/1875200.41724*100)</f>
        <v>0.16140503661228803</v>
      </c>
      <c r="F61" s="28">
        <f>IF(OR(980597.75708="",4234.50966="",5320.07769=""),"-",(5320.07769-4234.50966)/980597.75708*100)</f>
        <v>0.11070472292661349</v>
      </c>
      <c r="G61" s="28">
        <f>IF(OR(1104691.54098="",3026.66792="",5320.07769=""),"-",(3026.66792-5320.07769)/1104691.54098*100)</f>
        <v>-0.20760634846225559</v>
      </c>
    </row>
    <row r="62" spans="1:7" s="12" customFormat="1" x14ac:dyDescent="0.25">
      <c r="A62" s="27" t="s">
        <v>116</v>
      </c>
      <c r="B62" s="74">
        <v>2259.4865599999998</v>
      </c>
      <c r="C62" s="28" t="str">
        <f>IF(OR(""="",2259.48656=""),"-",2259.48656/""*100)</f>
        <v>-</v>
      </c>
      <c r="D62" s="28" t="str">
        <f>IF(""="","-",""/1104691.54098*100)</f>
        <v>-</v>
      </c>
      <c r="E62" s="28">
        <f>IF(2259.48656="","-",2259.48656/1875200.41724*100)</f>
        <v>0.12049307045940234</v>
      </c>
      <c r="F62" s="28" t="str">
        <f>IF(OR(980597.75708="",2918.2464="",""=""),"-",(""-2918.2464)/980597.75708*100)</f>
        <v>-</v>
      </c>
      <c r="G62" s="28" t="str">
        <f>IF(OR(1104691.54098="",2259.48656="",""=""),"-",(2259.48656-"")/1104691.54098*100)</f>
        <v>-</v>
      </c>
    </row>
    <row r="63" spans="1:7" s="7" customFormat="1" x14ac:dyDescent="0.25">
      <c r="A63" s="27" t="s">
        <v>81</v>
      </c>
      <c r="B63" s="74">
        <v>1756.1677</v>
      </c>
      <c r="C63" s="28" t="s">
        <v>379</v>
      </c>
      <c r="D63" s="28">
        <f>IF(26.31432="","-",26.31432/1104691.54098*100)</f>
        <v>2.3820513712502853E-3</v>
      </c>
      <c r="E63" s="28">
        <f>IF(1756.1677="","-",1756.1677/1875200.41724*100)</f>
        <v>9.3652266917943761E-2</v>
      </c>
      <c r="F63" s="28">
        <f>IF(OR(980597.75708="",19.39621="",26.31432=""),"-",(26.31432-19.39621)/980597.75708*100)</f>
        <v>7.0549926818113241E-4</v>
      </c>
      <c r="G63" s="28">
        <f>IF(OR(1104691.54098="",1756.1677="",26.31432=""),"-",(1756.1677-26.31432)/1104691.54098*100)</f>
        <v>0.15659152947486163</v>
      </c>
    </row>
    <row r="64" spans="1:7" s="7" customFormat="1" x14ac:dyDescent="0.25">
      <c r="A64" s="27" t="s">
        <v>34</v>
      </c>
      <c r="B64" s="17">
        <v>1651.5086799999999</v>
      </c>
      <c r="C64" s="28" t="s">
        <v>346</v>
      </c>
      <c r="D64" s="28">
        <f>IF(439.63517="","-",439.63517/1104691.54098*100)</f>
        <v>3.9797097532763621E-2</v>
      </c>
      <c r="E64" s="28">
        <f>IF(1651.50868="","-",1651.50868/1875200.41724*100)</f>
        <v>8.8071049089822662E-2</v>
      </c>
      <c r="F64" s="28">
        <f>IF(OR(980597.75708="",208.64579="",439.63517=""),"-",(439.63517-208.64579)/980597.75708*100)</f>
        <v>2.3555976783776716E-2</v>
      </c>
      <c r="G64" s="28">
        <f>IF(OR(1104691.54098="",1651.50868="",439.63517=""),"-",(1651.50868-439.63517)/1104691.54098*100)</f>
        <v>0.10970243412246246</v>
      </c>
    </row>
    <row r="65" spans="1:7" s="7" customFormat="1" x14ac:dyDescent="0.25">
      <c r="A65" s="75" t="s">
        <v>87</v>
      </c>
      <c r="B65" s="74">
        <v>1587.5458799999999</v>
      </c>
      <c r="C65" s="28" t="s">
        <v>380</v>
      </c>
      <c r="D65" s="28">
        <f>IF(231.57831="","-",231.57831/1104691.54098*100)</f>
        <v>2.0963164956849488E-2</v>
      </c>
      <c r="E65" s="28">
        <f>IF(1587.54588="","-",1587.54588/1875200.41724*100)</f>
        <v>8.4660064353900777E-2</v>
      </c>
      <c r="F65" s="28">
        <f>IF(OR(980597.75708="",32.50811="",231.57831=""),"-",(231.57831-32.50811)/980597.75708*100)</f>
        <v>2.0300903052520369E-2</v>
      </c>
      <c r="G65" s="28">
        <f>IF(OR(1104691.54098="",1587.54588="",231.57831=""),"-",(1587.54588-231.57831)/1104691.54098*100)</f>
        <v>0.12274626171185184</v>
      </c>
    </row>
    <row r="66" spans="1:7" s="7" customFormat="1" x14ac:dyDescent="0.25">
      <c r="A66" s="27" t="s">
        <v>122</v>
      </c>
      <c r="B66" s="74">
        <v>1501.60572</v>
      </c>
      <c r="C66" s="28">
        <f>IF(OR(1103.36451="",1501.60572=""),"-",1501.60572/1103.36451*100)</f>
        <v>136.09334960393096</v>
      </c>
      <c r="D66" s="28">
        <f>IF(1103.36451="","-",1103.36451/1104691.54098*100)</f>
        <v>9.9879873165424737E-2</v>
      </c>
      <c r="E66" s="28">
        <f>IF(1501.60572="","-",1501.60572/1875200.41724*100)</f>
        <v>8.0077079025511699E-2</v>
      </c>
      <c r="F66" s="28">
        <f>IF(OR(980597.75708="",593.77983="",1103.36451=""),"-",(1103.36451-593.77983)/980597.75708*100)</f>
        <v>5.1966739299652176E-2</v>
      </c>
      <c r="G66" s="28">
        <f>IF(OR(1104691.54098="",1501.60572="",1103.36451=""),"-",(1501.60572-1103.36451)/1104691.54098*100)</f>
        <v>3.6049991805559588E-2</v>
      </c>
    </row>
    <row r="67" spans="1:7" s="7" customFormat="1" x14ac:dyDescent="0.25">
      <c r="A67" s="27" t="s">
        <v>73</v>
      </c>
      <c r="B67" s="74">
        <v>1385.4155599999999</v>
      </c>
      <c r="C67" s="28">
        <f>IF(OR(979.29631="",1385.41556=""),"-",1385.41556/979.29631*100)</f>
        <v>141.47051774350095</v>
      </c>
      <c r="D67" s="28">
        <f>IF(979.29631="","-",979.29631/1104691.54098*100)</f>
        <v>8.8648846639238429E-2</v>
      </c>
      <c r="E67" s="28">
        <f>IF(1385.41556="","-",1385.41556/1875200.41724*100)</f>
        <v>7.3880932793259163E-2</v>
      </c>
      <c r="F67" s="28">
        <f>IF(OR(980597.75708="",871.84909="",979.29631=""),"-",(979.29631-871.84909)/980597.75708*100)</f>
        <v>1.0957318556382751E-2</v>
      </c>
      <c r="G67" s="28">
        <f>IF(OR(1104691.54098="",1385.41556="",979.29631=""),"-",(1385.41556-979.29631)/1104691.54098*100)</f>
        <v>3.6763135674934312E-2</v>
      </c>
    </row>
    <row r="68" spans="1:7" s="7" customFormat="1" x14ac:dyDescent="0.25">
      <c r="A68" s="27" t="s">
        <v>98</v>
      </c>
      <c r="B68" s="17">
        <v>1363.28006</v>
      </c>
      <c r="C68" s="28" t="s">
        <v>347</v>
      </c>
      <c r="D68" s="28">
        <f>IF(231.94087="","-",231.94087/1104691.54098*100)</f>
        <v>2.0995984978235582E-2</v>
      </c>
      <c r="E68" s="28">
        <f>IF(1363.28006="","-",1363.28006/1875200.41724*100)</f>
        <v>7.270049896888002E-2</v>
      </c>
      <c r="F68" s="28">
        <f>IF(OR(980597.75708="",215.33963="",231.94087=""),"-",(231.94087-215.33963)/980597.75708*100)</f>
        <v>1.6929714431975404E-3</v>
      </c>
      <c r="G68" s="28">
        <f>IF(OR(1104691.54098="",1363.28006="",231.94087=""),"-",(1363.28006-231.94087)/1104691.54098*100)</f>
        <v>0.10241222531643179</v>
      </c>
    </row>
    <row r="69" spans="1:7" s="7" customFormat="1" x14ac:dyDescent="0.25">
      <c r="A69" s="27" t="s">
        <v>72</v>
      </c>
      <c r="B69" s="17">
        <v>1309.03765</v>
      </c>
      <c r="C69" s="28" t="s">
        <v>314</v>
      </c>
      <c r="D69" s="28">
        <f>IF(475.3101="","-",475.3101/1104691.54098*100)</f>
        <v>4.3026499467746469E-2</v>
      </c>
      <c r="E69" s="28">
        <f>IF(1309.03765="","-",1309.03765/1875200.41724*100)</f>
        <v>6.9807879625298788E-2</v>
      </c>
      <c r="F69" s="28">
        <f>IF(OR(980597.75708="",307.97852="",475.3101=""),"-",(475.3101-307.97852)/980597.75708*100)</f>
        <v>1.706424257977867E-2</v>
      </c>
      <c r="G69" s="28">
        <f>IF(OR(1104691.54098="",1309.03765="",475.3101=""),"-",(1309.03765-475.3101)/1104691.54098*100)</f>
        <v>7.5471524771555609E-2</v>
      </c>
    </row>
    <row r="70" spans="1:7" s="7" customFormat="1" x14ac:dyDescent="0.25">
      <c r="A70" s="27" t="s">
        <v>78</v>
      </c>
      <c r="B70" s="17">
        <v>1041.77268</v>
      </c>
      <c r="C70" s="28" t="s">
        <v>344</v>
      </c>
      <c r="D70" s="28">
        <f>IF(9.75744="","-",9.75744/1104691.54098*100)</f>
        <v>8.8327280856554096E-4</v>
      </c>
      <c r="E70" s="28">
        <f>IF(1041.77268="","-",1041.77268/1875200.41724*100)</f>
        <v>5.555527134178679E-2</v>
      </c>
      <c r="F70" s="28">
        <f>IF(OR(980597.75708="",4.91="",9.75744=""),"-",(9.75744-4.91)/980597.75708*100)</f>
        <v>4.9433521186450482E-4</v>
      </c>
      <c r="G70" s="28">
        <f>IF(OR(1104691.54098="",1041.77268="",9.75744=""),"-",(1041.77268-9.75744)/1104691.54098*100)</f>
        <v>9.3421122704033105E-2</v>
      </c>
    </row>
    <row r="71" spans="1:7" s="7" customFormat="1" x14ac:dyDescent="0.25">
      <c r="A71" s="27" t="s">
        <v>37</v>
      </c>
      <c r="B71" s="17">
        <v>985.23410999999999</v>
      </c>
      <c r="C71" s="28" t="s">
        <v>91</v>
      </c>
      <c r="D71" s="28">
        <f>IF(468.24047="","-",468.24047/1104691.54098*100)</f>
        <v>4.2386535302389658E-2</v>
      </c>
      <c r="E71" s="28">
        <f>IF(985.23411="","-",985.23411/1875200.41724*100)</f>
        <v>5.2540203219990193E-2</v>
      </c>
      <c r="F71" s="28">
        <f>IF(OR(980597.75708="",1309.92535="",468.24047=""),"-",(468.24047-1309.92535)/980597.75708*100)</f>
        <v>-8.5833857351086409E-2</v>
      </c>
      <c r="G71" s="28">
        <f>IF(OR(1104691.54098="",985.23411="",468.24047=""),"-",(985.23411-468.24047)/1104691.54098*100)</f>
        <v>4.6799818847292132E-2</v>
      </c>
    </row>
    <row r="72" spans="1:7" x14ac:dyDescent="0.25">
      <c r="A72" s="27" t="s">
        <v>74</v>
      </c>
      <c r="B72" s="74">
        <v>871.50134000000003</v>
      </c>
      <c r="C72" s="28">
        <f>IF(OR(1175.38769="",871.50134=""),"-",871.50134/1175.38769*100)</f>
        <v>74.145862460070504</v>
      </c>
      <c r="D72" s="28">
        <f>IF(1175.38769="","-",1175.38769/1104691.54098*100)</f>
        <v>0.10639962798640458</v>
      </c>
      <c r="E72" s="28">
        <f>IF(871.50134="","-",871.50134/1875200.41724*100)</f>
        <v>4.6475103780251548E-2</v>
      </c>
      <c r="F72" s="28">
        <f>IF(OR(980597.75708="",488.49235="",1175.38769=""),"-",(1175.38769-488.49235)/980597.75708*100)</f>
        <v>7.0048634625212713E-2</v>
      </c>
      <c r="G72" s="28">
        <f>IF(OR(1104691.54098="",871.50134="",1175.38769=""),"-",(871.50134-1175.38769)/1104691.54098*100)</f>
        <v>-2.7508706161578342E-2</v>
      </c>
    </row>
    <row r="73" spans="1:7" x14ac:dyDescent="0.25">
      <c r="A73" s="27" t="s">
        <v>75</v>
      </c>
      <c r="B73" s="74">
        <v>865.63872000000003</v>
      </c>
      <c r="C73" s="28" t="s">
        <v>381</v>
      </c>
      <c r="D73" s="28">
        <f>IF(66.02272="","-",66.02272/1104691.54098*100)</f>
        <v>5.9765751389233559E-3</v>
      </c>
      <c r="E73" s="28">
        <f>IF(865.63872="","-",865.63872/1875200.41724*100)</f>
        <v>4.6162464131385167E-2</v>
      </c>
      <c r="F73" s="28">
        <f>IF(OR(980597.75708="",138.20119="",66.02272=""),"-",(66.02272-138.20119)/980597.75708*100)</f>
        <v>-7.3606603195719381E-3</v>
      </c>
      <c r="G73" s="28">
        <f>IF(OR(1104691.54098="",865.63872="",66.02272=""),"-",(865.63872-66.02272)/1104691.54098*100)</f>
        <v>7.2383644695119168E-2</v>
      </c>
    </row>
    <row r="74" spans="1:7" x14ac:dyDescent="0.25">
      <c r="A74" s="27" t="s">
        <v>312</v>
      </c>
      <c r="B74" s="17">
        <v>793.45667000000003</v>
      </c>
      <c r="C74" s="28">
        <f>IF(OR(708.76852="",793.45667=""),"-",793.45667/708.76852*100)</f>
        <v>111.94863310238441</v>
      </c>
      <c r="D74" s="28">
        <f>IF(708.76852="","-",708.76852/1104691.54098*100)</f>
        <v>6.4159857635121678E-2</v>
      </c>
      <c r="E74" s="28">
        <f>IF(793.45667="","-",793.45667/1875200.41724*100)</f>
        <v>4.2313166246402793E-2</v>
      </c>
      <c r="F74" s="28">
        <f>IF(OR(980597.75708="",707.95175="",708.76852=""),"-",(708.76852-707.95175)/980597.75708*100)</f>
        <v>8.3293072424739915E-5</v>
      </c>
      <c r="G74" s="28">
        <f>IF(OR(1104691.54098="",793.45667="",708.76852=""),"-",(793.45667-708.76852)/1104691.54098*100)</f>
        <v>7.6662259878328603E-3</v>
      </c>
    </row>
    <row r="75" spans="1:7" x14ac:dyDescent="0.25">
      <c r="A75" s="27" t="s">
        <v>92</v>
      </c>
      <c r="B75" s="74">
        <v>637.52828999999997</v>
      </c>
      <c r="C75" s="28" t="s">
        <v>314</v>
      </c>
      <c r="D75" s="28">
        <f>IF(231.46488="","-",231.46488/1104691.54098*100)</f>
        <v>2.0952896932175436E-2</v>
      </c>
      <c r="E75" s="28">
        <f>IF(637.52829="","-",637.52829/1875200.41724*100)</f>
        <v>3.3997874794542832E-2</v>
      </c>
      <c r="F75" s="28">
        <f>IF(OR(980597.75708="",159.60595="",231.46488=""),"-",(231.46488-159.60595)/980597.75708*100)</f>
        <v>7.3280740733060352E-3</v>
      </c>
      <c r="G75" s="28">
        <f>IF(OR(1104691.54098="",637.52829="",231.46488=""),"-",(637.52829-231.46488)/1104691.54098*100)</f>
        <v>3.6758080870228332E-2</v>
      </c>
    </row>
    <row r="76" spans="1:7" x14ac:dyDescent="0.25">
      <c r="A76" s="75" t="s">
        <v>69</v>
      </c>
      <c r="B76" s="74">
        <v>619.15200000000004</v>
      </c>
      <c r="C76" s="28">
        <f>IF(OR(414.86789="",619.152=""),"-",619.152/414.86789*100)</f>
        <v>149.24076192062012</v>
      </c>
      <c r="D76" s="28">
        <f>IF(414.86789="","-",414.86789/1104691.54098*100)</f>
        <v>3.7555088874126806E-2</v>
      </c>
      <c r="E76" s="28">
        <f>IF(619.152="","-",619.152/1875200.41724*100)</f>
        <v>3.3017910742111196E-2</v>
      </c>
      <c r="F76" s="28">
        <f>IF(OR(980597.75708="",550.70076="",414.86789=""),"-",(414.86789-550.70076)/980597.75708*100)</f>
        <v>-1.3852047796282928E-2</v>
      </c>
      <c r="G76" s="28">
        <f>IF(OR(1104691.54098="",619.152="",414.86789=""),"-",(619.152-414.86789)/1104691.54098*100)</f>
        <v>1.8492411901586066E-2</v>
      </c>
    </row>
    <row r="77" spans="1:7" x14ac:dyDescent="0.25">
      <c r="A77" s="27" t="s">
        <v>138</v>
      </c>
      <c r="B77" s="17">
        <v>364.62896000000001</v>
      </c>
      <c r="C77" s="28">
        <f>IF(OR(412.26926="",364.62896=""),"-",364.62896/412.26926*100)</f>
        <v>88.444372495781039</v>
      </c>
      <c r="D77" s="28">
        <f>IF(412.26926="","-",412.26926/1104691.54098*100)</f>
        <v>3.7319853072674512E-2</v>
      </c>
      <c r="E77" s="28">
        <f>IF(364.62896="","-",364.62896/1875200.41724*100)</f>
        <v>1.9444799427715383E-2</v>
      </c>
      <c r="F77" s="28">
        <f>IF(OR(980597.75708="",95.1381="",412.26926=""),"-",(412.26926-95.1381)/980597.75708*100)</f>
        <v>3.2340596101743634E-2</v>
      </c>
      <c r="G77" s="28">
        <f>IF(OR(1104691.54098="",364.62896="",412.26926=""),"-",(364.62896-412.26926)/1104691.54098*100)</f>
        <v>-4.3125432062000807E-3</v>
      </c>
    </row>
    <row r="78" spans="1:7" x14ac:dyDescent="0.25">
      <c r="A78" s="27" t="s">
        <v>103</v>
      </c>
      <c r="B78" s="74">
        <v>356.17903000000001</v>
      </c>
      <c r="C78" s="28" t="s">
        <v>335</v>
      </c>
      <c r="D78" s="28">
        <f>IF(82.16402="","-",82.16402/1104691.54098*100)</f>
        <v>7.4377341503955212E-3</v>
      </c>
      <c r="E78" s="28">
        <f>IF(356.17903="","-",356.17903/1875200.41724*100)</f>
        <v>1.8994184660231651E-2</v>
      </c>
      <c r="F78" s="28">
        <f>IF(OR(980597.75708="",98.55559="",82.16402=""),"-",(82.16402-98.55559)/980597.75708*100)</f>
        <v>-1.6715895872340576E-3</v>
      </c>
      <c r="G78" s="28">
        <f>IF(OR(1104691.54098="",356.17903="",82.16402=""),"-",(356.17903-82.16402)/1104691.54098*100)</f>
        <v>2.4804662644281165E-2</v>
      </c>
    </row>
    <row r="79" spans="1:7" x14ac:dyDescent="0.25">
      <c r="A79" s="27" t="s">
        <v>36</v>
      </c>
      <c r="B79" s="17">
        <v>350.92266999999998</v>
      </c>
      <c r="C79" s="28">
        <f>IF(OR(388.11069="",350.92267=""),"-",350.92267/388.11069*100)</f>
        <v>90.418192294574524</v>
      </c>
      <c r="D79" s="28">
        <f>IF(388.11069="","-",388.11069/1104691.54098*100)</f>
        <v>3.5132946673575235E-2</v>
      </c>
      <c r="E79" s="28">
        <f>IF(350.92267="","-",350.92267/1875200.41724*100)</f>
        <v>1.8713875422260353E-2</v>
      </c>
      <c r="F79" s="28">
        <f>IF(OR(980597.75708="",320.12303="",388.11069=""),"-",(388.11069-320.12303)/980597.75708*100)</f>
        <v>6.9332873249120953E-3</v>
      </c>
      <c r="G79" s="28">
        <f>IF(OR(1104691.54098="",350.92267="",388.11069=""),"-",(350.92267-388.11069)/1104691.54098*100)</f>
        <v>-3.3663713915116572E-3</v>
      </c>
    </row>
    <row r="80" spans="1:7" x14ac:dyDescent="0.25">
      <c r="A80" s="27" t="s">
        <v>84</v>
      </c>
      <c r="B80" s="17">
        <v>328.45526000000001</v>
      </c>
      <c r="C80" s="28" t="s">
        <v>382</v>
      </c>
      <c r="D80" s="28">
        <f>IF(27.5959="","-",27.5959/1104691.54098*100)</f>
        <v>2.4980638464488442E-3</v>
      </c>
      <c r="E80" s="28">
        <f>IF(328.45526="","-",328.45526/1875200.41724*100)</f>
        <v>1.7515741623150578E-2</v>
      </c>
      <c r="F80" s="28">
        <f>IF(OR(980597.75708="",801.70422="",27.5959=""),"-",(27.5959-801.70422)/980597.75708*100)</f>
        <v>-7.8942493434323233E-2</v>
      </c>
      <c r="G80" s="28">
        <f>IF(OR(1104691.54098="",328.45526="",27.5959=""),"-",(328.45526-27.5959)/1104691.54098*100)</f>
        <v>2.7234693924885135E-2</v>
      </c>
    </row>
    <row r="81" spans="1:7" x14ac:dyDescent="0.25">
      <c r="A81" s="27" t="s">
        <v>207</v>
      </c>
      <c r="B81" s="17">
        <v>303.23279000000002</v>
      </c>
      <c r="C81" s="28">
        <f>IF(OR(195.88926="",303.23279=""),"-",303.23279/195.88926*100)</f>
        <v>154.79806805130613</v>
      </c>
      <c r="D81" s="28">
        <f>IF(195.88926="","-",195.88926/1104691.54098*100)</f>
        <v>1.7732484837009042E-2</v>
      </c>
      <c r="E81" s="28">
        <f>IF(303.23279="","-",303.23279/1875200.41724*100)</f>
        <v>1.6170686994956569E-2</v>
      </c>
      <c r="F81" s="28">
        <f>IF(OR(980597.75708="",81.7743="",195.88926=""),"-",(195.88926-81.7743)/980597.75708*100)</f>
        <v>1.1637285439017191E-2</v>
      </c>
      <c r="G81" s="28">
        <f>IF(OR(1104691.54098="",303.23279="",195.88926=""),"-",(303.23279-195.88926)/1104691.54098*100)</f>
        <v>9.7170591081717547E-3</v>
      </c>
    </row>
    <row r="82" spans="1:7" x14ac:dyDescent="0.25">
      <c r="A82" s="27" t="s">
        <v>123</v>
      </c>
      <c r="B82" s="17">
        <v>293.86622</v>
      </c>
      <c r="C82" s="28">
        <f>IF(OR(305.84127="",293.86622=""),"-",293.86622/305.84127*100)</f>
        <v>96.084553925636001</v>
      </c>
      <c r="D82" s="28">
        <f>IF(305.84127="","-",305.84127/1104691.54098*100)</f>
        <v>2.7685671398251174E-2</v>
      </c>
      <c r="E82" s="28">
        <f>IF(293.86622="","-",293.86622/1875200.41724*100)</f>
        <v>1.5671189985789619E-2</v>
      </c>
      <c r="F82" s="28">
        <f>IF(OR(980597.75708="",25.28671="",305.84127=""),"-",(305.84127-25.28671)/980597.75708*100)</f>
        <v>2.8610565134824351E-2</v>
      </c>
      <c r="G82" s="28">
        <f>IF(OR(1104691.54098="",293.86622="",305.84127=""),"-",(293.86622-305.84127)/1104691.54098*100)</f>
        <v>-1.084017533924143E-3</v>
      </c>
    </row>
    <row r="83" spans="1:7" x14ac:dyDescent="0.25">
      <c r="A83" s="27" t="s">
        <v>136</v>
      </c>
      <c r="B83" s="74">
        <v>290.41039999999998</v>
      </c>
      <c r="C83" s="28">
        <f>IF(OR(299.4="",290.4104=""),"-",290.4104/299.4*100)</f>
        <v>96.997461589846353</v>
      </c>
      <c r="D83" s="28">
        <f>IF(299.4="","-",299.4/1104691.54098*100)</f>
        <v>2.7102588269517714E-2</v>
      </c>
      <c r="E83" s="28">
        <f>IF(290.4104="","-",290.4104/1875200.41724*100)</f>
        <v>1.5486899284474262E-2</v>
      </c>
      <c r="F83" s="28">
        <f>IF(OR(980597.75708="",179.7168="",299.4=""),"-",(299.4-179.7168)/980597.75708*100)</f>
        <v>1.2205126835736366E-2</v>
      </c>
      <c r="G83" s="28">
        <f>IF(OR(1104691.54098="",290.4104="",299.4=""),"-",(290.4104-299.4)/1104691.54098*100)</f>
        <v>-8.1376562293806402E-4</v>
      </c>
    </row>
    <row r="84" spans="1:7" x14ac:dyDescent="0.25">
      <c r="A84" s="27" t="s">
        <v>63</v>
      </c>
      <c r="B84" s="17">
        <v>252.86861999999999</v>
      </c>
      <c r="C84" s="28">
        <f>IF(OR(567.93065="",252.86862=""),"-",252.86862/567.93065*100)</f>
        <v>44.52455946866047</v>
      </c>
      <c r="D84" s="28">
        <f>IF(567.93065="","-",567.93065/1104691.54098*100)</f>
        <v>5.1410790155609801E-2</v>
      </c>
      <c r="E84" s="28">
        <f>IF(252.86862="","-",252.86862/1875200.41724*100)</f>
        <v>1.3484885011500946E-2</v>
      </c>
      <c r="F84" s="28">
        <f>IF(OR(980597.75708="",4398.10823="",567.93065=""),"-",(567.93065-4398.10823)/980597.75708*100)</f>
        <v>-0.3905962003630733</v>
      </c>
      <c r="G84" s="28">
        <f>IF(OR(1104691.54098="",252.86862="",567.93065=""),"-",(252.86862-567.93065)/1104691.54098*100)</f>
        <v>-2.8520362319467071E-2</v>
      </c>
    </row>
    <row r="85" spans="1:7" x14ac:dyDescent="0.25">
      <c r="A85" s="27" t="s">
        <v>85</v>
      </c>
      <c r="B85" s="17">
        <v>248.39429999999999</v>
      </c>
      <c r="C85" s="28">
        <f>IF(OR(425.51718="",248.3943=""),"-",248.3943/425.51718*100)</f>
        <v>58.374681840108082</v>
      </c>
      <c r="D85" s="28">
        <f>IF(425.51718="","-",425.51718/1104691.54098*100)</f>
        <v>3.8519094626407013E-2</v>
      </c>
      <c r="E85" s="28">
        <f>IF(248.3943="","-",248.3943/1875200.41724*100)</f>
        <v>1.3246280115786093E-2</v>
      </c>
      <c r="F85" s="28">
        <f>IF(OR(980597.75708="",10.25096="",425.51718=""),"-",(425.51718-10.25096)/980597.75708*100)</f>
        <v>4.2348273489485597E-2</v>
      </c>
      <c r="G85" s="28">
        <f>IF(OR(1104691.54098="",248.3943="",425.51718=""),"-",(248.3943-425.51718)/1104691.54098*100)</f>
        <v>-1.6033695690551752E-2</v>
      </c>
    </row>
    <row r="86" spans="1:7" x14ac:dyDescent="0.25">
      <c r="A86" s="27" t="s">
        <v>82</v>
      </c>
      <c r="B86" s="74">
        <v>244.76551000000001</v>
      </c>
      <c r="C86" s="28" t="s">
        <v>326</v>
      </c>
      <c r="D86" s="28">
        <f>IF(85.82009="","-",85.82009/1104691.54098*100)</f>
        <v>7.7686926002770692E-3</v>
      </c>
      <c r="E86" s="28">
        <f>IF(244.76551="","-",244.76551/1875200.41724*100)</f>
        <v>1.3052765333758633E-2</v>
      </c>
      <c r="F86" s="28">
        <f>IF(OR(980597.75708="",535.97461="",85.82009=""),"-",(85.82009-535.97461)/980597.75708*100)</f>
        <v>-4.5906133962661619E-2</v>
      </c>
      <c r="G86" s="28">
        <f>IF(OR(1104691.54098="",244.76551="",85.82009=""),"-",(244.76551-85.82009)/1104691.54098*100)</f>
        <v>1.4388217353325208E-2</v>
      </c>
    </row>
    <row r="87" spans="1:7" x14ac:dyDescent="0.25">
      <c r="A87" s="27" t="s">
        <v>333</v>
      </c>
      <c r="B87" s="17">
        <v>239.17649</v>
      </c>
      <c r="C87" s="28">
        <f>IF(OR(260.5982="",239.17649=""),"-",239.17649/260.5982*100)</f>
        <v>91.779793567261777</v>
      </c>
      <c r="D87" s="28">
        <f>IF(260.5982="","-",260.5982/1104691.54098*100)</f>
        <v>2.3590132659911264E-2</v>
      </c>
      <c r="E87" s="28">
        <f>IF(239.17649="","-",239.17649/1875200.41724*100)</f>
        <v>1.2754716125331828E-2</v>
      </c>
      <c r="F87" s="28">
        <f>IF(OR(980597.75708="",245.97432="",260.5982=""),"-",(260.5982-245.97432)/980597.75708*100)</f>
        <v>1.4913230113381705E-3</v>
      </c>
      <c r="G87" s="28">
        <f>IF(OR(1104691.54098="",239.17649="",260.5982=""),"-",(239.17649-260.5982)/1104691.54098*100)</f>
        <v>-1.9391576024015062E-3</v>
      </c>
    </row>
    <row r="88" spans="1:7" x14ac:dyDescent="0.25">
      <c r="A88" s="27" t="s">
        <v>79</v>
      </c>
      <c r="B88" s="74">
        <v>193.36063999999999</v>
      </c>
      <c r="C88" s="28" t="s">
        <v>383</v>
      </c>
      <c r="D88" s="28">
        <f>IF(0.85315="","-",0.85315/1104691.54098*100)</f>
        <v>7.722970334715778E-5</v>
      </c>
      <c r="E88" s="28">
        <f>IF(193.36064="","-",193.36064/1875200.41724*100)</f>
        <v>1.0311465282446792E-2</v>
      </c>
      <c r="F88" s="28">
        <f>IF(OR(980597.75708="",302.39389="",0.85315=""),"-",(0.85315-302.39389)/980597.75708*100)</f>
        <v>-3.0750706680986156E-2</v>
      </c>
      <c r="G88" s="28">
        <f>IF(OR(1104691.54098="",193.36064="",0.85315=""),"-",(193.36064-0.85315)/1104691.54098*100)</f>
        <v>1.7426356847923513E-2</v>
      </c>
    </row>
    <row r="89" spans="1:7" x14ac:dyDescent="0.25">
      <c r="A89" s="27" t="s">
        <v>89</v>
      </c>
      <c r="B89" s="17">
        <v>188.49813</v>
      </c>
      <c r="C89" s="28">
        <f>IF(OR(175.39789="",188.49813=""),"-",188.49813/175.39789*100)</f>
        <v>107.46886977944831</v>
      </c>
      <c r="D89" s="28">
        <f>IF(175.39789="","-",175.39789/1104691.54098*100)</f>
        <v>1.5877544408858246E-2</v>
      </c>
      <c r="E89" s="28">
        <f>IF(188.49813="","-",188.49813/1875200.41724*100)</f>
        <v>1.0052159132805633E-2</v>
      </c>
      <c r="F89" s="28">
        <f>IF(OR(980597.75708="",508.29292="",175.39789=""),"-",(175.39789-508.29292)/980597.75708*100)</f>
        <v>-3.3948173713071371E-2</v>
      </c>
      <c r="G89" s="28">
        <f>IF(OR(1104691.54098="",188.49813="",175.39789=""),"-",(188.49813-175.39789)/1104691.54098*100)</f>
        <v>1.1858731160717005E-3</v>
      </c>
    </row>
    <row r="90" spans="1:7" x14ac:dyDescent="0.25">
      <c r="A90" s="27" t="s">
        <v>332</v>
      </c>
      <c r="B90" s="74">
        <v>178.69909000000001</v>
      </c>
      <c r="C90" s="28" t="s">
        <v>384</v>
      </c>
      <c r="D90" s="28">
        <f>IF(2.79808="","-",2.79808/1104691.54098*100)</f>
        <v>2.5329061518093569E-4</v>
      </c>
      <c r="E90" s="28">
        <f>IF(178.69909="","-",178.69909/1875200.41724*100)</f>
        <v>9.5295995221149187E-3</v>
      </c>
      <c r="F90" s="28">
        <f>IF(OR(980597.75708="",0.73745="",2.79808=""),"-",(2.79808-0.73745)/980597.75708*100)</f>
        <v>2.1014019103369089E-4</v>
      </c>
      <c r="G90" s="28">
        <f>IF(OR(1104691.54098="",178.69909="",2.79808=""),"-",(178.69909-2.79808)/1104691.54098*100)</f>
        <v>1.5923088344095924E-2</v>
      </c>
    </row>
    <row r="91" spans="1:7" x14ac:dyDescent="0.25">
      <c r="A91" s="27" t="s">
        <v>302</v>
      </c>
      <c r="B91" s="74">
        <v>176.90536</v>
      </c>
      <c r="C91" s="28">
        <f>IF(OR(211.45377="",176.90536=""),"-",176.90536/211.45377*100)</f>
        <v>83.661483075000277</v>
      </c>
      <c r="D91" s="28">
        <f>IF(211.45377="","-",211.45377/1104691.54098*100)</f>
        <v>1.9141431083324306E-2</v>
      </c>
      <c r="E91" s="28">
        <f>IF(176.90536="","-",176.90536/1875200.41724*100)</f>
        <v>9.4339441466409681E-3</v>
      </c>
      <c r="F91" s="28">
        <f>IF(OR(980597.75708="",50.18097="",211.45377=""),"-",(211.45377-50.18097)/980597.75708*100)</f>
        <v>1.6446376593827236E-2</v>
      </c>
      <c r="G91" s="28">
        <f>IF(OR(1104691.54098="",176.90536="",211.45377=""),"-",(176.90536-211.45377)/1104691.54098*100)</f>
        <v>-3.1274259572360999E-3</v>
      </c>
    </row>
    <row r="92" spans="1:7" x14ac:dyDescent="0.25">
      <c r="A92" s="27" t="s">
        <v>80</v>
      </c>
      <c r="B92" s="17">
        <v>168.45391000000001</v>
      </c>
      <c r="C92" s="28">
        <f>IF(OR(303.34928="",168.45391=""),"-",168.45391/303.34928*100)</f>
        <v>55.531336682256175</v>
      </c>
      <c r="D92" s="28">
        <f>IF(303.34928="","-",303.34928/1104691.54098*100)</f>
        <v>2.7460088970256001E-2</v>
      </c>
      <c r="E92" s="28">
        <f>IF(168.45391="","-",168.45391/1875200.41724*100)</f>
        <v>8.9832483211547947E-3</v>
      </c>
      <c r="F92" s="28">
        <f>IF(OR(980597.75708="",132.75021="",303.34928=""),"-",(303.34928-132.75021)/980597.75708*100)</f>
        <v>1.73974566807093E-2</v>
      </c>
      <c r="G92" s="28">
        <f>IF(OR(1104691.54098="",168.45391="",303.34928=""),"-",(168.45391-303.34928)/1104691.54098*100)</f>
        <v>-1.2211134510936047E-2</v>
      </c>
    </row>
    <row r="93" spans="1:7" x14ac:dyDescent="0.25">
      <c r="A93" s="27" t="s">
        <v>131</v>
      </c>
      <c r="B93" s="74">
        <v>161.54859999999999</v>
      </c>
      <c r="C93" s="28">
        <f>IF(OR(216.35356="",161.5486=""),"-",161.5486/216.35356*100)</f>
        <v>74.668796760265934</v>
      </c>
      <c r="D93" s="28">
        <f>IF(216.35356="","-",216.35356/1104691.54098*100)</f>
        <v>1.9584974807362716E-2</v>
      </c>
      <c r="E93" s="28">
        <f>IF(161.5486="","-",161.5486/1875200.41724*100)</f>
        <v>8.6150044824421547E-3</v>
      </c>
      <c r="F93" s="28">
        <f>IF(OR(980597.75708="",135.07132="",216.35356=""),"-",(216.35356-135.07132)/980597.75708*100)</f>
        <v>8.2890501648749705E-3</v>
      </c>
      <c r="G93" s="28">
        <f>IF(OR(1104691.54098="",161.5486="",216.35356=""),"-",(161.5486-216.35356)/1104691.54098*100)</f>
        <v>-4.9611097729037662E-3</v>
      </c>
    </row>
    <row r="94" spans="1:7" x14ac:dyDescent="0.25">
      <c r="A94" s="27" t="s">
        <v>324</v>
      </c>
      <c r="B94" s="74">
        <v>159.51682</v>
      </c>
      <c r="C94" s="28">
        <f>IF(OR(128.04953="",159.51682=""),"-",159.51682/128.04953*100)</f>
        <v>124.57431120598412</v>
      </c>
      <c r="D94" s="28">
        <f>IF(128.04953="","-",128.04953/1104691.54098*100)</f>
        <v>1.1591428489296117E-2</v>
      </c>
      <c r="E94" s="28">
        <f>IF(159.51682="","-",159.51682/1875200.41724*100)</f>
        <v>8.5066544638883797E-3</v>
      </c>
      <c r="F94" s="28">
        <f>IF(OR(980597.75708="",698.27466="",128.04953=""),"-",(128.04953-698.27466)/980597.75708*100)</f>
        <v>-5.8150768333185103E-2</v>
      </c>
      <c r="G94" s="28">
        <f>IF(OR(1104691.54098="",159.51682="",128.04953=""),"-",(159.51682-128.04953)/1104691.54098*100)</f>
        <v>2.8485137101787305E-3</v>
      </c>
    </row>
    <row r="95" spans="1:7" x14ac:dyDescent="0.25">
      <c r="A95" s="27" t="s">
        <v>119</v>
      </c>
      <c r="B95" s="17">
        <v>147.06371999999999</v>
      </c>
      <c r="C95" s="28">
        <f>IF(OR(207.61055="",147.06372=""),"-",147.06372/207.61055*100)</f>
        <v>70.836342372774411</v>
      </c>
      <c r="D95" s="28">
        <f>IF(207.61055="","-",207.61055/1104691.54098*100)</f>
        <v>1.8793531252699138E-2</v>
      </c>
      <c r="E95" s="28">
        <f>IF(147.06372="","-",147.06372/1875200.41724*100)</f>
        <v>7.8425601150651746E-3</v>
      </c>
      <c r="F95" s="28">
        <f>IF(OR(980597.75708="",440.48963="",207.61055=""),"-",(207.61055-440.48963)/980597.75708*100)</f>
        <v>-2.3748685770347017E-2</v>
      </c>
      <c r="G95" s="28">
        <f>IF(OR(1104691.54098="",147.06372="",207.61055=""),"-",(147.06372-207.61055)/1104691.54098*100)</f>
        <v>-5.4808811106028168E-3</v>
      </c>
    </row>
    <row r="96" spans="1:7" x14ac:dyDescent="0.25">
      <c r="A96" s="27" t="s">
        <v>59</v>
      </c>
      <c r="B96" s="74">
        <v>138.61159000000001</v>
      </c>
      <c r="C96" s="28" t="s">
        <v>385</v>
      </c>
      <c r="D96" s="28">
        <f>IF(35.76929="","-",35.76929/1104691.54098*100)</f>
        <v>3.2379436859150883E-3</v>
      </c>
      <c r="E96" s="28">
        <f>IF(138.61159="","-",138.61159/1875200.41724*100)</f>
        <v>7.3918280267884356E-3</v>
      </c>
      <c r="F96" s="28">
        <f>IF(OR(980597.75708="",2412.04359="",35.76929=""),"-",(35.76929-2412.04359)/980597.75708*100)</f>
        <v>-0.24232915921366285</v>
      </c>
      <c r="G96" s="28">
        <f>IF(OR(1104691.54098="",138.61159="",35.76929=""),"-",(138.61159-35.76929)/1104691.54098*100)</f>
        <v>9.3095942337682765E-3</v>
      </c>
    </row>
    <row r="97" spans="1:7" x14ac:dyDescent="0.25">
      <c r="A97" s="27" t="s">
        <v>126</v>
      </c>
      <c r="B97" s="17">
        <v>136.63442000000001</v>
      </c>
      <c r="C97" s="28" t="s">
        <v>358</v>
      </c>
      <c r="D97" s="28">
        <f>IF(37.92602="","-",37.92602/1104691.54098*100)</f>
        <v>3.4331773706128732E-3</v>
      </c>
      <c r="E97" s="28">
        <f>IF(136.63442="","-",136.63442/1875200.41724*100)</f>
        <v>7.2863902302829249E-3</v>
      </c>
      <c r="F97" s="28">
        <f>IF(OR(980597.75708="",0.77273="",37.92602=""),"-",(37.92602-0.77273)/980597.75708*100)</f>
        <v>3.7888410137337206E-3</v>
      </c>
      <c r="G97" s="28">
        <f>IF(OR(1104691.54098="",136.63442="",37.92602=""),"-",(136.63442-37.92602)/1104691.54098*100)</f>
        <v>8.9353811754938634E-3</v>
      </c>
    </row>
    <row r="98" spans="1:7" x14ac:dyDescent="0.25">
      <c r="A98" s="27" t="s">
        <v>331</v>
      </c>
      <c r="B98" s="74">
        <v>117.96092</v>
      </c>
      <c r="C98" s="28" t="s">
        <v>348</v>
      </c>
      <c r="D98" s="28">
        <f>IF(1.47513="","-",1.47513/1104691.54098*100)</f>
        <v>1.335332031864184E-4</v>
      </c>
      <c r="E98" s="28">
        <f>IF(117.96092="","-",117.96092/1875200.41724*100)</f>
        <v>6.2905766719922084E-3</v>
      </c>
      <c r="F98" s="28">
        <f>IF(OR(980597.75708="",29.66959="",1.47513=""),"-",(1.47513-29.66959)/980597.75708*100)</f>
        <v>-2.8752319487204184E-3</v>
      </c>
      <c r="G98" s="28">
        <f>IF(OR(1104691.54098="",117.96092="",1.47513=""),"-",(117.96092-1.47513)/1104691.54098*100)</f>
        <v>1.0544643973345038E-2</v>
      </c>
    </row>
    <row r="99" spans="1:7" x14ac:dyDescent="0.25">
      <c r="A99" s="27" t="s">
        <v>94</v>
      </c>
      <c r="B99" s="74">
        <v>117.22409</v>
      </c>
      <c r="C99" s="28" t="s">
        <v>318</v>
      </c>
      <c r="D99" s="28">
        <f>IF(29.25017="","-",29.25017/1104691.54098*100)</f>
        <v>2.6478133410935173E-3</v>
      </c>
      <c r="E99" s="28">
        <f>IF(117.22409="","-",117.22409/1875200.41724*100)</f>
        <v>6.2512832720320851E-3</v>
      </c>
      <c r="F99" s="28">
        <f>IF(OR(980597.75708="",44.68877="",29.25017=""),"-",(29.25017-44.68877)/980597.75708*100)</f>
        <v>-1.5744070276045379E-3</v>
      </c>
      <c r="G99" s="28">
        <f>IF(OR(1104691.54098="",117.22409="",29.25017=""),"-",(117.22409-29.25017)/1104691.54098*100)</f>
        <v>7.9636637682548098E-3</v>
      </c>
    </row>
    <row r="100" spans="1:7" x14ac:dyDescent="0.25">
      <c r="A100" s="27" t="s">
        <v>323</v>
      </c>
      <c r="B100" s="74">
        <v>104.93431</v>
      </c>
      <c r="C100" s="28" t="s">
        <v>335</v>
      </c>
      <c r="D100" s="28">
        <f>IF(24.63456="","-",24.63456/1104691.54098*100)</f>
        <v>2.2299944451594205E-3</v>
      </c>
      <c r="E100" s="28">
        <f>IF(104.93431="","-",104.93431/1875200.41724*100)</f>
        <v>5.5958983922607475E-3</v>
      </c>
      <c r="F100" s="28" t="str">
        <f>IF(OR(980597.75708="",""="",24.63456=""),"-",(24.63456-"")/980597.75708*100)</f>
        <v>-</v>
      </c>
      <c r="G100" s="28">
        <f>IF(OR(1104691.54098="",104.93431="",24.63456=""),"-",(104.93431-24.63456)/1104691.54098*100)</f>
        <v>7.2689748242992817E-3</v>
      </c>
    </row>
    <row r="101" spans="1:7" x14ac:dyDescent="0.25">
      <c r="A101" s="27" t="s">
        <v>83</v>
      </c>
      <c r="B101" s="74">
        <v>101.2317</v>
      </c>
      <c r="C101" s="28">
        <f>IF(OR(72.63788="",101.2317=""),"-",101.2317/72.63788*100)</f>
        <v>139.36488785190318</v>
      </c>
      <c r="D101" s="28">
        <f>IF(72.63788="","-",72.63788/1104691.54098*100)</f>
        <v>6.5753993133287761E-3</v>
      </c>
      <c r="E101" s="28">
        <f>IF(101.2317="","-",101.2317/1875200.41724*100)</f>
        <v>5.3984469643515295E-3</v>
      </c>
      <c r="F101" s="28">
        <f>IF(OR(980597.75708="",248.91138="",72.63788=""),"-",(72.63788-248.91138)/980597.75708*100)</f>
        <v>-1.7976127186431969E-2</v>
      </c>
      <c r="G101" s="28">
        <f>IF(OR(1104691.54098="",101.2317="",72.63788=""),"-",(101.2317-72.63788)/1104691.54098*100)</f>
        <v>2.5883985655066844E-3</v>
      </c>
    </row>
    <row r="102" spans="1:7" x14ac:dyDescent="0.25">
      <c r="A102" s="27" t="s">
        <v>341</v>
      </c>
      <c r="B102" s="17">
        <v>72.69</v>
      </c>
      <c r="C102" s="28" t="s">
        <v>198</v>
      </c>
      <c r="D102" s="28">
        <f>IF(39.46925="","-",39.46925/1104691.54098*100)</f>
        <v>3.5728751905700139E-3</v>
      </c>
      <c r="E102" s="28">
        <f>IF(72.69="","-",72.69/1875200.41724*100)</f>
        <v>3.8763856562589846E-3</v>
      </c>
      <c r="F102" s="28" t="str">
        <f>IF(OR(980597.75708="",""="",39.46925=""),"-",(39.46925-"")/980597.75708*100)</f>
        <v>-</v>
      </c>
      <c r="G102" s="28">
        <f>IF(OR(1104691.54098="",72.69="",39.46925=""),"-",(72.69-39.46925)/1104691.54098*100)</f>
        <v>3.0072421818790268E-3</v>
      </c>
    </row>
    <row r="103" spans="1:7" x14ac:dyDescent="0.25">
      <c r="A103" s="27" t="s">
        <v>71</v>
      </c>
      <c r="B103" s="74">
        <v>55.929729999999999</v>
      </c>
      <c r="C103" s="28">
        <f>IF(OR(45.75="",55.92973=""),"-",55.92973/45.75*100)</f>
        <v>122.25077595628416</v>
      </c>
      <c r="D103" s="28">
        <f>IF(45.75="","-",45.75/1104691.54098*100)</f>
        <v>4.1414275662339196E-3</v>
      </c>
      <c r="E103" s="28">
        <f>IF(55.92973="","-",55.92973/1875200.41724*100)</f>
        <v>2.9826001256078941E-3</v>
      </c>
      <c r="F103" s="28">
        <f>IF(OR(980597.75708="",42.02936="",45.75=""),"-",(45.75-42.02936)/980597.75708*100)</f>
        <v>3.7942570979146775E-4</v>
      </c>
      <c r="G103" s="28">
        <f>IF(OR(1104691.54098="",55.92973="",45.75=""),"-",(55.92973-45.75)/1104691.54098*100)</f>
        <v>9.2149976915450094E-4</v>
      </c>
    </row>
    <row r="104" spans="1:7" x14ac:dyDescent="0.25">
      <c r="A104" s="27" t="s">
        <v>97</v>
      </c>
      <c r="B104" s="74">
        <v>52.043199999999999</v>
      </c>
      <c r="C104" s="28">
        <f>IF(OR(275.38569="",52.0432=""),"-",52.0432/275.38569*100)</f>
        <v>18.89829496950259</v>
      </c>
      <c r="D104" s="28">
        <f>IF(275.38569="","-",275.38569/1104691.54098*100)</f>
        <v>2.4928740719395603E-2</v>
      </c>
      <c r="E104" s="28">
        <f>IF(52.0432="","-",52.0432/1875200.41724*100)</f>
        <v>2.7753406794031859E-3</v>
      </c>
      <c r="F104" s="28">
        <f>IF(OR(980597.75708="",68.83726="",275.38569=""),"-",(275.38569-68.83726)/980597.75708*100)</f>
        <v>2.1063522581884628E-2</v>
      </c>
      <c r="G104" s="28">
        <f>IF(OR(1104691.54098="",52.0432="",275.38569=""),"-",(52.0432-275.38569)/1104691.54098*100)</f>
        <v>-2.0217633766061716E-2</v>
      </c>
    </row>
    <row r="105" spans="1:7" x14ac:dyDescent="0.25">
      <c r="A105" s="27" t="s">
        <v>374</v>
      </c>
      <c r="B105" s="74">
        <v>50.638629999999999</v>
      </c>
      <c r="C105" s="28">
        <f>IF(OR(123.32561="",50.63863=""),"-",50.63863/123.32561*100)</f>
        <v>41.060919950041196</v>
      </c>
      <c r="D105" s="28">
        <f>IF(123.32561="","-",123.32561/1104691.54098*100)</f>
        <v>1.1163805046483356E-2</v>
      </c>
      <c r="E105" s="28">
        <f>IF(50.63863="","-",50.63863/1875200.41724*100)</f>
        <v>2.7004382856597319E-3</v>
      </c>
      <c r="F105" s="28">
        <f>IF(OR(980597.75708="",129.00573="",123.32561=""),"-",(123.32561-129.00573)/980597.75708*100)</f>
        <v>-5.7925076403541091E-4</v>
      </c>
      <c r="G105" s="28">
        <f>IF(OR(1104691.54098="",50.63863="",123.32561=""),"-",(50.63863-123.32561)/1104691.54098*100)</f>
        <v>-6.579843992968167E-3</v>
      </c>
    </row>
    <row r="106" spans="1:7" x14ac:dyDescent="0.25">
      <c r="A106" s="76" t="s">
        <v>205</v>
      </c>
      <c r="B106" s="83">
        <v>48.742350000000002</v>
      </c>
      <c r="C106" s="34">
        <f>IF(OR(2085.50385="",48.74235=""),"-",48.74235/2085.50385*100)</f>
        <v>2.3371977951515173</v>
      </c>
      <c r="D106" s="34">
        <f>IF(2085.50385="","-",2085.50385/1104691.54098*100)</f>
        <v>0.1887860794290048</v>
      </c>
      <c r="E106" s="34">
        <f>IF(48.74235="","-",48.74235/1875200.41724*100)</f>
        <v>2.5993141614026019E-3</v>
      </c>
      <c r="F106" s="34">
        <f>IF(OR(980597.75708="",15.83932="",2085.50385=""),"-",(2085.50385-15.83932)/980597.75708*100)</f>
        <v>0.21106151987977176</v>
      </c>
      <c r="G106" s="34">
        <f>IF(OR(1104691.54098="",48.74235="",2085.50385=""),"-",(48.74235-2085.50385)/1104691.54098*100)</f>
        <v>-0.18437377534303712</v>
      </c>
    </row>
    <row r="107" spans="1:7" x14ac:dyDescent="0.25">
      <c r="A107" s="78" t="s">
        <v>342</v>
      </c>
      <c r="B107" s="77">
        <v>44.763089999999998</v>
      </c>
      <c r="C107" s="29">
        <f>IF(OR(79.64748="",44.76309=""),"-",44.76309/79.64748*100)</f>
        <v>56.201514473527595</v>
      </c>
      <c r="D107" s="29">
        <f>IF(79.64748="","-",79.64748/1104691.54098*100)</f>
        <v>7.2099293825806515E-3</v>
      </c>
      <c r="E107" s="29">
        <f>IF(44.76309="","-",44.76309/1875200.41724*100)</f>
        <v>2.3871096437725957E-3</v>
      </c>
      <c r="F107" s="29">
        <f>IF(OR(980597.75708="",199.1423="",79.64748=""),"-",(79.64748-199.1423)/980597.75708*100)</f>
        <v>-1.2185916104461502E-2</v>
      </c>
      <c r="G107" s="29">
        <f>IF(OR(1104691.54098="",44.76309="",79.64748=""),"-",(44.76309-79.64748)/1104691.54098*100)</f>
        <v>-3.157839877098468E-3</v>
      </c>
    </row>
    <row r="108" spans="1:7" x14ac:dyDescent="0.25">
      <c r="A108" s="47" t="s">
        <v>284</v>
      </c>
      <c r="B108" s="90"/>
      <c r="C108" s="90"/>
      <c r="D108" s="90"/>
      <c r="E108" s="90"/>
    </row>
    <row r="109" spans="1:7" x14ac:dyDescent="0.25">
      <c r="A109" s="93" t="s">
        <v>305</v>
      </c>
      <c r="B109" s="93"/>
      <c r="C109" s="93"/>
      <c r="D109" s="93"/>
      <c r="E109" s="93"/>
    </row>
  </sheetData>
  <mergeCells count="10">
    <mergeCell ref="A109:E109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5"/>
  <sheetViews>
    <sheetView zoomScaleNormal="100" workbookViewId="0">
      <selection activeCell="K12" sqref="K12"/>
    </sheetView>
  </sheetViews>
  <sheetFormatPr defaultRowHeight="15.75" x14ac:dyDescent="0.25"/>
  <cols>
    <col min="1" max="1" width="30.5" customWidth="1"/>
    <col min="2" max="2" width="11.75" customWidth="1"/>
    <col min="3" max="3" width="10.25" customWidth="1"/>
    <col min="4" max="5" width="8.875" customWidth="1"/>
    <col min="6" max="6" width="9.625" customWidth="1"/>
    <col min="7" max="7" width="10.125" customWidth="1"/>
  </cols>
  <sheetData>
    <row r="1" spans="1:7" x14ac:dyDescent="0.25">
      <c r="A1" s="107" t="s">
        <v>304</v>
      </c>
      <c r="B1" s="107"/>
      <c r="C1" s="107"/>
      <c r="D1" s="107"/>
      <c r="E1" s="107"/>
      <c r="F1" s="107"/>
      <c r="G1" s="107"/>
    </row>
    <row r="2" spans="1:7" x14ac:dyDescent="0.25">
      <c r="A2" s="2"/>
    </row>
    <row r="3" spans="1:7" ht="55.5" customHeight="1" x14ac:dyDescent="0.25">
      <c r="A3" s="95"/>
      <c r="B3" s="98" t="s">
        <v>365</v>
      </c>
      <c r="C3" s="99"/>
      <c r="D3" s="98" t="s">
        <v>104</v>
      </c>
      <c r="E3" s="99"/>
      <c r="F3" s="100" t="s">
        <v>114</v>
      </c>
      <c r="G3" s="101"/>
    </row>
    <row r="4" spans="1:7" ht="21" customHeight="1" x14ac:dyDescent="0.25">
      <c r="A4" s="96"/>
      <c r="B4" s="102" t="s">
        <v>95</v>
      </c>
      <c r="C4" s="104" t="s">
        <v>366</v>
      </c>
      <c r="D4" s="106" t="s">
        <v>367</v>
      </c>
      <c r="E4" s="106"/>
      <c r="F4" s="106" t="s">
        <v>368</v>
      </c>
      <c r="G4" s="98"/>
    </row>
    <row r="5" spans="1:7" ht="30" customHeight="1" x14ac:dyDescent="0.25">
      <c r="A5" s="97"/>
      <c r="B5" s="103"/>
      <c r="C5" s="105"/>
      <c r="D5" s="60" t="s">
        <v>319</v>
      </c>
      <c r="E5" s="60" t="s">
        <v>320</v>
      </c>
      <c r="F5" s="60" t="s">
        <v>319</v>
      </c>
      <c r="G5" s="61" t="s">
        <v>320</v>
      </c>
    </row>
    <row r="6" spans="1:7" s="3" customFormat="1" ht="15" x14ac:dyDescent="0.25">
      <c r="A6" s="30" t="s">
        <v>117</v>
      </c>
      <c r="B6" s="23">
        <v>3581025.7817600002</v>
      </c>
      <c r="C6" s="24">
        <f>IF(2676462.27457="","-",3581025.78176/2676462.27457*100)</f>
        <v>133.79698327096082</v>
      </c>
      <c r="D6" s="24">
        <v>100</v>
      </c>
      <c r="E6" s="24">
        <v>100</v>
      </c>
      <c r="F6" s="24">
        <f>IF(1980077.64559="","-",(2676462.27457-1980077.64559)/1980077.64559*100)</f>
        <v>35.169561685168127</v>
      </c>
      <c r="G6" s="24">
        <f>IF(2676462.27457="","-",(3581025.78176-2676462.27457)/2676462.27457*100)</f>
        <v>33.796983270960816</v>
      </c>
    </row>
    <row r="7" spans="1:7" s="3" customFormat="1" ht="15" x14ac:dyDescent="0.25">
      <c r="A7" s="31" t="s">
        <v>120</v>
      </c>
      <c r="B7" s="45"/>
      <c r="C7" s="45"/>
      <c r="D7" s="45"/>
      <c r="E7" s="45"/>
      <c r="F7" s="45"/>
      <c r="G7" s="45"/>
    </row>
    <row r="8" spans="1:7" ht="16.5" customHeight="1" x14ac:dyDescent="0.25">
      <c r="A8" s="25" t="s">
        <v>132</v>
      </c>
      <c r="B8" s="16">
        <v>1609319.13488</v>
      </c>
      <c r="C8" s="26">
        <f>IF(1266992.31339="","-",1609319.13488/1266992.31339*100)</f>
        <v>127.01885543204763</v>
      </c>
      <c r="D8" s="26">
        <f>IF(1266992.31339="","-",1266992.31339/2676462.27457*100)</f>
        <v>47.338321388951947</v>
      </c>
      <c r="E8" s="26">
        <f>IF(1609319.13488="","-",1609319.13488/3581025.78176*100)</f>
        <v>44.940171698206896</v>
      </c>
      <c r="F8" s="26">
        <f>IF(1980077.64559="","-",(1266992.31339-926587.86047)/1980077.64559*100)</f>
        <v>17.191469924330686</v>
      </c>
      <c r="G8" s="26">
        <f>IF(2676462.27457="","-",(1609319.13488-1266992.31339)/2676462.27457*100)</f>
        <v>12.790272620039008</v>
      </c>
    </row>
    <row r="9" spans="1:7" x14ac:dyDescent="0.25">
      <c r="A9" s="27" t="s">
        <v>2</v>
      </c>
      <c r="B9" s="17">
        <v>535451.56874999998</v>
      </c>
      <c r="C9" s="28" t="s">
        <v>100</v>
      </c>
      <c r="D9" s="28">
        <f>IF(334215.40048="","-",334215.40048/2676462.27457*100)</f>
        <v>12.48720759696473</v>
      </c>
      <c r="E9" s="28">
        <f>IF(535451.56875="","-",535451.56875/3581025.78176*100)</f>
        <v>14.952463382903561</v>
      </c>
      <c r="F9" s="28">
        <f>IF(OR(1980077.64559="",247500.3249="",334215.40048=""),"-",(334215.40048-247500.3249)/1980077.64559*100)</f>
        <v>4.3793775346704482</v>
      </c>
      <c r="G9" s="28">
        <f>IF(OR(2676462.27457="",535451.56875="",334215.40048=""),"-",(535451.56875-334215.40048)/2676462.27457*100)</f>
        <v>7.518737334055289</v>
      </c>
    </row>
    <row r="10" spans="1:7" s="7" customFormat="1" x14ac:dyDescent="0.25">
      <c r="A10" s="27" t="s">
        <v>4</v>
      </c>
      <c r="B10" s="74">
        <v>239300.10079</v>
      </c>
      <c r="C10" s="28">
        <f>IF(OR(226949.67124="",239300.10079=""),"-",239300.10079/226949.67124*100)</f>
        <v>105.44192440664052</v>
      </c>
      <c r="D10" s="28">
        <f>IF(226949.67124="","-",226949.67124/2676462.27457*100)</f>
        <v>8.4794646050619829</v>
      </c>
      <c r="E10" s="28">
        <f>IF(239300.10079="","-",239300.10079/3581025.78176*100)</f>
        <v>6.682445627978387</v>
      </c>
      <c r="F10" s="28">
        <f>IF(OR(1980077.64559="",162332.04308="",226949.67124=""),"-",(226949.67124-162332.04308)/1980077.64559*100)</f>
        <v>3.2633886001347179</v>
      </c>
      <c r="G10" s="28">
        <f>IF(OR(2676462.27457="",239300.10079="",226949.67124=""),"-",(239300.10079-226949.67124)/2676462.27457*100)</f>
        <v>0.46144605389531296</v>
      </c>
    </row>
    <row r="11" spans="1:7" s="7" customFormat="1" x14ac:dyDescent="0.25">
      <c r="A11" s="27" t="s">
        <v>3</v>
      </c>
      <c r="B11" s="17">
        <v>189808.94889999999</v>
      </c>
      <c r="C11" s="28">
        <f>IF(OR(178261.71393="",189808.9489=""),"-",189808.9489/178261.71393*100)</f>
        <v>106.47768649556144</v>
      </c>
      <c r="D11" s="28">
        <f>IF(178261.71393="","-",178261.71393/2676462.27457*100)</f>
        <v>6.660348461613923</v>
      </c>
      <c r="E11" s="28">
        <f>IF(189808.9489="","-",189808.9489/3581025.78176*100)</f>
        <v>5.3004072147928749</v>
      </c>
      <c r="F11" s="28">
        <f>IF(OR(1980077.64559="",125493.89063="",178261.71393=""),"-",(178261.71393-125493.89063)/1980077.64559*100)</f>
        <v>2.6649370754487194</v>
      </c>
      <c r="G11" s="28">
        <f>IF(OR(2676462.27457="",189808.9489="",178261.71393=""),"-",(189808.9489-178261.71393)/2676462.27457*100)</f>
        <v>0.43143649285529978</v>
      </c>
    </row>
    <row r="12" spans="1:7" s="7" customFormat="1" x14ac:dyDescent="0.25">
      <c r="A12" s="27" t="s">
        <v>5</v>
      </c>
      <c r="B12" s="17">
        <v>116326.13592</v>
      </c>
      <c r="C12" s="28">
        <f>IF(OR(103738.8945="",116326.13592=""),"-",116326.13592/103738.8945*100)</f>
        <v>112.13357967681061</v>
      </c>
      <c r="D12" s="28">
        <f>IF(103738.8945="","-",103738.8945/2676462.27457*100)</f>
        <v>3.8759707351625825</v>
      </c>
      <c r="E12" s="28">
        <f>IF(116326.13592="","-",116326.13592/3581025.78176*100)</f>
        <v>3.2484026368229078</v>
      </c>
      <c r="F12" s="28">
        <f>IF(OR(1980077.64559="",76501.5434="",103738.8945=""),"-",(103738.8945-76501.5434)/1980077.64559*100)</f>
        <v>1.3755698500340443</v>
      </c>
      <c r="G12" s="28">
        <f>IF(OR(2676462.27457="",116326.13592="",103738.8945=""),"-",(116326.13592-103738.8945)/2676462.27457*100)</f>
        <v>0.47029399740081412</v>
      </c>
    </row>
    <row r="13" spans="1:7" s="7" customFormat="1" x14ac:dyDescent="0.25">
      <c r="A13" s="27" t="s">
        <v>307</v>
      </c>
      <c r="B13" s="17">
        <v>90412.099470000001</v>
      </c>
      <c r="C13" s="28">
        <f>IF(OR(74469.83759="",90412.09947=""),"-",90412.09947/74469.83759*100)</f>
        <v>121.40767644448411</v>
      </c>
      <c r="D13" s="28">
        <f>IF(74469.83759="","-",74469.83759/2676462.27457*100)</f>
        <v>2.7823981790277359</v>
      </c>
      <c r="E13" s="28">
        <f>IF(90412.09947="","-",90412.09947/3581025.78176*100)</f>
        <v>2.524754217925913</v>
      </c>
      <c r="F13" s="28">
        <f>IF(OR(1980077.64559="",57994.27069="",74469.83759=""),"-",(74469.83759-57994.27069)/1980077.64559*100)</f>
        <v>0.83206670893407331</v>
      </c>
      <c r="G13" s="28">
        <f>IF(OR(2676462.27457="",90412.09947="",74469.83759=""),"-",(90412.09947-74469.83759)/2676462.27457*100)</f>
        <v>0.59564679956347555</v>
      </c>
    </row>
    <row r="14" spans="1:7" s="7" customFormat="1" x14ac:dyDescent="0.25">
      <c r="A14" s="75" t="s">
        <v>40</v>
      </c>
      <c r="B14" s="74">
        <v>78921.549169999998</v>
      </c>
      <c r="C14" s="28">
        <f>IF(OR(53570.7336="",78921.54917=""),"-",78921.54917/53570.7336*100)</f>
        <v>147.3221362979431</v>
      </c>
      <c r="D14" s="28">
        <f>IF(53570.7336="","-",53570.7336/2676462.27457*100)</f>
        <v>2.0015501099714421</v>
      </c>
      <c r="E14" s="28">
        <f>IF(78921.54917="","-",78921.54917/3581025.78176*100)</f>
        <v>2.2038810659221699</v>
      </c>
      <c r="F14" s="28">
        <f>IF(OR(1980077.64559="",42298.46556="",53570.7336=""),"-",(53570.7336-42298.46556)/1980077.64559*100)</f>
        <v>0.56928414222065649</v>
      </c>
      <c r="G14" s="28">
        <f>IF(OR(2676462.27457="",78921.54917="",53570.7336=""),"-",(78921.54917-53570.7336)/2676462.27457*100)</f>
        <v>0.94717627111231584</v>
      </c>
    </row>
    <row r="15" spans="1:7" s="7" customFormat="1" x14ac:dyDescent="0.25">
      <c r="A15" s="27" t="s">
        <v>321</v>
      </c>
      <c r="B15" s="17">
        <v>52919.557520000002</v>
      </c>
      <c r="C15" s="28">
        <f>IF(OR(46503.23923="",52919.55752=""),"-",52919.55752/46503.23923*100)</f>
        <v>113.79757280619869</v>
      </c>
      <c r="D15" s="28">
        <f>IF(46503.23923="","-",46503.23923/2676462.27457*100)</f>
        <v>1.7374890605350006</v>
      </c>
      <c r="E15" s="28">
        <f>IF(52919.55752="","-",52919.55752/3581025.78176*100)</f>
        <v>1.477776501625496</v>
      </c>
      <c r="F15" s="28">
        <f>IF(OR(1980077.64559="",31546.1199="",46503.23923=""),"-",(46503.23923-31546.1199)/1980077.64559*100)</f>
        <v>0.75538044496953316</v>
      </c>
      <c r="G15" s="28">
        <f>IF(OR(2676462.27457="",52919.55752="",46503.23923=""),"-",(52919.55752-46503.23923)/2676462.27457*100)</f>
        <v>0.23973131812705439</v>
      </c>
    </row>
    <row r="16" spans="1:7" s="7" customFormat="1" x14ac:dyDescent="0.25">
      <c r="A16" s="27" t="s">
        <v>6</v>
      </c>
      <c r="B16" s="17">
        <v>50022.367870000002</v>
      </c>
      <c r="C16" s="28" t="s">
        <v>99</v>
      </c>
      <c r="D16" s="28">
        <f>IF(30084.01167="","-",30084.01167/2676462.27457*100)</f>
        <v>1.1240215098803623</v>
      </c>
      <c r="E16" s="28">
        <f>IF(50022.36787="","-",50022.36787/3581025.78176*100)</f>
        <v>1.396872597924024</v>
      </c>
      <c r="F16" s="28">
        <f>IF(OR(1980077.64559="",21458.62221="",30084.01167=""),"-",(30084.01167-21458.62221)/1980077.64559*100)</f>
        <v>0.43560864793410192</v>
      </c>
      <c r="G16" s="28">
        <f>IF(OR(2676462.27457="",50022.36787="",30084.01167=""),"-",(50022.36787-30084.01167)/2676462.27457*100)</f>
        <v>0.74495188628067976</v>
      </c>
    </row>
    <row r="17" spans="1:7" s="7" customFormat="1" x14ac:dyDescent="0.25">
      <c r="A17" s="27" t="s">
        <v>38</v>
      </c>
      <c r="B17" s="74">
        <v>46630.627439999997</v>
      </c>
      <c r="C17" s="28">
        <f>IF(OR(38615.56078="",46630.62744=""),"-",46630.62744/38615.56078*100)</f>
        <v>120.75605403133549</v>
      </c>
      <c r="D17" s="28">
        <f>IF(38615.56078="","-",38615.56078/2676462.27457*100)</f>
        <v>1.4427836755593342</v>
      </c>
      <c r="E17" s="28">
        <f>IF(46630.62744="","-",46630.62744/3581025.78176*100)</f>
        <v>1.3021583837098767</v>
      </c>
      <c r="F17" s="28">
        <f>IF(OR(1980077.64559="",31225.79153="",38615.56078=""),"-",(38615.56078-31225.79153)/1980077.64559*100)</f>
        <v>0.37320603393803203</v>
      </c>
      <c r="G17" s="28">
        <f>IF(OR(2676462.27457="",46630.62744="",38615.56078=""),"-",(46630.62744-38615.56078)/2676462.27457*100)</f>
        <v>0.29946495925438354</v>
      </c>
    </row>
    <row r="18" spans="1:7" s="7" customFormat="1" x14ac:dyDescent="0.25">
      <c r="A18" s="27" t="s">
        <v>373</v>
      </c>
      <c r="B18" s="17">
        <v>37016.46948</v>
      </c>
      <c r="C18" s="28">
        <f>IF(OR(28671.472="",37016.46948=""),"-",37016.46948/28671.472*100)</f>
        <v>129.10557741855737</v>
      </c>
      <c r="D18" s="28">
        <f>IF(28671.472="","-",28671.472/2676462.27457*100)</f>
        <v>1.0712451384956045</v>
      </c>
      <c r="E18" s="28">
        <f>IF(37016.46948="","-",37016.46948/3581025.78176*100)</f>
        <v>1.0336834118465121</v>
      </c>
      <c r="F18" s="28">
        <f>IF(OR(1980077.64559="",21569.78722="",28671.472=""),"-",(28671.472-21569.78722)/1980077.64559*100)</f>
        <v>0.35865688377507676</v>
      </c>
      <c r="G18" s="28">
        <f>IF(OR(2676462.27457="",37016.46948="",28671.472=""),"-",(37016.46948-28671.472)/2676462.27457*100)</f>
        <v>0.31179208312737022</v>
      </c>
    </row>
    <row r="19" spans="1:7" s="7" customFormat="1" x14ac:dyDescent="0.25">
      <c r="A19" s="27" t="s">
        <v>7</v>
      </c>
      <c r="B19" s="74">
        <v>34940.696609999999</v>
      </c>
      <c r="C19" s="28">
        <f>IF(OR(39000.60102="",34940.69661=""),"-",34940.69661/39000.60102*100)</f>
        <v>89.590149116117374</v>
      </c>
      <c r="D19" s="28">
        <f>IF(39000.60102="","-",39000.60102/2676462.27457*100)</f>
        <v>1.4571698391028445</v>
      </c>
      <c r="E19" s="28">
        <f>IF(34940.69661="","-",34940.69661/3581025.78176*100)</f>
        <v>0.97571753847656928</v>
      </c>
      <c r="F19" s="28">
        <f>IF(OR(1980077.64559="",23105.27501="",39000.60102=""),"-",(39000.60102-23105.27501)/1980077.64559*100)</f>
        <v>0.80276276263215418</v>
      </c>
      <c r="G19" s="28">
        <f>IF(OR(2676462.27457="",34940.69661="",39000.60102=""),"-",(34940.69661-39000.60102)/2676462.27457*100)</f>
        <v>-0.15168920737551836</v>
      </c>
    </row>
    <row r="20" spans="1:7" s="7" customFormat="1" ht="15.75" customHeight="1" x14ac:dyDescent="0.25">
      <c r="A20" s="27" t="s">
        <v>39</v>
      </c>
      <c r="B20" s="17">
        <v>20786.713029999999</v>
      </c>
      <c r="C20" s="28">
        <f>IF(OR(19203.94431="",20786.71303=""),"-",20786.71303/19203.94431*100)</f>
        <v>108.2418939278834</v>
      </c>
      <c r="D20" s="28">
        <f>IF(19203.94431="","-",19203.94431/2676462.27457*100)</f>
        <v>0.71751223592663194</v>
      </c>
      <c r="E20" s="28">
        <f>IF(20786.71303="","-",20786.71303/3581025.78176*100)</f>
        <v>0.58046811994142522</v>
      </c>
      <c r="F20" s="28">
        <f>IF(OR(1980077.64559="",15271.67034="",19203.94431=""),"-",(19203.94431-15271.67034)/1980077.64559*100)</f>
        <v>0.19859190768391843</v>
      </c>
      <c r="G20" s="28">
        <f>IF(OR(2676462.27457="",20786.71303="",19203.94431=""),"-",(20786.71303-19203.94431)/2676462.27457*100)</f>
        <v>5.9136597404657515E-2</v>
      </c>
    </row>
    <row r="21" spans="1:7" s="7" customFormat="1" x14ac:dyDescent="0.25">
      <c r="A21" s="27" t="s">
        <v>42</v>
      </c>
      <c r="B21" s="17">
        <v>20704.170969999999</v>
      </c>
      <c r="C21" s="28">
        <f>IF(OR(14328.41212="",20704.17097=""),"-",20704.17097/14328.41212*100)</f>
        <v>144.49731621761865</v>
      </c>
      <c r="D21" s="28">
        <f>IF(14328.41212="","-",14328.41212/2676462.27457*100)</f>
        <v>0.53534892892529196</v>
      </c>
      <c r="E21" s="28">
        <f>IF(20704.17097="","-",20704.17097/3581025.78176*100)</f>
        <v>0.57816313625712934</v>
      </c>
      <c r="F21" s="28">
        <f>IF(OR(1980077.64559="",9225.2112="",14328.41212=""),"-",(14328.41212-9225.2112)/1980077.64559*100)</f>
        <v>0.25772731343974192</v>
      </c>
      <c r="G21" s="28">
        <f>IF(OR(2676462.27457="",20704.17097="",14328.41212=""),"-",(20704.17097-14328.41212)/2676462.27457*100)</f>
        <v>0.23821590577152171</v>
      </c>
    </row>
    <row r="22" spans="1:7" s="7" customFormat="1" x14ac:dyDescent="0.25">
      <c r="A22" s="27" t="s">
        <v>8</v>
      </c>
      <c r="B22" s="74">
        <v>15612.528120000001</v>
      </c>
      <c r="C22" s="28">
        <f>IF(OR(11545.42157="",15612.52812=""),"-",15612.52812/11545.42157*100)</f>
        <v>135.22700773931115</v>
      </c>
      <c r="D22" s="28">
        <f>IF(11545.42157="","-",11545.42157/2676462.27457*100)</f>
        <v>0.43136873923825009</v>
      </c>
      <c r="E22" s="28">
        <f>IF(15612.52812="","-",15612.52812/3581025.78176*100)</f>
        <v>0.43597921577450266</v>
      </c>
      <c r="F22" s="28">
        <f>IF(OR(1980077.64559="",9878.45228="",11545.42157=""),"-",(11545.42157-9878.45228)/1980077.64559*100)</f>
        <v>8.4187066790671089E-2</v>
      </c>
      <c r="G22" s="28">
        <f>IF(OR(2676462.27457="",15612.52812="",11545.42157=""),"-",(15612.52812-11545.42157)/2676462.27457*100)</f>
        <v>0.15195829915642733</v>
      </c>
    </row>
    <row r="23" spans="1:7" s="7" customFormat="1" x14ac:dyDescent="0.25">
      <c r="A23" s="27" t="s">
        <v>48</v>
      </c>
      <c r="B23" s="17">
        <v>14011.57624</v>
      </c>
      <c r="C23" s="28">
        <f>IF(OR(10780.86677="",14011.57624=""),"-",14011.57624/10780.86677*100)</f>
        <v>129.96706608962202</v>
      </c>
      <c r="D23" s="28">
        <f>IF(10780.86677="","-",10780.86677/2676462.27457*100)</f>
        <v>0.40280286677054145</v>
      </c>
      <c r="E23" s="28">
        <f>IF(14011.57624="","-",14011.57624/3581025.78176*100)</f>
        <v>0.39127269933012321</v>
      </c>
      <c r="F23" s="28">
        <f>IF(OR(1980077.64559="",7474.79991="",10780.86677=""),"-",(10780.86677-7474.79991)/1980077.64559*100)</f>
        <v>0.16696652615432656</v>
      </c>
      <c r="G23" s="28">
        <f>IF(OR(2676462.27457="",14011.57624="",10780.86677=""),"-",(14011.57624-10780.86677)/2676462.27457*100)</f>
        <v>0.12070820129602033</v>
      </c>
    </row>
    <row r="24" spans="1:7" s="7" customFormat="1" x14ac:dyDescent="0.25">
      <c r="A24" s="27" t="s">
        <v>49</v>
      </c>
      <c r="B24" s="17">
        <v>12099.91332</v>
      </c>
      <c r="C24" s="28">
        <f>IF(OR(11691.51655="",12099.91332=""),"-",12099.91332/11691.51655*100)</f>
        <v>103.49310346740262</v>
      </c>
      <c r="D24" s="28">
        <f>IF(11691.51655="","-",11691.51655/2676462.27457*100)</f>
        <v>0.43682724995174305</v>
      </c>
      <c r="E24" s="28">
        <f>IF(12099.91332="","-",12099.91332/3581025.78176*100)</f>
        <v>0.33788958967095578</v>
      </c>
      <c r="F24" s="28">
        <f>IF(OR(1980077.64559="",7127.8818="",11691.51655=""),"-",(11691.51655-7127.8818)/1980077.64559*100)</f>
        <v>0.23047756537043185</v>
      </c>
      <c r="G24" s="28">
        <f>IF(OR(2676462.27457="",12099.91332="",11691.51655=""),"-",(12099.91332-11691.51655)/2676462.27457*100)</f>
        <v>1.5258827814623779E-2</v>
      </c>
    </row>
    <row r="25" spans="1:7" s="7" customFormat="1" x14ac:dyDescent="0.25">
      <c r="A25" s="27" t="s">
        <v>50</v>
      </c>
      <c r="B25" s="17">
        <v>11844.19778</v>
      </c>
      <c r="C25" s="28">
        <f>IF(OR(12582.78871="",11844.19778=""),"-",11844.19778/12582.78871*100)</f>
        <v>94.1301491503786</v>
      </c>
      <c r="D25" s="28">
        <f>IF(12582.78871="","-",12582.78871/2676462.27457*100)</f>
        <v>0.47012763189503765</v>
      </c>
      <c r="E25" s="28">
        <f>IF(11844.19778="","-",11844.19778/3581025.78176*100)</f>
        <v>0.33074874356751555</v>
      </c>
      <c r="F25" s="28">
        <f>IF(OR(1980077.64559="",9838.54073="",12582.78871=""),"-",(12582.78871-9838.54073)/1980077.64559*100)</f>
        <v>0.13859294791353002</v>
      </c>
      <c r="G25" s="28">
        <f>IF(OR(2676462.27457="",11844.19778="",12582.78871=""),"-",(11844.19778-12582.78871)/2676462.27457*100)</f>
        <v>-2.7595790795095824E-2</v>
      </c>
    </row>
    <row r="26" spans="1:7" s="7" customFormat="1" x14ac:dyDescent="0.25">
      <c r="A26" s="27" t="s">
        <v>46</v>
      </c>
      <c r="B26" s="17">
        <v>8948.1911199999995</v>
      </c>
      <c r="C26" s="28">
        <f>IF(OR(6817.33967="",8948.19112=""),"-",8948.19112/6817.33967*100)</f>
        <v>131.25634856330987</v>
      </c>
      <c r="D26" s="28">
        <f>IF(6817.33967="","-",6817.33967/2676462.27457*100)</f>
        <v>0.25471458106373923</v>
      </c>
      <c r="E26" s="28">
        <f>IF(8948.19112="","-",8948.19112/3581025.78176*100)</f>
        <v>0.24987787481390733</v>
      </c>
      <c r="F26" s="28">
        <f>IF(OR(1980077.64559="",5254.32328="",6817.33967=""),"-",(6817.33967-5254.32328)/1980077.64559*100)</f>
        <v>7.8937126202153124E-2</v>
      </c>
      <c r="G26" s="28">
        <f>IF(OR(2676462.27457="",8948.19112="",6817.33967=""),"-",(8948.19112-6817.33967)/2676462.27457*100)</f>
        <v>7.9614477298856817E-2</v>
      </c>
    </row>
    <row r="27" spans="1:7" s="7" customFormat="1" x14ac:dyDescent="0.25">
      <c r="A27" s="27" t="s">
        <v>47</v>
      </c>
      <c r="B27" s="17">
        <v>7690.3684400000002</v>
      </c>
      <c r="C27" s="28">
        <f>IF(OR(5120.02657="",7690.36844=""),"-",7690.36844/5120.02657*100)</f>
        <v>150.20172912891741</v>
      </c>
      <c r="D27" s="28">
        <f>IF(5120.02657="","-",5120.02657/2676462.27457*100)</f>
        <v>0.19129829023361009</v>
      </c>
      <c r="E27" s="28">
        <f>IF(7690.36844="","-",7690.36844/3581025.78176*100)</f>
        <v>0.21475322739006761</v>
      </c>
      <c r="F27" s="28">
        <f>IF(OR(1980077.64559="",4059.90268="",5120.02657=""),"-",(5120.02657-4059.90268)/1980077.64559*100)</f>
        <v>5.3539511057108913E-2</v>
      </c>
      <c r="G27" s="28">
        <f>IF(OR(2676462.27457="",7690.36844="",5120.02657=""),"-",(7690.36844-5120.02657)/2676462.27457*100)</f>
        <v>9.6035049491327171E-2</v>
      </c>
    </row>
    <row r="28" spans="1:7" s="7" customFormat="1" x14ac:dyDescent="0.25">
      <c r="A28" s="27" t="s">
        <v>43</v>
      </c>
      <c r="B28" s="17">
        <v>7620.2723900000001</v>
      </c>
      <c r="C28" s="28">
        <f>IF(OR(6446.26514="",7620.27239=""),"-",7620.27239/6446.26514*100)</f>
        <v>118.21220853475474</v>
      </c>
      <c r="D28" s="28">
        <f>IF(6446.26514="","-",6446.26514/2676462.27457*100)</f>
        <v>0.24085021489927994</v>
      </c>
      <c r="E28" s="28">
        <f>IF(7620.27239="","-",7620.27239/3581025.78176*100)</f>
        <v>0.21279579803122206</v>
      </c>
      <c r="F28" s="28">
        <f>IF(OR(1980077.64559="",4264.69189="",6446.26514=""),"-",(6446.26514-4264.69189)/1980077.64559*100)</f>
        <v>0.11017614662024837</v>
      </c>
      <c r="G28" s="28">
        <f>IF(OR(2676462.27457="",7620.27239="",6446.26514=""),"-",(7620.27239-6446.26514)/2676462.27457*100)</f>
        <v>4.3864143393861792E-2</v>
      </c>
    </row>
    <row r="29" spans="1:7" s="7" customFormat="1" x14ac:dyDescent="0.25">
      <c r="A29" s="27" t="s">
        <v>41</v>
      </c>
      <c r="B29" s="17">
        <v>7109.5098600000001</v>
      </c>
      <c r="C29" s="28" t="s">
        <v>99</v>
      </c>
      <c r="D29" s="28">
        <f>IF(4221.39175="","-",4221.39175/2676462.27457*100)</f>
        <v>0.15772281904022759</v>
      </c>
      <c r="E29" s="28">
        <f>IF(7109.50986="","-",7109.50986/3581025.78176*100)</f>
        <v>0.19853277505602943</v>
      </c>
      <c r="F29" s="28">
        <f>IF(OR(1980077.64559="",5823.09794="",4221.39175=""),"-",(4221.39175-5823.09794)/1980077.64559*100)</f>
        <v>-8.0891079880998418E-2</v>
      </c>
      <c r="G29" s="28">
        <f>IF(OR(2676462.27457="",7109.50986="",4221.39175=""),"-",(7109.50986-4221.39175)/2676462.27457*100)</f>
        <v>0.10790804478886239</v>
      </c>
    </row>
    <row r="30" spans="1:7" s="7" customFormat="1" x14ac:dyDescent="0.25">
      <c r="A30" s="27" t="s">
        <v>51</v>
      </c>
      <c r="B30" s="17">
        <v>4131.8860999999997</v>
      </c>
      <c r="C30" s="28">
        <f>IF(OR(2893.5479="",4131.8861=""),"-",4131.8861/2893.5479*100)</f>
        <v>142.7965336257264</v>
      </c>
      <c r="D30" s="28">
        <f>IF(2893.5479="","-",2893.5479/2676462.27457*100)</f>
        <v>0.1081109166937493</v>
      </c>
      <c r="E30" s="28">
        <f>IF(4131.8861="","-",4131.8861/3581025.78176*100)</f>
        <v>0.11538275208868402</v>
      </c>
      <c r="F30" s="28">
        <f>IF(OR(1980077.64559="",3463.71223="",2893.5479=""),"-",(2893.5479-3463.71223)/1980077.64559*100)</f>
        <v>-2.8795049086578078E-2</v>
      </c>
      <c r="G30" s="28">
        <f>IF(OR(2676462.27457="",4131.8861="",2893.5479=""),"-",(4131.8861-2893.5479)/2676462.27457*100)</f>
        <v>4.6267724815921459E-2</v>
      </c>
    </row>
    <row r="31" spans="1:7" s="7" customFormat="1" x14ac:dyDescent="0.25">
      <c r="A31" s="27" t="s">
        <v>308</v>
      </c>
      <c r="B31" s="17">
        <v>3593.21054</v>
      </c>
      <c r="C31" s="28">
        <f>IF(OR(3177.74="",3593.21054=""),"-",3593.21054/3177.74*100)</f>
        <v>113.07440319220578</v>
      </c>
      <c r="D31" s="28">
        <f>IF(3177.74="","-",3177.74/2676462.27457*100)</f>
        <v>0.11872911604967551</v>
      </c>
      <c r="E31" s="28">
        <f>IF(3593.21054="","-",3593.21054/3581025.78176*100)</f>
        <v>0.10034025888062753</v>
      </c>
      <c r="F31" s="28">
        <f>IF(OR(1980077.64559="",1794.10832="",3177.74=""),"-",(3177.74-1794.10832)/1980077.64559*100)</f>
        <v>6.9877647630718104E-2</v>
      </c>
      <c r="G31" s="28">
        <f>IF(OR(2676462.27457="",3593.21054="",3177.74=""),"-",(3593.21054-3177.74)/2676462.27457*100)</f>
        <v>1.5523123338876491E-2</v>
      </c>
    </row>
    <row r="32" spans="1:7" s="7" customFormat="1" x14ac:dyDescent="0.25">
      <c r="A32" s="27" t="s">
        <v>44</v>
      </c>
      <c r="B32" s="17">
        <v>1774.3283200000001</v>
      </c>
      <c r="C32" s="28">
        <f>IF(OR(2476.05094="",1774.32832=""),"-",1774.32832/2476.05094*100)</f>
        <v>71.659604870649389</v>
      </c>
      <c r="D32" s="28">
        <f>IF(2476.05094="","-",2476.05094/2676462.27457*100)</f>
        <v>9.2512080724089493E-2</v>
      </c>
      <c r="E32" s="28">
        <f>IF(1774.32832="","-",1774.32832/3581025.78176*100)</f>
        <v>4.954804651330811E-2</v>
      </c>
      <c r="F32" s="28">
        <f>IF(OR(1980077.64559="",1388.57767="",2476.05094=""),"-",(2476.05094-1388.57767)/1980077.64559*100)</f>
        <v>5.4920738710525052E-2</v>
      </c>
      <c r="G32" s="28">
        <f>IF(OR(2676462.27457="",1774.32832="",2476.05094=""),"-",(1774.32832-2476.05094)/2676462.27457*100)</f>
        <v>-2.6218289219590761E-2</v>
      </c>
    </row>
    <row r="33" spans="1:7" s="7" customFormat="1" x14ac:dyDescent="0.25">
      <c r="A33" s="27" t="s">
        <v>52</v>
      </c>
      <c r="B33" s="17">
        <v>1178.50234</v>
      </c>
      <c r="C33" s="28">
        <f>IF(OR(1208.58816="",1178.50234=""),"-",1178.50234/1208.58816*100)</f>
        <v>97.510664013124199</v>
      </c>
      <c r="D33" s="28">
        <f>IF(1208.58816="","-",1208.58816/2676462.27457*100)</f>
        <v>4.5156181407196246E-2</v>
      </c>
      <c r="E33" s="28">
        <f>IF(1178.50234="","-",1178.50234/3581025.78176*100)</f>
        <v>3.2909630140132373E-2</v>
      </c>
      <c r="F33" s="28">
        <f>IF(OR(1980077.64559="",449.88361="",1208.58816=""),"-",(1208.58816-449.88361)/1980077.64559*100)</f>
        <v>3.8316909020703088E-2</v>
      </c>
      <c r="G33" s="28">
        <f>IF(OR(2676462.27457="",1178.50234="",1208.58816=""),"-",(1178.50234-1208.58816)/2676462.27457*100)</f>
        <v>-1.1240890740682528E-3</v>
      </c>
    </row>
    <row r="34" spans="1:7" s="7" customFormat="1" x14ac:dyDescent="0.25">
      <c r="A34" s="27" t="s">
        <v>45</v>
      </c>
      <c r="B34" s="17">
        <v>360.79230000000001</v>
      </c>
      <c r="C34" s="28">
        <f>IF(OR(337.56725="",360.7923=""),"-",360.7923/337.56725*100)</f>
        <v>106.88012536761194</v>
      </c>
      <c r="D34" s="28">
        <f>IF(337.56725="","-",337.56725/2676462.27457*100)</f>
        <v>1.2612441924078063E-2</v>
      </c>
      <c r="E34" s="28">
        <f>IF(360.7923="","-",360.7923/3581025.78176*100)</f>
        <v>1.0075110373058471E-2</v>
      </c>
      <c r="F34" s="28">
        <f>IF(OR(1980077.64559="",222.59382="",337.56725=""),"-",(337.56725-222.59382)/1980077.64559*100)</f>
        <v>5.8065111868752795E-3</v>
      </c>
      <c r="G34" s="28">
        <f>IF(OR(2676462.27457="",360.7923="",337.56725=""),"-",(360.7923-337.56725)/2676462.27457*100)</f>
        <v>8.6775181629381807E-4</v>
      </c>
    </row>
    <row r="35" spans="1:7" s="7" customFormat="1" x14ac:dyDescent="0.25">
      <c r="A35" s="27" t="s">
        <v>349</v>
      </c>
      <c r="B35" s="17">
        <v>75.584540000000004</v>
      </c>
      <c r="C35" s="28" t="s">
        <v>334</v>
      </c>
      <c r="D35" s="28">
        <f>IF(16.82952="","-",16.82952/2676462.27457*100)</f>
        <v>6.2879720592003586E-4</v>
      </c>
      <c r="E35" s="28">
        <f>IF(75.58454="","-",75.58454/3581025.78176*100)</f>
        <v>2.1106952199280667E-3</v>
      </c>
      <c r="F35" s="28" t="str">
        <f>IF(OR(1980077.64559="",""="",16.82952=""),"-",(16.82952-"")/1980077.64559*100)</f>
        <v>-</v>
      </c>
      <c r="G35" s="28">
        <f>IF(OR(2676462.27457="",75.58454="",16.82952=""),"-",(75.58454-16.82952)/2676462.27457*100)</f>
        <v>2.1952493243880887E-3</v>
      </c>
    </row>
    <row r="36" spans="1:7" s="7" customFormat="1" x14ac:dyDescent="0.25">
      <c r="A36" s="27" t="s">
        <v>53</v>
      </c>
      <c r="B36" s="17">
        <v>27.26755</v>
      </c>
      <c r="C36" s="28">
        <f>IF(OR(62.88042="",27.26755=""),"-",27.26755/62.88042*100)</f>
        <v>43.364134654316878</v>
      </c>
      <c r="D36" s="28">
        <f>IF(62.88042="","-",62.88042/2676462.27457*100)</f>
        <v>2.3493856273428091E-3</v>
      </c>
      <c r="E36" s="28">
        <f>IF(27.26755="","-",27.26755/3581025.78176*100)</f>
        <v>7.6144522999213268E-4</v>
      </c>
      <c r="F36" s="28">
        <f>IF(OR(1980077.64559="",24.27864="",62.88042=""),"-",(62.88042-24.27864)/1980077.64559*100)</f>
        <v>1.9495083986213026E-3</v>
      </c>
      <c r="G36" s="28">
        <f>IF(OR(2676462.27457="",27.26755="",62.88042=""),"-",(27.26755-62.88042)/2676462.27457*100)</f>
        <v>-1.3305948803527059E-3</v>
      </c>
    </row>
    <row r="37" spans="1:7" s="7" customFormat="1" x14ac:dyDescent="0.25">
      <c r="A37" s="25" t="s">
        <v>199</v>
      </c>
      <c r="B37" s="16">
        <v>1002834.65651</v>
      </c>
      <c r="C37" s="26" t="s">
        <v>100</v>
      </c>
      <c r="D37" s="26">
        <f>IF(612204.20412="","-",612204.20412/2676462.27457*100)</f>
        <v>22.873634720607324</v>
      </c>
      <c r="E37" s="26">
        <f>IF(1002834.65651="","-",1002834.65651/3581025.78176*100)</f>
        <v>28.004117189492213</v>
      </c>
      <c r="F37" s="26">
        <f>IF(1980077.64559="","-",(612204.20412-489776.31725)/1980077.64559*100)</f>
        <v>6.1829841442162419</v>
      </c>
      <c r="G37" s="26">
        <f>IF(2676462.27457="","-",(1002834.65651-612204.20412)/2676462.27457*100)</f>
        <v>14.595029270597831</v>
      </c>
    </row>
    <row r="38" spans="1:7" s="7" customFormat="1" x14ac:dyDescent="0.25">
      <c r="A38" s="27" t="s">
        <v>309</v>
      </c>
      <c r="B38" s="17">
        <v>612623.93801000004</v>
      </c>
      <c r="C38" s="28" t="s">
        <v>101</v>
      </c>
      <c r="D38" s="28">
        <f>IF(317211.62606="","-",317211.62606/2676462.27457*100)</f>
        <v>11.851899766118063</v>
      </c>
      <c r="E38" s="28">
        <f>IF(612623.93801="","-",612623.93801/3581025.78176*100)</f>
        <v>17.107498670643693</v>
      </c>
      <c r="F38" s="28">
        <f>IF(OR(1980077.64559="",255592.76009="",317211.62606=""),"-",(317211.62606-255592.76009)/1980077.64559*100)</f>
        <v>3.1119419032499365</v>
      </c>
      <c r="G38" s="28">
        <f>IF(OR(2676462.27457="",612623.93801="",317211.62606=""),"-",(612623.93801-317211.62606)/2676462.27457*100)</f>
        <v>11.037417368322929</v>
      </c>
    </row>
    <row r="39" spans="1:7" s="7" customFormat="1" x14ac:dyDescent="0.25">
      <c r="A39" s="27" t="s">
        <v>10</v>
      </c>
      <c r="B39" s="17">
        <v>311121.98771999998</v>
      </c>
      <c r="C39" s="28">
        <f>IF(OR(235097.97632="",311121.98772=""),"-",311121.98772/235097.97632*100)</f>
        <v>132.33716112320809</v>
      </c>
      <c r="D39" s="28">
        <f>IF(235097.97632="","-",235097.97632/2676462.27457*100)</f>
        <v>8.7839077185487628</v>
      </c>
      <c r="E39" s="28">
        <f>IF(311121.98772="","-",311121.98772/3581025.78176*100)</f>
        <v>8.6880689132344084</v>
      </c>
      <c r="F39" s="28">
        <f>IF(OR(1980077.64559="",183978.03421="",235097.97632=""),"-",(235097.97632-183978.03421)/1980077.64559*100)</f>
        <v>2.5817140163090855</v>
      </c>
      <c r="G39" s="28">
        <f>IF(OR(2676462.27457="",311121.98772="",235097.97632=""),"-",(311121.98772-235097.97632)/2676462.27457*100)</f>
        <v>2.8404663918610247</v>
      </c>
    </row>
    <row r="40" spans="1:7" s="7" customFormat="1" x14ac:dyDescent="0.25">
      <c r="A40" s="27" t="s">
        <v>9</v>
      </c>
      <c r="B40" s="17">
        <v>47109.25318</v>
      </c>
      <c r="C40" s="28">
        <f>IF(OR(47482.49501="",47109.2531799999=""),"-",47109.2531799999/47482.49501*100)</f>
        <v>99.213938041963686</v>
      </c>
      <c r="D40" s="28">
        <f>IF(47482.49501="","-",47482.49501/2676462.27457*100)</f>
        <v>1.7740767527772656</v>
      </c>
      <c r="E40" s="28">
        <f>IF(47109.2531799999="","-",47109.2531799999/3581025.78176*100)</f>
        <v>1.3155239881251755</v>
      </c>
      <c r="F40" s="28">
        <f>IF(OR(1980077.64559="",37387.32916="",47482.49501=""),"-",(47482.49501-37387.32916)/1980077.64559*100)</f>
        <v>0.50983686788666105</v>
      </c>
      <c r="G40" s="28">
        <f>IF(OR(2676462.27457="",47109.2531799999="",47482.49501=""),"-",(47109.2531799999-47482.49501)/2676462.27457*100)</f>
        <v>-1.3945342459948024E-2</v>
      </c>
    </row>
    <row r="41" spans="1:7" s="7" customFormat="1" x14ac:dyDescent="0.25">
      <c r="A41" s="27" t="s">
        <v>13</v>
      </c>
      <c r="B41" s="17">
        <v>8424.6149399999995</v>
      </c>
      <c r="C41" s="28" t="s">
        <v>99</v>
      </c>
      <c r="D41" s="28">
        <f>IF(4851.46448="","-",4851.46448/2676462.27457*100)</f>
        <v>0.18126407108725026</v>
      </c>
      <c r="E41" s="28">
        <f>IF(8424.61493999999="","-",8424.61493999999/3581025.78176*100)</f>
        <v>0.23525703118114569</v>
      </c>
      <c r="F41" s="28">
        <f>IF(OR(1980077.64559="",2907.38094="",4851.46448=""),"-",(4851.46448-2907.38094)/1980077.64559*100)</f>
        <v>9.8182187164722268E-2</v>
      </c>
      <c r="G41" s="28">
        <f>IF(OR(2676462.27457="",8424.61493999999="",4851.46448=""),"-",(8424.61493999999-4851.46448)/2676462.27457*100)</f>
        <v>0.13350273956594635</v>
      </c>
    </row>
    <row r="42" spans="1:7" s="7" customFormat="1" x14ac:dyDescent="0.25">
      <c r="A42" s="27" t="s">
        <v>12</v>
      </c>
      <c r="B42" s="17">
        <v>7780.5017699999999</v>
      </c>
      <c r="C42" s="28" t="s">
        <v>389</v>
      </c>
      <c r="D42" s="28">
        <f>IF(703.62481="","-",703.62481/2676462.27457*100)</f>
        <v>2.6289360275516843E-2</v>
      </c>
      <c r="E42" s="28">
        <f>IF(7780.50177="","-",7780.50177/3581025.78176*100)</f>
        <v>0.21727019698182803</v>
      </c>
      <c r="F42" s="28">
        <f>IF(OR(1980077.64559="",3811.42653="",703.62481=""),"-",(703.62481-3811.42653)/1980077.64559*100)</f>
        <v>-0.1569535279044057</v>
      </c>
      <c r="G42" s="28">
        <f>IF(OR(2676462.27457="",7780.50177="",703.62481=""),"-",(7780.50177-703.62481)/2676462.27457*100)</f>
        <v>0.26441160883304321</v>
      </c>
    </row>
    <row r="43" spans="1:7" s="7" customFormat="1" x14ac:dyDescent="0.25">
      <c r="A43" s="27" t="s">
        <v>11</v>
      </c>
      <c r="B43" s="17">
        <v>7452.0572199999997</v>
      </c>
      <c r="C43" s="28">
        <f>IF(OR(5729.55539="",7452.05722=""),"-",7452.05722/5729.55539*100)</f>
        <v>130.06344668569474</v>
      </c>
      <c r="D43" s="28">
        <f>IF(5729.55539="","-",5729.55539/2676462.27457*100)</f>
        <v>0.21407196523704075</v>
      </c>
      <c r="E43" s="28">
        <f>IF(7452.05722="","-",7452.05722/3581025.78176*100)</f>
        <v>0.20809839621812126</v>
      </c>
      <c r="F43" s="28">
        <f>IF(OR(1980077.64559="",4302.81312="",5729.55539=""),"-",(5729.55539-4302.81312)/1980077.64559*100)</f>
        <v>7.205486477652126E-2</v>
      </c>
      <c r="G43" s="28">
        <f>IF(OR(2676462.27457="",7452.05722="",5729.55539=""),"-",(7452.05722-5729.55539)/2676462.27457*100)</f>
        <v>6.4357411138056708E-2</v>
      </c>
    </row>
    <row r="44" spans="1:7" s="7" customFormat="1" x14ac:dyDescent="0.25">
      <c r="A44" s="27" t="s">
        <v>14</v>
      </c>
      <c r="B44" s="17">
        <v>4794.2798300000004</v>
      </c>
      <c r="C44" s="28">
        <f>IF(OR(675.42695="",4794.27983=""),"-",4794.27983/675.42695*100)</f>
        <v>709.81470757126294</v>
      </c>
      <c r="D44" s="28">
        <f>IF(675.42695="","-",675.42695/2676462.27457*100)</f>
        <v>2.5235810585393516E-2</v>
      </c>
      <c r="E44" s="28">
        <f>IF(4794.27983="","-",4794.27983/3581025.78176*100)</f>
        <v>0.13388007018602671</v>
      </c>
      <c r="F44" s="28">
        <f>IF(OR(1980077.64559="",1360.46958="",675.42695=""),"-",(675.42695-1360.46958)/1980077.64559*100)</f>
        <v>-3.4596755916401399E-2</v>
      </c>
      <c r="G44" s="28">
        <f>IF(OR(2676462.27457="",4794.27983="",675.42695=""),"-",(4794.27983-675.42695)/2676462.27457*100)</f>
        <v>0.15389168452455526</v>
      </c>
    </row>
    <row r="45" spans="1:7" s="7" customFormat="1" x14ac:dyDescent="0.25">
      <c r="A45" s="27" t="s">
        <v>322</v>
      </c>
      <c r="B45" s="17">
        <v>2929.0721899999999</v>
      </c>
      <c r="C45" s="28" t="s">
        <v>390</v>
      </c>
      <c r="D45" s="28">
        <f>IF(69.94076="","-",69.94076/2676462.27457*100)</f>
        <v>2.6131793698170721E-3</v>
      </c>
      <c r="E45" s="28">
        <f>IF(2929.07219="","-",2929.07219/3581025.78176*100)</f>
        <v>8.1794222340404968E-2</v>
      </c>
      <c r="F45" s="28">
        <f>IF(OR(1980077.64559="",56.69462="",69.94076=""),"-",(69.94076-56.69462)/1980077.64559*100)</f>
        <v>6.6897073604672049E-4</v>
      </c>
      <c r="G45" s="28">
        <f>IF(OR(2676462.27457="",2929.07219="",69.94076=""),"-",(2929.07219-69.94076)/2676462.27457*100)</f>
        <v>0.10682502261158705</v>
      </c>
    </row>
    <row r="46" spans="1:7" s="7" customFormat="1" x14ac:dyDescent="0.25">
      <c r="A46" s="27" t="s">
        <v>15</v>
      </c>
      <c r="B46" s="17">
        <v>597.33889999999997</v>
      </c>
      <c r="C46" s="28" t="s">
        <v>100</v>
      </c>
      <c r="D46" s="28">
        <f>IF(368.08961="","-",368.08961/2676462.27457*100)</f>
        <v>1.3752841334523843E-2</v>
      </c>
      <c r="E46" s="28">
        <f>IF(597.3389="","-",597.3389/3581025.78176*100)</f>
        <v>1.6680664602934533E-2</v>
      </c>
      <c r="F46" s="28">
        <f>IF(OR(1980077.64559="",379.22349="",368.08961=""),"-",(368.08961-379.22349)/1980077.64559*100)</f>
        <v>-5.6229512134522844E-4</v>
      </c>
      <c r="G46" s="28">
        <f>IF(OR(2676462.27457="",597.3389="",368.08961=""),"-",(597.3389-368.08961)/2676462.27457*100)</f>
        <v>8.5653846937495566E-3</v>
      </c>
    </row>
    <row r="47" spans="1:7" s="7" customFormat="1" x14ac:dyDescent="0.25">
      <c r="A47" s="27" t="s">
        <v>16</v>
      </c>
      <c r="B47" s="17">
        <v>1.6127499999999999</v>
      </c>
      <c r="C47" s="28">
        <f>IF(OR(14.00473="",1.61275=""),"-",1.61275/14.00473*100)</f>
        <v>11.515752178014141</v>
      </c>
      <c r="D47" s="28">
        <f>IF(14.00473="","-",14.00473/2676462.27457*100)</f>
        <v>5.2325527368959446E-4</v>
      </c>
      <c r="E47" s="28">
        <f>IF(1.61275="","-",1.61275/3581025.78176*100)</f>
        <v>4.503597846780557E-5</v>
      </c>
      <c r="F47" s="28">
        <f>IF(OR(1980077.64559="",0.18551="",14.00473=""),"-",(14.00473-0.18551)/1980077.64559*100)</f>
        <v>6.9791303541949295E-4</v>
      </c>
      <c r="G47" s="28">
        <f>IF(OR(2676462.27457="",1.61275="",14.00473=""),"-",(1.61275-14.00473)/2676462.27457*100)</f>
        <v>-4.6299849311311116E-4</v>
      </c>
    </row>
    <row r="48" spans="1:7" s="7" customFormat="1" x14ac:dyDescent="0.25">
      <c r="A48" s="25" t="s">
        <v>133</v>
      </c>
      <c r="B48" s="16">
        <v>968871.99037000001</v>
      </c>
      <c r="C48" s="26">
        <f>IF(797265.75706="","-",968871.99037/797265.75706*100)</f>
        <v>121.52434514970463</v>
      </c>
      <c r="D48" s="26">
        <f>IF(797265.75706="","-",797265.75706/2676462.27457*100)</f>
        <v>29.788043890440736</v>
      </c>
      <c r="E48" s="26">
        <f>IF(968871.99037="","-",968871.99037/3581025.78176*100)</f>
        <v>27.055711112300884</v>
      </c>
      <c r="F48" s="26">
        <f>IF(1980077.64559="","-",(797265.75706-563713.46787)/1980077.64559*100)</f>
        <v>11.795107616621205</v>
      </c>
      <c r="G48" s="26">
        <f>IF(2676462.27457="","-",(968871.99037-797265.75706)/2676462.27457*100)</f>
        <v>6.4116813803239676</v>
      </c>
    </row>
    <row r="49" spans="1:7" s="7" customFormat="1" x14ac:dyDescent="0.25">
      <c r="A49" s="66" t="s">
        <v>57</v>
      </c>
      <c r="B49" s="17">
        <v>332290.14669999998</v>
      </c>
      <c r="C49" s="28">
        <f>IF(OR(314710.73167="",332290.1467=""),"-",332290.1467/314710.73167*100)</f>
        <v>105.58589627265505</v>
      </c>
      <c r="D49" s="28">
        <f>IF(314710.73167="","-",314710.73167/2676462.27457*100)</f>
        <v>11.758459465697547</v>
      </c>
      <c r="E49" s="28">
        <f>IF(332290.1467="","-",332290.1467/3581025.78176*100)</f>
        <v>9.2791888958891047</v>
      </c>
      <c r="F49" s="28">
        <f>IF(OR(1980077.64559="",210771.85422="",314710.73167=""),"-",(314710.73167-210771.85422)/1980077.64559*100)</f>
        <v>5.2492324066933005</v>
      </c>
      <c r="G49" s="28">
        <f>IF(OR(2676462.27457="",332290.1467="",314710.73167=""),"-",(332290.1467-314710.73167)/2676462.27457*100)</f>
        <v>0.65681534901605443</v>
      </c>
    </row>
    <row r="50" spans="1:7" s="7" customFormat="1" x14ac:dyDescent="0.25">
      <c r="A50" s="75" t="s">
        <v>54</v>
      </c>
      <c r="B50" s="74">
        <v>251893.43349</v>
      </c>
      <c r="C50" s="28">
        <f>IF(OR(191436.47854="",251893.43349=""),"-",251893.43349/191436.47854*100)</f>
        <v>131.58068692606446</v>
      </c>
      <c r="D50" s="28">
        <f>IF(191436.47854="","-",191436.47854/2676462.27457*100)</f>
        <v>7.1525939430906487</v>
      </c>
      <c r="E50" s="28">
        <f>IF(251893.43349="","-",251893.43349/3581025.78176*100)</f>
        <v>7.0341139338628151</v>
      </c>
      <c r="F50" s="28">
        <f>IF(OR(1980077.64559="",134889.49293="",191436.47854=""),"-",(191436.47854-134889.49293)/1980077.64559*100)</f>
        <v>2.8557963742452537</v>
      </c>
      <c r="G50" s="28">
        <f>IF(OR(2676462.27457="",251893.43349="",191436.47854=""),"-",(251893.43349-191436.47854)/2676462.27457*100)</f>
        <v>2.2588383002601069</v>
      </c>
    </row>
    <row r="51" spans="1:7" s="7" customFormat="1" x14ac:dyDescent="0.25">
      <c r="A51" s="66" t="s">
        <v>67</v>
      </c>
      <c r="B51" s="17">
        <v>78911.462050000002</v>
      </c>
      <c r="C51" s="28" t="s">
        <v>294</v>
      </c>
      <c r="D51" s="28">
        <f>IF(19010.77279="","-",19010.77279/2676462.27457*100)</f>
        <v>0.71029481605729961</v>
      </c>
      <c r="E51" s="28">
        <f>IF(78911.46205="","-",78911.46205/3581025.78176*100)</f>
        <v>2.2035993835044843</v>
      </c>
      <c r="F51" s="28">
        <f>IF(OR(1980077.64559="",13940.70315="",19010.77279=""),"-",(19010.77279-13940.70315)/1980077.64559*100)</f>
        <v>0.25605408208571945</v>
      </c>
      <c r="G51" s="28">
        <f>IF(OR(2676462.27457="",78911.46205="",19010.77279=""),"-",(78911.46205-19010.77279)/2676462.27457*100)</f>
        <v>2.2380546824491905</v>
      </c>
    </row>
    <row r="52" spans="1:7" s="7" customFormat="1" x14ac:dyDescent="0.25">
      <c r="A52" s="75" t="s">
        <v>17</v>
      </c>
      <c r="B52" s="74">
        <v>60348.027950000003</v>
      </c>
      <c r="C52" s="28">
        <f>IF(OR(39582.40195="",60348.02795=""),"-",60348.02795/39582.40195*100)</f>
        <v>152.46176325082769</v>
      </c>
      <c r="D52" s="28">
        <f>IF(39582.40195="","-",39582.40195/2676462.27457*100)</f>
        <v>1.4789075237893763</v>
      </c>
      <c r="E52" s="28">
        <f>IF(60348.02795="","-",60348.02795/3581025.78176*100)</f>
        <v>1.6852162376876325</v>
      </c>
      <c r="F52" s="28">
        <f>IF(OR(1980077.64559="",27071.76981="",39582.40195=""),"-",(39582.40195-27071.76981)/1980077.64559*100)</f>
        <v>0.63182533108555083</v>
      </c>
      <c r="G52" s="28">
        <f>IF(OR(2676462.27457="",60348.02795="",39582.40195=""),"-",(60348.02795-39582.40195)/2676462.27457*100)</f>
        <v>0.77586096382906078</v>
      </c>
    </row>
    <row r="53" spans="1:7" s="7" customFormat="1" ht="25.5" x14ac:dyDescent="0.25">
      <c r="A53" s="75" t="s">
        <v>311</v>
      </c>
      <c r="B53" s="74">
        <v>29994.00965</v>
      </c>
      <c r="C53" s="28">
        <f>IF(OR(25924.73999="",29994.00965=""),"-",29994.00965/25924.73999*100)</f>
        <v>115.69647241040661</v>
      </c>
      <c r="D53" s="28">
        <f>IF(25924.73999="","-",25924.73999/2676462.27457*100)</f>
        <v>0.9686196676979153</v>
      </c>
      <c r="E53" s="28">
        <f>IF(29994.00965="","-",29994.00965/3581025.78176*100)</f>
        <v>0.83758150535455134</v>
      </c>
      <c r="F53" s="28">
        <f>IF(OR(1980077.64559="",20824.28491="",25924.73999=""),"-",(25924.73999-20824.28491)/1980077.64559*100)</f>
        <v>0.25758864008993076</v>
      </c>
      <c r="G53" s="28">
        <f>IF(OR(2676462.27457="",29994.00965="",25924.73999=""),"-",(29994.00965-25924.73999)/2676462.27457*100)</f>
        <v>0.15203911890197555</v>
      </c>
    </row>
    <row r="54" spans="1:7" s="7" customFormat="1" x14ac:dyDescent="0.25">
      <c r="A54" s="66" t="s">
        <v>34</v>
      </c>
      <c r="B54" s="17">
        <v>26346.10297</v>
      </c>
      <c r="C54" s="28">
        <f>IF(OR(18092.96697="",26346.10297=""),"-",26346.10297/18092.96697*100)</f>
        <v>145.61516092791496</v>
      </c>
      <c r="D54" s="28">
        <f>IF(18092.96697="","-",18092.96697/2676462.27457*100)</f>
        <v>0.67600306351812167</v>
      </c>
      <c r="E54" s="28">
        <f>IF(26346.10297="","-",26346.10297/3581025.78176*100)</f>
        <v>0.7357138589784582</v>
      </c>
      <c r="F54" s="28">
        <f>IF(OR(1980077.64559="",15091.54382="",18092.96697=""),"-",(18092.96697-15091.54382)/1980077.64559*100)</f>
        <v>0.15158108353400818</v>
      </c>
      <c r="G54" s="28">
        <f>IF(OR(2676462.27457="",26346.10297="",18092.96697=""),"-",(26346.10297-18092.96697)/2676462.27457*100)</f>
        <v>0.30835988530142638</v>
      </c>
    </row>
    <row r="55" spans="1:7" s="7" customFormat="1" x14ac:dyDescent="0.25">
      <c r="A55" s="75" t="s">
        <v>73</v>
      </c>
      <c r="B55" s="74">
        <v>22326.772809999999</v>
      </c>
      <c r="C55" s="28">
        <f>IF(OR(25844.58881="",22326.77281=""),"-",22326.77281/25844.58881*100)</f>
        <v>86.388578182219476</v>
      </c>
      <c r="D55" s="28">
        <f>IF(25844.58881="","-",25844.58881/2676462.27457*100)</f>
        <v>0.96562499892333398</v>
      </c>
      <c r="E55" s="28">
        <f>IF(22326.77281="","-",22326.77281/3581025.78176*100)</f>
        <v>0.62347422695814414</v>
      </c>
      <c r="F55" s="28">
        <f>IF(OR(1980077.64559="",19624.56431="",25844.58881=""),"-",(25844.58881-19624.56431)/1980077.64559*100)</f>
        <v>0.31413033291159803</v>
      </c>
      <c r="G55" s="28">
        <f>IF(OR(2676462.27457="",22326.77281="",25844.58881=""),"-",(22326.77281-25844.58881)/2676462.27457*100)</f>
        <v>-0.13143529178139357</v>
      </c>
    </row>
    <row r="56" spans="1:7" s="7" customFormat="1" x14ac:dyDescent="0.25">
      <c r="A56" s="75" t="s">
        <v>64</v>
      </c>
      <c r="B56" s="74">
        <v>16487.32302</v>
      </c>
      <c r="C56" s="28">
        <f>IF(OR(11329.33903="",16487.32302=""),"-",16487.32302/11329.33903*100)</f>
        <v>145.52766914593781</v>
      </c>
      <c r="D56" s="28">
        <f>IF(11329.33903="","-",11329.33903/2676462.27457*100)</f>
        <v>0.42329530057808007</v>
      </c>
      <c r="E56" s="28">
        <f>IF(16487.32302="","-",16487.32302/3581025.78176*100)</f>
        <v>0.46040782794634949</v>
      </c>
      <c r="F56" s="28">
        <f>IF(OR(1980077.64559="",11148.27811="",11329.33903=""),"-",(11329.33903-11148.27811)/1980077.64559*100)</f>
        <v>9.1441323224498855E-3</v>
      </c>
      <c r="G56" s="28">
        <f>IF(OR(2676462.27457="",16487.32302="",11329.33903=""),"-",(16487.32302-11329.33903)/2676462.27457*100)</f>
        <v>0.1927164839574913</v>
      </c>
    </row>
    <row r="57" spans="1:7" s="7" customFormat="1" x14ac:dyDescent="0.25">
      <c r="A57" s="66" t="s">
        <v>310</v>
      </c>
      <c r="B57" s="17">
        <v>15960.47345</v>
      </c>
      <c r="C57" s="28">
        <f>IF(OR(14029.23106="",15960.47345=""),"-",15960.47345/14029.23106*100)</f>
        <v>113.76584633712632</v>
      </c>
      <c r="D57" s="28">
        <f>IF(14029.23106="","-",14029.23106/2676462.27457*100)</f>
        <v>0.52417070075287853</v>
      </c>
      <c r="E57" s="28">
        <f>IF(15960.47345="","-",15960.47345/3581025.78176*100)</f>
        <v>0.44569557503034107</v>
      </c>
      <c r="F57" s="28">
        <f>IF(OR(1980077.64559="",10925.38269="",14029.23106=""),"-",(14029.23106-10925.38269)/1980077.64559*100)</f>
        <v>0.15675387159250273</v>
      </c>
      <c r="G57" s="28">
        <f>IF(OR(2676462.27457="",15960.47345="",14029.23106=""),"-",(15960.47345-14029.23106)/2676462.27457*100)</f>
        <v>7.2156533209879553E-2</v>
      </c>
    </row>
    <row r="58" spans="1:7" s="7" customFormat="1" x14ac:dyDescent="0.25">
      <c r="A58" s="75" t="s">
        <v>69</v>
      </c>
      <c r="B58" s="74">
        <v>14959.213659999999</v>
      </c>
      <c r="C58" s="28">
        <f>IF(OR(20461.65793="",14959.21366=""),"-",14959.21366/20461.65793*100)</f>
        <v>73.108512082334471</v>
      </c>
      <c r="D58" s="28">
        <f>IF(20461.65793="","-",20461.65793/2676462.27457*100)</f>
        <v>0.76450387978240297</v>
      </c>
      <c r="E58" s="28">
        <f>IF(14959.21366="","-",14959.21366/3581025.78176*100)</f>
        <v>0.41773543592439188</v>
      </c>
      <c r="F58" s="28">
        <f>IF(OR(1980077.64559="",10221.32159="",20461.65793=""),"-",(20461.65793-10221.32159)/1980077.64559*100)</f>
        <v>0.51716842330941559</v>
      </c>
      <c r="G58" s="28">
        <f>IF(OR(2676462.27457="",14959.21366="",20461.65793=""),"-",(14959.21366-20461.65793)/2676462.27457*100)</f>
        <v>-0.20558646846176912</v>
      </c>
    </row>
    <row r="59" spans="1:7" s="7" customFormat="1" x14ac:dyDescent="0.25">
      <c r="A59" s="66" t="s">
        <v>76</v>
      </c>
      <c r="B59" s="17">
        <v>9991.0935900000004</v>
      </c>
      <c r="C59" s="28">
        <f>IF(OR(10651.91672="",9991.09359=""),"-",9991.09359/10651.91672*100)</f>
        <v>93.796204501305951</v>
      </c>
      <c r="D59" s="28">
        <f>IF(10651.91672="","-",10651.91672/2676462.27457*100)</f>
        <v>0.39798493784902439</v>
      </c>
      <c r="E59" s="28">
        <f>IF(9991.09359="","-",9991.09359/3581025.78176*100)</f>
        <v>0.27900088407321055</v>
      </c>
      <c r="F59" s="28">
        <f>IF(OR(1980077.64559="",8801.0116="",10651.91672=""),"-",(10651.91672-8801.0116)/1980077.64559*100)</f>
        <v>9.347639089418075E-2</v>
      </c>
      <c r="G59" s="28">
        <f>IF(OR(2676462.27457="",9991.09359="",10651.91672=""),"-",(9991.09359-10651.91672)/2676462.27457*100)</f>
        <v>-2.4690171659758092E-2</v>
      </c>
    </row>
    <row r="60" spans="1:7" s="7" customFormat="1" x14ac:dyDescent="0.25">
      <c r="A60" s="75" t="s">
        <v>60</v>
      </c>
      <c r="B60" s="74">
        <v>9296.4894000000004</v>
      </c>
      <c r="C60" s="28" t="s">
        <v>198</v>
      </c>
      <c r="D60" s="28">
        <f>IF(5082.27486="","-",5082.27486/2676462.27457*100)</f>
        <v>0.18988778240173471</v>
      </c>
      <c r="E60" s="28">
        <f>IF(9296.4894="","-",9296.4894/3581025.78176*100)</f>
        <v>0.25960409018420882</v>
      </c>
      <c r="F60" s="28">
        <f>IF(OR(1980077.64559="",4989.15965="",5082.27486=""),"-",(5082.27486-4989.15965)/1980077.64559*100)</f>
        <v>4.7026039714849407E-3</v>
      </c>
      <c r="G60" s="28">
        <f>IF(OR(2676462.27457="",9296.4894="",5082.27486=""),"-",(9296.4894-5082.27486)/2676462.27457*100)</f>
        <v>0.15745465871276124</v>
      </c>
    </row>
    <row r="61" spans="1:7" s="7" customFormat="1" x14ac:dyDescent="0.25">
      <c r="A61" s="75" t="s">
        <v>324</v>
      </c>
      <c r="B61" s="74">
        <v>8207.7102500000001</v>
      </c>
      <c r="C61" s="28">
        <f>IF(OR(8182.45974="",8207.71025=""),"-",8207.71025/8182.45974*100)</f>
        <v>100.30859314683289</v>
      </c>
      <c r="D61" s="28">
        <f>IF(8182.45974="","-",8182.45974/2676462.27457*100)</f>
        <v>0.30571922562646969</v>
      </c>
      <c r="E61" s="28">
        <f>IF(8207.71025="","-",8207.71025/3581025.78176*100)</f>
        <v>0.22919997649293883</v>
      </c>
      <c r="F61" s="28">
        <f>IF(OR(1980077.64559="",6308.25799="",8182.45974=""),"-",(8182.45974-6308.25799)/1980077.64559*100)</f>
        <v>9.4652942230532972E-2</v>
      </c>
      <c r="G61" s="28">
        <f>IF(OR(2676462.27457="",8207.71025="",8182.45974=""),"-",(8207.71025-8182.45974)/2676462.27457*100)</f>
        <v>9.4342857883384864E-4</v>
      </c>
    </row>
    <row r="62" spans="1:7" s="7" customFormat="1" x14ac:dyDescent="0.25">
      <c r="A62" s="75" t="s">
        <v>71</v>
      </c>
      <c r="B62" s="74">
        <v>7989.5625700000001</v>
      </c>
      <c r="C62" s="28" t="s">
        <v>99</v>
      </c>
      <c r="D62" s="28">
        <f>IF(4648.29788="","-",4648.29788/2676462.27457*100)</f>
        <v>0.17367320750847479</v>
      </c>
      <c r="E62" s="28">
        <f>IF(7989.56257="","-",7989.56257/3581025.78176*100)</f>
        <v>0.22310821135929645</v>
      </c>
      <c r="F62" s="28">
        <f>IF(OR(1980077.64559="",3776.65136="",4648.29788=""),"-",(4648.29788-3776.65136)/1980077.64559*100)</f>
        <v>4.4020825240935306E-2</v>
      </c>
      <c r="G62" s="28">
        <f>IF(OR(2676462.27457="",7989.56257="",4648.29788=""),"-",(7989.56257-4648.29788)/2676462.27457*100)</f>
        <v>0.12483884872006304</v>
      </c>
    </row>
    <row r="63" spans="1:7" s="7" customFormat="1" x14ac:dyDescent="0.25">
      <c r="A63" s="75" t="s">
        <v>75</v>
      </c>
      <c r="B63" s="74">
        <v>6636.3359200000004</v>
      </c>
      <c r="C63" s="28">
        <f>IF(OR(5602.18432="",6636.33592=""),"-",6636.33592/5602.18432*100)</f>
        <v>118.45979248322911</v>
      </c>
      <c r="D63" s="28">
        <f>IF(5602.18432="","-",5602.18432/2676462.27457*100)</f>
        <v>0.20931303135591725</v>
      </c>
      <c r="E63" s="28">
        <f>IF(6636.33592="","-",6636.33592/3581025.78176*100)</f>
        <v>0.18531941193504556</v>
      </c>
      <c r="F63" s="28">
        <f>IF(OR(1980077.64559="",3321.79248="",5602.18432=""),"-",(5602.18432-3321.79248)/1980077.64559*100)</f>
        <v>0.11516678879128076</v>
      </c>
      <c r="G63" s="28">
        <f>IF(OR(2676462.27457="",6636.33592="",5602.18432=""),"-",(6636.33592-5602.18432)/2676462.27457*100)</f>
        <v>3.8638751228658619E-2</v>
      </c>
    </row>
    <row r="64" spans="1:7" s="7" customFormat="1" x14ac:dyDescent="0.25">
      <c r="A64" s="75" t="s">
        <v>79</v>
      </c>
      <c r="B64" s="74">
        <v>5590.49305</v>
      </c>
      <c r="C64" s="28">
        <f>IF(OR(4802.80609="",5590.49305=""),"-",5590.49305/4802.80609*100)</f>
        <v>116.40055720009299</v>
      </c>
      <c r="D64" s="28">
        <f>IF(4802.80609="","-",4802.80609/2676462.27457*100)</f>
        <v>0.179446059659915</v>
      </c>
      <c r="E64" s="28">
        <f>IF(5590.49305="","-",5590.49305/3581025.78176*100)</f>
        <v>0.15611429212476624</v>
      </c>
      <c r="F64" s="28">
        <f>IF(OR(1980077.64559="",3528.17938="",4802.80609=""),"-",(4802.80609-3528.17938)/1980077.64559*100)</f>
        <v>6.4372561997193892E-2</v>
      </c>
      <c r="G64" s="28">
        <f>IF(OR(2676462.27457="",5590.49305="",4802.80609=""),"-",(5590.49305-4802.80609)/2676462.27457*100)</f>
        <v>2.9430153657837365E-2</v>
      </c>
    </row>
    <row r="65" spans="1:7" s="7" customFormat="1" x14ac:dyDescent="0.25">
      <c r="A65" s="66" t="s">
        <v>68</v>
      </c>
      <c r="B65" s="17">
        <v>5394.3692099999998</v>
      </c>
      <c r="C65" s="28">
        <f>IF(OR(5225.33438="",5394.36921=""),"-",5394.36921/5225.33438*100)</f>
        <v>103.23490934182091</v>
      </c>
      <c r="D65" s="28">
        <f>IF(5225.33438="","-",5225.33438/2676462.27457*100)</f>
        <v>0.19523287997173439</v>
      </c>
      <c r="E65" s="28">
        <f>IF(5394.36921="","-",5394.36921/3581025.78176*100)</f>
        <v>0.15063754183162509</v>
      </c>
      <c r="F65" s="28">
        <f>IF(OR(1980077.64559="",3863.77629="",5225.33438=""),"-",(5225.33438-3863.77629)/1980077.64559*100)</f>
        <v>6.8762863569135413E-2</v>
      </c>
      <c r="G65" s="28">
        <f>IF(OR(2676462.27457="",5394.36921="",5225.33438=""),"-",(5394.36921-5225.33438)/2676462.27457*100)</f>
        <v>6.3156066725116346E-3</v>
      </c>
    </row>
    <row r="66" spans="1:7" s="7" customFormat="1" x14ac:dyDescent="0.25">
      <c r="A66" s="66" t="s">
        <v>80</v>
      </c>
      <c r="B66" s="17">
        <v>4573.8367500000004</v>
      </c>
      <c r="C66" s="28">
        <f>IF(OR(3541.19748="",4573.83675=""),"-",4573.83675/3541.19748*100)</f>
        <v>129.16073661048694</v>
      </c>
      <c r="D66" s="28">
        <f>IF(3541.19748="","-",3541.19748/2676462.27457*100)</f>
        <v>0.13230888825320461</v>
      </c>
      <c r="E66" s="28">
        <f>IF(4573.83675="","-",4573.83675/3581025.78176*100)</f>
        <v>0.12772420610029939</v>
      </c>
      <c r="F66" s="28">
        <f>IF(OR(1980077.64559="",3976.54127="",3541.19748=""),"-",(3541.19748-3976.54127)/1980077.64559*100)</f>
        <v>-2.1986197913480394E-2</v>
      </c>
      <c r="G66" s="28">
        <f>IF(OR(2676462.27457="",4573.83675="",3541.19748=""),"-",(4573.83675-3541.19748)/2676462.27457*100)</f>
        <v>3.858224641578048E-2</v>
      </c>
    </row>
    <row r="67" spans="1:7" s="7" customFormat="1" x14ac:dyDescent="0.25">
      <c r="A67" s="75" t="s">
        <v>59</v>
      </c>
      <c r="B67" s="74">
        <v>4482.6437999999998</v>
      </c>
      <c r="C67" s="28">
        <f>IF(OR(6084.88649="",4482.6438=""),"-",4482.6438/6084.88649*100)</f>
        <v>73.668486788814363</v>
      </c>
      <c r="D67" s="28">
        <f>IF(6084.88649="","-",6084.88649/2676462.27457*100)</f>
        <v>0.22734811350844081</v>
      </c>
      <c r="E67" s="28">
        <f>IF(4482.6438="","-",4482.6438/3581025.78176*100)</f>
        <v>0.12517764666293113</v>
      </c>
      <c r="F67" s="28">
        <f>IF(OR(1980077.64559="",4177.968="",6084.88649=""),"-",(6084.88649-4177.968)/1980077.64559*100)</f>
        <v>9.630523804190512E-2</v>
      </c>
      <c r="G67" s="28">
        <f>IF(OR(2676462.27457="",4482.6438="",6084.88649=""),"-",(4482.6438-6084.88649)/2676462.27457*100)</f>
        <v>-5.9864198543856412E-2</v>
      </c>
    </row>
    <row r="68" spans="1:7" s="7" customFormat="1" x14ac:dyDescent="0.25">
      <c r="A68" s="75" t="s">
        <v>81</v>
      </c>
      <c r="B68" s="74">
        <v>4132.4681099999998</v>
      </c>
      <c r="C68" s="28">
        <f>IF(OR(2962.02902="",4132.46811=""),"-",4132.46811/2962.02902*100)</f>
        <v>139.51477457165493</v>
      </c>
      <c r="D68" s="28">
        <f>IF(2962.02902="","-",2962.02902/2676462.27457*100)</f>
        <v>0.11066955989416587</v>
      </c>
      <c r="E68" s="28">
        <f>IF(4132.46811="","-",4132.46811/3581025.78176*100)</f>
        <v>0.11539900469437496</v>
      </c>
      <c r="F68" s="28">
        <f>IF(OR(1980077.64559="",2080.00743="",2962.02902=""),"-",(2962.02902-2080.00743)/1980077.64559*100)</f>
        <v>4.4544798127711067E-2</v>
      </c>
      <c r="G68" s="28">
        <f>IF(OR(2676462.27457="",4132.46811="",2962.02902=""),"-",(4132.46811-2962.02902)/2676462.27457*100)</f>
        <v>4.3730827111622281E-2</v>
      </c>
    </row>
    <row r="69" spans="1:7" s="7" customFormat="1" x14ac:dyDescent="0.25">
      <c r="A69" s="66" t="s">
        <v>63</v>
      </c>
      <c r="B69" s="17">
        <v>3516.2428</v>
      </c>
      <c r="C69" s="28">
        <f>IF(OR(3297.41459="",3516.2428=""),"-",3516.2428/3297.41459*100)</f>
        <v>106.63635718309841</v>
      </c>
      <c r="D69" s="28">
        <f>IF(3297.41459="","-",3297.41459/2676462.27457*100)</f>
        <v>0.12320048824636476</v>
      </c>
      <c r="E69" s="28">
        <f>IF(3516.2428="","-",3516.2428/3581025.78176*100)</f>
        <v>9.8190937856689739E-2</v>
      </c>
      <c r="F69" s="28">
        <f>IF(OR(1980077.64559="",2312.75938="",3297.41459=""),"-",(3297.41459-2312.75938)/1980077.64559*100)</f>
        <v>4.9728111025999895E-2</v>
      </c>
      <c r="G69" s="28">
        <f>IF(OR(2676462.27457="",3516.2428="",3297.41459=""),"-",(3516.2428-3297.41459)/2676462.27457*100)</f>
        <v>8.1760244513499458E-3</v>
      </c>
    </row>
    <row r="70" spans="1:7" s="7" customFormat="1" x14ac:dyDescent="0.25">
      <c r="A70" s="66" t="s">
        <v>66</v>
      </c>
      <c r="B70" s="17">
        <v>3259.3297699999998</v>
      </c>
      <c r="C70" s="28">
        <f>IF(OR(2653.16555="",3259.32977=""),"-",3259.32977/2653.16555*100)</f>
        <v>122.84682989344557</v>
      </c>
      <c r="D70" s="28">
        <f>IF(2653.16555="","-",2653.16555/2676462.27457*100)</f>
        <v>9.9129570224420871E-2</v>
      </c>
      <c r="E70" s="28">
        <f>IF(3259.32977="","-",3259.32977/3581025.78176*100)</f>
        <v>9.1016651893472453E-2</v>
      </c>
      <c r="F70" s="28">
        <f>IF(OR(1980077.64559="",2021.54613="",2653.16555=""),"-",(2653.16555-2021.54613)/1980077.64559*100)</f>
        <v>3.1898719800545886E-2</v>
      </c>
      <c r="G70" s="28">
        <f>IF(OR(2676462.27457="",3259.32977="",2653.16555=""),"-",(3259.32977-2653.16555)/2676462.27457*100)</f>
        <v>2.264796428327711E-2</v>
      </c>
    </row>
    <row r="71" spans="1:7" s="7" customFormat="1" x14ac:dyDescent="0.25">
      <c r="A71" s="66" t="s">
        <v>72</v>
      </c>
      <c r="B71" s="17">
        <v>3245.34429</v>
      </c>
      <c r="C71" s="28" t="s">
        <v>99</v>
      </c>
      <c r="D71" s="28">
        <f>IF(1885.65646="","-",1885.65646/2676462.27457*100)</f>
        <v>7.0453317347914032E-2</v>
      </c>
      <c r="E71" s="28">
        <f>IF(3245.34429="","-",3245.34429/3581025.78176*100)</f>
        <v>9.0626107930587993E-2</v>
      </c>
      <c r="F71" s="28">
        <f>IF(OR(1980077.64559="",2154.29381="",1885.65646=""),"-",(1885.65646-2154.29381)/1980077.64559*100)</f>
        <v>-1.3567010899714229E-2</v>
      </c>
      <c r="G71" s="28">
        <f>IF(OR(2676462.27457="",3245.34429="",1885.65646=""),"-",(3245.34429-1885.65646)/2676462.27457*100)</f>
        <v>5.0801681119097684E-2</v>
      </c>
    </row>
    <row r="72" spans="1:7" s="7" customFormat="1" x14ac:dyDescent="0.25">
      <c r="A72" s="66" t="s">
        <v>61</v>
      </c>
      <c r="B72" s="17">
        <v>3095.79855</v>
      </c>
      <c r="C72" s="28">
        <f>IF(OR(3329.94432="",3095.79855=""),"-",3095.79855/3329.94432*100)</f>
        <v>92.968477923378614</v>
      </c>
      <c r="D72" s="28">
        <f>IF(3329.94432="","-",3329.94432/2676462.27457*100)</f>
        <v>0.12441588852714124</v>
      </c>
      <c r="E72" s="28">
        <f>IF(3095.79855="","-",3095.79855/3581025.78176*100)</f>
        <v>8.6450049194520984E-2</v>
      </c>
      <c r="F72" s="28">
        <f>IF(OR(1980077.64559="",4281.87733="",3329.94432=""),"-",(3329.94432-4281.87733)/1980077.64559*100)</f>
        <v>-4.8075539467865386E-2</v>
      </c>
      <c r="G72" s="28">
        <f>IF(OR(2676462.27457="",3095.79855="",3329.94432=""),"-",(3095.79855-3329.94432)/2676462.27457*100)</f>
        <v>-8.7483306686105978E-3</v>
      </c>
    </row>
    <row r="73" spans="1:7" s="7" customFormat="1" x14ac:dyDescent="0.25">
      <c r="A73" s="75" t="s">
        <v>70</v>
      </c>
      <c r="B73" s="74">
        <v>2774.65418</v>
      </c>
      <c r="C73" s="28" t="s">
        <v>100</v>
      </c>
      <c r="D73" s="28">
        <f>IF(1691.20912="","-",1691.20912/2676462.27457*100)</f>
        <v>6.3188229330514642E-2</v>
      </c>
      <c r="E73" s="28">
        <f>IF(2774.65418="","-",2774.65418/3581025.78176*100)</f>
        <v>7.7482105661811657E-2</v>
      </c>
      <c r="F73" s="28">
        <f>IF(OR(1980077.64559="",805.88681="",1691.20912=""),"-",(1691.20912-805.88681)/1980077.64559*100)</f>
        <v>4.4711494621020385E-2</v>
      </c>
      <c r="G73" s="28">
        <f>IF(OR(2676462.27457="",2774.65418="",1691.20912=""),"-",(2774.65418-1691.20912)/2676462.27457*100)</f>
        <v>4.0480490619807678E-2</v>
      </c>
    </row>
    <row r="74" spans="1:7" s="7" customFormat="1" x14ac:dyDescent="0.25">
      <c r="A74" s="75" t="s">
        <v>122</v>
      </c>
      <c r="B74" s="74">
        <v>2620.9479299999998</v>
      </c>
      <c r="C74" s="28">
        <f>IF(OR(2845.83476="",2620.94793=""),"-",2620.94793/2845.83476*100)</f>
        <v>92.097684898613011</v>
      </c>
      <c r="D74" s="28">
        <f>IF(2845.83476="","-",2845.83476/2676462.27457*100)</f>
        <v>0.10632822240908334</v>
      </c>
      <c r="E74" s="28">
        <f>IF(2620.94793="","-",2620.94793/3581025.78176*100)</f>
        <v>7.3189864852407124E-2</v>
      </c>
      <c r="F74" s="28">
        <f>IF(OR(1980077.64559="",1980.42634="",2845.83476=""),"-",(2845.83476-1980.42634)/1980077.64559*100)</f>
        <v>4.3705782039781378E-2</v>
      </c>
      <c r="G74" s="28">
        <f>IF(OR(2676462.27457="",2620.94793="",2845.83476=""),"-",(2620.94793-2845.83476)/2676462.27457*100)</f>
        <v>-8.4023911764693447E-3</v>
      </c>
    </row>
    <row r="75" spans="1:7" s="7" customFormat="1" x14ac:dyDescent="0.25">
      <c r="A75" s="75" t="s">
        <v>77</v>
      </c>
      <c r="B75" s="74">
        <v>2297.66525</v>
      </c>
      <c r="C75" s="28">
        <f>IF(OR(1637.48536="",2297.66525=""),"-",2297.66525/1637.48536*100)</f>
        <v>140.31668960997612</v>
      </c>
      <c r="D75" s="28">
        <f>IF(1637.48536="","-",1637.48536/2676462.27457*100)</f>
        <v>6.1180961732893398E-2</v>
      </c>
      <c r="E75" s="28">
        <f>IF(2297.66525="","-",2297.66525/3581025.78176*100)</f>
        <v>6.4162209099504028E-2</v>
      </c>
      <c r="F75" s="28">
        <f>IF(OR(1980077.64559="",2169.50827="",1637.48536=""),"-",(1637.48536-2169.50827)/1980077.64559*100)</f>
        <v>-2.6868790281275763E-2</v>
      </c>
      <c r="G75" s="28">
        <f>IF(OR(2676462.27457="",2297.66525="",1637.48536=""),"-",(2297.66525-1637.48536)/2676462.27457*100)</f>
        <v>2.4666138442248901E-2</v>
      </c>
    </row>
    <row r="76" spans="1:7" s="7" customFormat="1" x14ac:dyDescent="0.25">
      <c r="A76" s="75" t="s">
        <v>82</v>
      </c>
      <c r="B76" s="74">
        <v>1873.0993699999999</v>
      </c>
      <c r="C76" s="28">
        <f>IF(OR(3144.56215="",1873.09937=""),"-",1873.09937/3144.56215*100)</f>
        <v>59.566301464259496</v>
      </c>
      <c r="D76" s="28">
        <f>IF(3144.56215="","-",3144.56215/2676462.27457*100)</f>
        <v>0.11748950022115313</v>
      </c>
      <c r="E76" s="28">
        <f>IF(1873.09937="","-",1873.09937/3581025.78176*100)</f>
        <v>5.2306224086423929E-2</v>
      </c>
      <c r="F76" s="28">
        <f>IF(OR(1980077.64559="",1847.11497="",3144.56215=""),"-",(3144.56215-1847.11497)/1980077.64559*100)</f>
        <v>6.5525065791720613E-2</v>
      </c>
      <c r="G76" s="28">
        <f>IF(OR(2676462.27457="",1873.09937="",3144.56215=""),"-",(1873.09937-3144.56215)/2676462.27457*100)</f>
        <v>-4.7505350330569233E-2</v>
      </c>
    </row>
    <row r="77" spans="1:7" s="7" customFormat="1" x14ac:dyDescent="0.25">
      <c r="A77" s="66" t="s">
        <v>37</v>
      </c>
      <c r="B77" s="17">
        <v>1690.5979500000001</v>
      </c>
      <c r="C77" s="28">
        <f>IF(OR(1446.05166="",1690.59795=""),"-",1690.59795/1446.05166*100)</f>
        <v>116.91131076188523</v>
      </c>
      <c r="D77" s="28">
        <f>IF(1446.05166="","-",1446.05166/2676462.27457*100)</f>
        <v>5.4028471603707648E-2</v>
      </c>
      <c r="E77" s="28">
        <f>IF(1690.59795="","-",1690.59795/3581025.78176*100)</f>
        <v>4.720987932036351E-2</v>
      </c>
      <c r="F77" s="28">
        <f>IF(OR(1980077.64559="",1338.09717="",1446.05166=""),"-",(1446.05166-1338.09717)/1980077.64559*100)</f>
        <v>5.4520331685191607E-3</v>
      </c>
      <c r="G77" s="28">
        <f>IF(OR(2676462.27457="",1690.59795="",1446.05166=""),"-",(1690.59795-1446.05166)/2676462.27457*100)</f>
        <v>9.1369227327999149E-3</v>
      </c>
    </row>
    <row r="78" spans="1:7" s="7" customFormat="1" x14ac:dyDescent="0.25">
      <c r="A78" s="75" t="s">
        <v>87</v>
      </c>
      <c r="B78" s="74">
        <v>1621.4839199999999</v>
      </c>
      <c r="C78" s="28">
        <f>IF(OR(1450.1071="",1621.48392=""),"-",1621.48392/1450.1071*100)</f>
        <v>111.81821811644119</v>
      </c>
      <c r="D78" s="28">
        <f>IF(1450.1071="","-",1450.1071/2676462.27457*100)</f>
        <v>5.4179994008433159E-2</v>
      </c>
      <c r="E78" s="28">
        <f>IF(1621.48392="","-",1621.48392/3581025.78176*100)</f>
        <v>4.5279872830266923E-2</v>
      </c>
      <c r="F78" s="28">
        <f>IF(OR(1980077.64559="",759.75398="",1450.1071=""),"-",(1450.1071-759.75398)/1980077.64559*100)</f>
        <v>3.4864951964764836E-2</v>
      </c>
      <c r="G78" s="28">
        <f>IF(OR(2676462.27457="",1621.48392="",1450.1071=""),"-",(1621.48392-1450.1071)/2676462.27457*100)</f>
        <v>6.4031098673913997E-3</v>
      </c>
    </row>
    <row r="79" spans="1:7" s="7" customFormat="1" x14ac:dyDescent="0.25">
      <c r="A79" s="66" t="s">
        <v>85</v>
      </c>
      <c r="B79" s="17">
        <v>1616.2638199999999</v>
      </c>
      <c r="C79" s="28">
        <f>IF(OR(2720.59328="",1616.26382=""),"-",1616.26382/2720.59328*100)</f>
        <v>59.408505927060141</v>
      </c>
      <c r="D79" s="28">
        <f>IF(2720.59328="","-",2720.59328/2676462.27457*100)</f>
        <v>0.10164885587401341</v>
      </c>
      <c r="E79" s="28">
        <f>IF(1616.26382="","-",1616.26382/3581025.78176*100)</f>
        <v>4.5134101749070336E-2</v>
      </c>
      <c r="F79" s="28">
        <f>IF(OR(1980077.64559="",1035.44087="",2720.59328=""),"-",(2720.59328-1035.44087)/1980077.64559*100)</f>
        <v>8.5105370173394299E-2</v>
      </c>
      <c r="G79" s="28">
        <f>IF(OR(2676462.27457="",1616.26382="",2720.59328=""),"-",(1616.26382-2720.59328)/2676462.27457*100)</f>
        <v>-4.1260789307311328E-2</v>
      </c>
    </row>
    <row r="80" spans="1:7" s="7" customFormat="1" x14ac:dyDescent="0.25">
      <c r="A80" s="66" t="s">
        <v>84</v>
      </c>
      <c r="B80" s="17">
        <v>1580.61671</v>
      </c>
      <c r="C80" s="28">
        <f>IF(OR(1435.95429="",1580.61671=""),"-",1580.61671/1435.95429*100)</f>
        <v>110.07430535967828</v>
      </c>
      <c r="D80" s="28">
        <f>IF(1435.95429="","-",1435.95429/2676462.27457*100)</f>
        <v>5.3651206058217278E-2</v>
      </c>
      <c r="E80" s="28">
        <f>IF(1580.61671="","-",1580.61671/3581025.78176*100)</f>
        <v>4.4138657645272791E-2</v>
      </c>
      <c r="F80" s="28">
        <f>IF(OR(1980077.64559="",691.13686="",1435.95429=""),"-",(1435.95429-691.13686)/1980077.64559*100)</f>
        <v>3.7615566826828553E-2</v>
      </c>
      <c r="G80" s="28">
        <f>IF(OR(2676462.27457="",1580.61671="",1435.95429=""),"-",(1580.61671-1435.95429)/2676462.27457*100)</f>
        <v>5.4049863274550193E-3</v>
      </c>
    </row>
    <row r="81" spans="1:7" s="7" customFormat="1" x14ac:dyDescent="0.25">
      <c r="A81" s="66" t="s">
        <v>312</v>
      </c>
      <c r="B81" s="17">
        <v>1485.6614500000001</v>
      </c>
      <c r="C81" s="28" t="s">
        <v>286</v>
      </c>
      <c r="D81" s="28">
        <f>IF(556.31945="","-",556.31945/2676462.27457*100)</f>
        <v>2.0785626432540626E-2</v>
      </c>
      <c r="E81" s="28">
        <f>IF(1485.66145="","-",1485.66145/3581025.78176*100)</f>
        <v>4.1487035853448345E-2</v>
      </c>
      <c r="F81" s="28">
        <f>IF(OR(1980077.64559="",820.45831="",556.31945=""),"-",(556.31945-820.45831)/1980077.64559*100)</f>
        <v>-1.3339823344215122E-2</v>
      </c>
      <c r="G81" s="28">
        <f>IF(OR(2676462.27457="",1485.66145="",556.31945=""),"-",(1485.66145-556.31945)/2676462.27457*100)</f>
        <v>3.4722775987915171E-2</v>
      </c>
    </row>
    <row r="82" spans="1:7" s="7" customFormat="1" x14ac:dyDescent="0.25">
      <c r="A82" s="66" t="s">
        <v>86</v>
      </c>
      <c r="B82" s="17">
        <v>1240.8144500000001</v>
      </c>
      <c r="C82" s="28">
        <f>IF(OR(1624.10745="",1240.81445=""),"-",1240.81445/1624.10745*100)</f>
        <v>76.399775766067705</v>
      </c>
      <c r="D82" s="28">
        <f>IF(1624.10745="","-",1624.10745/2676462.27457*100)</f>
        <v>6.06811261803019E-2</v>
      </c>
      <c r="E82" s="28">
        <f>IF(1240.81445="","-",1240.81445/3581025.78176*100)</f>
        <v>3.4649693289562564E-2</v>
      </c>
      <c r="F82" s="28">
        <f>IF(OR(1980077.64559="",535.31619="",1624.10745=""),"-",(1624.10745-535.31619)/1980077.64559*100)</f>
        <v>5.4987301251793824E-2</v>
      </c>
      <c r="G82" s="28">
        <f>IF(OR(2676462.27457="",1240.81445="",1624.10745=""),"-",(1240.81445-1624.10745)/2676462.27457*100)</f>
        <v>-1.4320881846226647E-2</v>
      </c>
    </row>
    <row r="83" spans="1:7" s="7" customFormat="1" x14ac:dyDescent="0.25">
      <c r="A83" s="66" t="s">
        <v>78</v>
      </c>
      <c r="B83" s="17">
        <v>1206.6151199999999</v>
      </c>
      <c r="C83" s="28">
        <f>IF(OR(12014.36894="",1206.61512=""),"-",1206.61512/12014.36894*100)</f>
        <v>10.043100274561736</v>
      </c>
      <c r="D83" s="28">
        <f>IF(12014.36894="","-",12014.36894/2676462.27457*100)</f>
        <v>0.4488899041900461</v>
      </c>
      <c r="E83" s="28">
        <f>IF(1206.61512="","-",1206.61512/3581025.78176*100)</f>
        <v>3.3694678383660602E-2</v>
      </c>
      <c r="F83" s="28">
        <f>IF(OR(1980077.64559="",1898.85833="",12014.36894=""),"-",(12014.36894-1898.85833)/1980077.64559*100)</f>
        <v>0.5108643407256841</v>
      </c>
      <c r="G83" s="28">
        <f>IF(OR(2676462.27457="",1206.61512="",12014.36894=""),"-",(1206.61512-12014.36894)/2676462.27457*100)</f>
        <v>-0.4038074409898556</v>
      </c>
    </row>
    <row r="84" spans="1:7" s="7" customFormat="1" x14ac:dyDescent="0.25">
      <c r="A84" s="66" t="s">
        <v>56</v>
      </c>
      <c r="B84" s="17">
        <v>1111.08095</v>
      </c>
      <c r="C84" s="28">
        <f>IF(OR(1633.17775="",1111.08095=""),"-",1111.08095/1633.17775*100)</f>
        <v>68.031844666019964</v>
      </c>
      <c r="D84" s="28">
        <f>IF(1633.17775="","-",1633.17775/2676462.27457*100)</f>
        <v>6.102001756263821E-2</v>
      </c>
      <c r="E84" s="28">
        <f>IF(1111.08095="","-",1111.08095/3581025.78176*100)</f>
        <v>3.1026890553519745E-2</v>
      </c>
      <c r="F84" s="28">
        <f>IF(OR(1980077.64559="",2849.35367="",1633.17775=""),"-",(1633.17775-2849.35367)/1980077.64559*100)</f>
        <v>-6.1420617656517108E-2</v>
      </c>
      <c r="G84" s="28">
        <f>IF(OR(2676462.27457="",1111.08095="",1633.17775=""),"-",(1111.08095-1633.17775)/2676462.27457*100)</f>
        <v>-1.9506973999246079E-2</v>
      </c>
    </row>
    <row r="85" spans="1:7" s="7" customFormat="1" x14ac:dyDescent="0.25">
      <c r="A85" s="66" t="s">
        <v>98</v>
      </c>
      <c r="B85" s="17">
        <v>979.83969999999999</v>
      </c>
      <c r="C85" s="28" t="s">
        <v>197</v>
      </c>
      <c r="D85" s="28">
        <f>IF(436.9577="","-",436.9577/2676462.27457*100)</f>
        <v>1.6325942799630962E-2</v>
      </c>
      <c r="E85" s="28">
        <f>IF(979.8397="","-",979.8397/3581025.78176*100)</f>
        <v>2.7361983959758845E-2</v>
      </c>
      <c r="F85" s="28">
        <f>IF(OR(1980077.64559="",322.19141="",436.9577=""),"-",(436.9577-322.19141)/1980077.64559*100)</f>
        <v>5.7960499809492708E-3</v>
      </c>
      <c r="G85" s="28">
        <f>IF(OR(2676462.27457="",979.8397="",436.9577=""),"-",(979.8397-436.9577)/2676462.27457*100)</f>
        <v>2.0283566301610562E-2</v>
      </c>
    </row>
    <row r="86" spans="1:7" s="7" customFormat="1" x14ac:dyDescent="0.25">
      <c r="A86" s="75" t="s">
        <v>93</v>
      </c>
      <c r="B86" s="74">
        <v>866.29084</v>
      </c>
      <c r="C86" s="28">
        <f>IF(OR(714.51813="",866.29084=""),"-",866.29084/714.51813*100)</f>
        <v>121.24126787377669</v>
      </c>
      <c r="D86" s="28">
        <f>IF(714.51813="","-",714.51813/2676462.27457*100)</f>
        <v>2.6696364704591045E-2</v>
      </c>
      <c r="E86" s="28">
        <f>IF(866.29084="","-",866.29084/3581025.78176*100)</f>
        <v>2.4191136640581121E-2</v>
      </c>
      <c r="F86" s="28">
        <f>IF(OR(1980077.64559="",626.62766="",714.51813=""),"-",(714.51813-626.62766)/1980077.64559*100)</f>
        <v>4.438738561376541E-3</v>
      </c>
      <c r="G86" s="28">
        <f>IF(OR(2676462.27457="",866.29084="",714.51813=""),"-",(866.29084-714.51813)/2676462.27457*100)</f>
        <v>5.6706463394625558E-3</v>
      </c>
    </row>
    <row r="87" spans="1:7" s="7" customFormat="1" x14ac:dyDescent="0.25">
      <c r="A87" s="75" t="s">
        <v>83</v>
      </c>
      <c r="B87" s="74">
        <v>859.43463999999994</v>
      </c>
      <c r="C87" s="28">
        <f>IF(OR(1011.40424="",859.43464=""),"-",859.43464/1011.40424*100)</f>
        <v>84.974395598737047</v>
      </c>
      <c r="D87" s="28">
        <f>IF(1011.40424="","-",1011.40424/2676462.27457*100)</f>
        <v>3.7788847226045509E-2</v>
      </c>
      <c r="E87" s="28">
        <f>IF(859.43464="","-",859.43464/3581025.78176*100)</f>
        <v>2.3999677533111909E-2</v>
      </c>
      <c r="F87" s="28">
        <f>IF(OR(1980077.64559="",2427.93351="",1011.40424=""),"-",(1011.40424-2427.93351)/1980077.64559*100)</f>
        <v>-7.1539076922305198E-2</v>
      </c>
      <c r="G87" s="28">
        <f>IF(OR(2676462.27457="",859.43464="",1011.40424=""),"-",(859.43464-1011.40424)/2676462.27457*100)</f>
        <v>-5.6780026919832239E-3</v>
      </c>
    </row>
    <row r="88" spans="1:7" x14ac:dyDescent="0.25">
      <c r="A88" s="66" t="s">
        <v>89</v>
      </c>
      <c r="B88" s="17">
        <v>841.65124000000003</v>
      </c>
      <c r="C88" s="28">
        <f>IF(OR(1205.61236="",841.65124=""),"-",841.65124/1205.61236*100)</f>
        <v>69.811099149647077</v>
      </c>
      <c r="D88" s="28">
        <f>IF(1205.61236="","-",1205.61236/2676462.27457*100)</f>
        <v>4.5044997325572003E-2</v>
      </c>
      <c r="E88" s="28">
        <f>IF(841.65124="","-",841.65124/3581025.78176*100)</f>
        <v>2.3503076807962715E-2</v>
      </c>
      <c r="F88" s="28">
        <f>IF(OR(1980077.64559="",278.27551="",1205.61236=""),"-",(1205.61236-278.27551)/1980077.64559*100)</f>
        <v>4.6833357876917163E-2</v>
      </c>
      <c r="G88" s="28">
        <f>IF(OR(2676462.27457="",841.65124="",1205.61236=""),"-",(841.65124-1205.61236)/2676462.27457*100)</f>
        <v>-1.3598589580661062E-2</v>
      </c>
    </row>
    <row r="89" spans="1:7" x14ac:dyDescent="0.25">
      <c r="A89" s="66" t="s">
        <v>88</v>
      </c>
      <c r="B89" s="17">
        <v>823.83109000000002</v>
      </c>
      <c r="C89" s="28" t="s">
        <v>314</v>
      </c>
      <c r="D89" s="28">
        <f>IF(292.42553="","-",292.42553/2676462.27457*100)</f>
        <v>1.0925822970808772E-2</v>
      </c>
      <c r="E89" s="28">
        <f>IF(823.83109="","-",823.83109/3581025.78176*100)</f>
        <v>2.3005449840551109E-2</v>
      </c>
      <c r="F89" s="28">
        <f>IF(OR(1980077.64559="",362.11099="",292.42553=""),"-",(292.42553-362.11099)/1980077.64559*100)</f>
        <v>-3.5193296664503266E-3</v>
      </c>
      <c r="G89" s="28">
        <f>IF(OR(2676462.27457="",823.83109="",292.42553=""),"-",(823.83109-292.42553)/2676462.27457*100)</f>
        <v>1.9854774903762678E-2</v>
      </c>
    </row>
    <row r="90" spans="1:7" x14ac:dyDescent="0.25">
      <c r="A90" s="75" t="s">
        <v>65</v>
      </c>
      <c r="B90" s="74">
        <v>741.91815999999994</v>
      </c>
      <c r="C90" s="28">
        <f>IF(OR(511.57028="",741.91816=""),"-",741.91816/511.57028*100)</f>
        <v>145.02761184641139</v>
      </c>
      <c r="D90" s="28">
        <f>IF(511.57028="","-",511.57028/2676462.27457*100)</f>
        <v>1.9113674228125963E-2</v>
      </c>
      <c r="E90" s="28">
        <f>IF(741.91816="","-",741.91816/3581025.78176*100)</f>
        <v>2.071803458603871E-2</v>
      </c>
      <c r="F90" s="28">
        <f>IF(OR(1980077.64559="",579.22144="",511.57028=""),"-",(511.57028-579.22144)/1980077.64559*100)</f>
        <v>-3.4165912710883675E-3</v>
      </c>
      <c r="G90" s="28">
        <f>IF(OR(2676462.27457="",741.91816="",511.57028=""),"-",(741.91816-511.57028)/2676462.27457*100)</f>
        <v>8.6064310410281265E-3</v>
      </c>
    </row>
    <row r="91" spans="1:7" x14ac:dyDescent="0.25">
      <c r="A91" s="75" t="s">
        <v>315</v>
      </c>
      <c r="B91" s="74">
        <v>671.05737999999997</v>
      </c>
      <c r="C91" s="28">
        <f>IF(OR(528.36816="",671.05738=""),"-",671.05738/528.36816*100)</f>
        <v>127.00564318637217</v>
      </c>
      <c r="D91" s="28">
        <f>IF(528.36816="","-",528.36816/2676462.27457*100)</f>
        <v>1.974128927652782E-2</v>
      </c>
      <c r="E91" s="28">
        <f>IF(671.05738="","-",671.05738/3581025.78176*100)</f>
        <v>1.8739250172898479E-2</v>
      </c>
      <c r="F91" s="28">
        <f>IF(OR(1980077.64559="",310.22628="",528.36816=""),"-",(528.36816-310.22628)/1980077.64559*100)</f>
        <v>1.1016834642108222E-2</v>
      </c>
      <c r="G91" s="28">
        <f>IF(OR(2676462.27457="",671.05738="",528.36816=""),"-",(671.05738-528.36816)/2676462.27457*100)</f>
        <v>5.331262142408655E-3</v>
      </c>
    </row>
    <row r="92" spans="1:7" x14ac:dyDescent="0.25">
      <c r="A92" s="75" t="s">
        <v>327</v>
      </c>
      <c r="B92" s="74">
        <v>631.95456000000001</v>
      </c>
      <c r="C92" s="28">
        <f>IF(OR(1530.84253="",631.95456=""),"-",631.95456/1530.84253*100)</f>
        <v>41.281486999188616</v>
      </c>
      <c r="D92" s="28">
        <f>IF(1530.84253="","-",1530.84253/2676462.27457*100)</f>
        <v>5.719649197169966E-2</v>
      </c>
      <c r="E92" s="28">
        <f>IF(631.95456="","-",631.95456/3581025.78176*100)</f>
        <v>1.7647305507233948E-2</v>
      </c>
      <c r="F92" s="28">
        <f>IF(OR(1980077.64559="",673.13678="",1530.84253=""),"-",(1530.84253-673.13678)/1980077.64559*100)</f>
        <v>4.3316773557353645E-2</v>
      </c>
      <c r="G92" s="28">
        <f>IF(OR(2676462.27457="",631.95456="",1530.84253=""),"-",(631.95456-1530.84253)/2676462.27457*100)</f>
        <v>-3.3584929574410505E-2</v>
      </c>
    </row>
    <row r="93" spans="1:7" x14ac:dyDescent="0.25">
      <c r="A93" s="66" t="s">
        <v>36</v>
      </c>
      <c r="B93" s="17">
        <v>625.87004000000002</v>
      </c>
      <c r="C93" s="28">
        <f>IF(OR(874.78986="",625.87004=""),"-",625.87004/874.78986*100)</f>
        <v>71.54518686350572</v>
      </c>
      <c r="D93" s="28">
        <f>IF(874.78986="","-",874.78986/2676462.27457*100)</f>
        <v>3.2684557832616701E-2</v>
      </c>
      <c r="E93" s="28">
        <f>IF(625.87004="","-",625.87004/3581025.78176*100)</f>
        <v>1.7477395532528053E-2</v>
      </c>
      <c r="F93" s="28">
        <f>IF(OR(1980077.64559="",1119.69424="",874.78986=""),"-",(874.78986-1119.69424)/1980077.64559*100)</f>
        <v>-1.2368423053785164E-2</v>
      </c>
      <c r="G93" s="28">
        <f>IF(OR(2676462.27457="",625.87004="",874.78986=""),"-",(625.87004-874.78986)/2676462.27457*100)</f>
        <v>-9.3003298557604881E-3</v>
      </c>
    </row>
    <row r="94" spans="1:7" x14ac:dyDescent="0.25">
      <c r="A94" s="66" t="s">
        <v>137</v>
      </c>
      <c r="B94" s="17">
        <v>613.51032999999995</v>
      </c>
      <c r="C94" s="28">
        <f>IF(OR(619.95925="",613.51033=""),"-",613.51033/619.95925*100)</f>
        <v>98.959783243818038</v>
      </c>
      <c r="D94" s="28">
        <f>IF(619.95925="","-",619.95925/2676462.27457*100)</f>
        <v>2.3163384587574751E-2</v>
      </c>
      <c r="E94" s="28">
        <f>IF(613.51033="","-",613.51033/3581025.78176*100)</f>
        <v>1.7132251131084353E-2</v>
      </c>
      <c r="F94" s="28">
        <f>IF(OR(1980077.64559="",361.98279="",619.95925=""),"-",(619.95925-361.98279)/1980077.64559*100)</f>
        <v>1.3028603225462464E-2</v>
      </c>
      <c r="G94" s="28">
        <f>IF(OR(2676462.27457="",613.51033="",619.95925=""),"-",(613.51033-619.95925)/2676462.27457*100)</f>
        <v>-2.409494077788235E-4</v>
      </c>
    </row>
    <row r="95" spans="1:7" x14ac:dyDescent="0.25">
      <c r="A95" s="66" t="s">
        <v>35</v>
      </c>
      <c r="B95" s="17">
        <v>559.86449000000005</v>
      </c>
      <c r="C95" s="28">
        <f>IF(OR(1106.22921="",559.86449=""),"-",559.86449/1106.22921*100)</f>
        <v>50.610170563115041</v>
      </c>
      <c r="D95" s="28">
        <f>IF(1106.22921="","-",1106.22921/2676462.27457*100)</f>
        <v>4.133176919811906E-2</v>
      </c>
      <c r="E95" s="28">
        <f>IF(559.86449="","-",559.86449/3581025.78176*100)</f>
        <v>1.5634193220603908E-2</v>
      </c>
      <c r="F95" s="28">
        <f>IF(OR(1980077.64559="",1484.29946="",1106.22921=""),"-",(1106.22921-1484.29946)/1980077.64559*100)</f>
        <v>-1.9093708311996374E-2</v>
      </c>
      <c r="G95" s="28">
        <f>IF(OR(2676462.27457="",559.86449="",1106.22921=""),"-",(559.86449-1106.22921)/2676462.27457*100)</f>
        <v>-2.0413690310197956E-2</v>
      </c>
    </row>
    <row r="96" spans="1:7" x14ac:dyDescent="0.25">
      <c r="A96" s="75" t="s">
        <v>90</v>
      </c>
      <c r="B96" s="74">
        <v>472.26672000000002</v>
      </c>
      <c r="C96" s="28" t="s">
        <v>100</v>
      </c>
      <c r="D96" s="28">
        <f>IF(287.98995="","-",287.98995/2676462.27457*100)</f>
        <v>1.076009748899855E-2</v>
      </c>
      <c r="E96" s="28">
        <f>IF(472.26672="","-",472.26672/3581025.78176*100)</f>
        <v>1.3188029039207049E-2</v>
      </c>
      <c r="F96" s="28">
        <f>IF(OR(1980077.64559="",423.50163="",287.98995=""),"-",(287.98995-423.50163)/1980077.64559*100)</f>
        <v>-6.8437558649182056E-3</v>
      </c>
      <c r="G96" s="28">
        <f>IF(OR(2676462.27457="",472.26672="",287.98995=""),"-",(472.26672-287.98995)/2676462.27457*100)</f>
        <v>6.8850875183587594E-3</v>
      </c>
    </row>
    <row r="97" spans="1:7" x14ac:dyDescent="0.25">
      <c r="A97" s="75" t="s">
        <v>62</v>
      </c>
      <c r="B97" s="74">
        <v>446.16091</v>
      </c>
      <c r="C97" s="28">
        <f>IF(OR(460.77989="",446.16091=""),"-",446.16091/460.77989*100)</f>
        <v>96.827339838984727</v>
      </c>
      <c r="D97" s="28">
        <f>IF(460.77989="","-",460.77989/2676462.27457*100)</f>
        <v>1.72160054105014E-2</v>
      </c>
      <c r="E97" s="28">
        <f>IF(446.16091="","-",446.16091/3581025.78176*100)</f>
        <v>1.2459025351689067E-2</v>
      </c>
      <c r="F97" s="28">
        <f>IF(OR(1980077.64559="",346.50908="",460.77989=""),"-",(460.77989-346.50908)/1980077.64559*100)</f>
        <v>5.7710267198108275E-3</v>
      </c>
      <c r="G97" s="28">
        <f>IF(OR(2676462.27457="",446.16091="",460.77989=""),"-",(446.16091-460.77989)/2676462.27457*100)</f>
        <v>-5.4620534497721272E-4</v>
      </c>
    </row>
    <row r="98" spans="1:7" x14ac:dyDescent="0.25">
      <c r="A98" s="75" t="s">
        <v>58</v>
      </c>
      <c r="B98" s="74">
        <v>338.54361</v>
      </c>
      <c r="C98" s="28" t="s">
        <v>300</v>
      </c>
      <c r="D98" s="28">
        <f>IF(102.90665="","-",102.90665/2676462.27457*100)</f>
        <v>3.8448757891247679E-3</v>
      </c>
      <c r="E98" s="28">
        <f>IF(338.54361="","-",338.54361/3581025.78176*100)</f>
        <v>9.4538166054088778E-3</v>
      </c>
      <c r="F98" s="28">
        <f>IF(OR(1980077.64559="",108.09211="",102.90665=""),"-",(102.90665-108.09211)/1980077.64559*100)</f>
        <v>-2.6188164951758262E-4</v>
      </c>
      <c r="G98" s="28">
        <f>IF(OR(2676462.27457="",338.54361="",102.90665=""),"-",(338.54361-102.90665)/2676462.27457*100)</f>
        <v>8.8040456328814659E-3</v>
      </c>
    </row>
    <row r="99" spans="1:7" x14ac:dyDescent="0.25">
      <c r="A99" s="75" t="s">
        <v>103</v>
      </c>
      <c r="B99" s="74">
        <v>289.14913000000001</v>
      </c>
      <c r="C99" s="28" t="s">
        <v>198</v>
      </c>
      <c r="D99" s="28">
        <f>IF(158.41629="","-",158.41629/2676462.27457*100)</f>
        <v>5.9188687808219209E-3</v>
      </c>
      <c r="E99" s="28">
        <f>IF(289.14913="","-",289.14913/3581025.78176*100)</f>
        <v>8.074477750838454E-3</v>
      </c>
      <c r="F99" s="28">
        <f>IF(OR(1980077.64559="",130.11164="",158.41629=""),"-",(158.41629-130.11164)/1980077.64559*100)</f>
        <v>1.4294717211236494E-3</v>
      </c>
      <c r="G99" s="28">
        <f>IF(OR(2676462.27457="",289.14913="",158.41629=""),"-",(289.14913-158.41629)/2676462.27457*100)</f>
        <v>4.8845388646848583E-3</v>
      </c>
    </row>
    <row r="100" spans="1:7" x14ac:dyDescent="0.25">
      <c r="A100" s="66" t="s">
        <v>299</v>
      </c>
      <c r="B100" s="17">
        <v>284.94000999999997</v>
      </c>
      <c r="C100" s="28" t="s">
        <v>355</v>
      </c>
      <c r="D100" s="28">
        <f>IF(20.70533="","-",20.70533/2676462.27457*100)</f>
        <v>7.7360813924890891E-4</v>
      </c>
      <c r="E100" s="28">
        <f>IF(284.94001="","-",284.94001/3581025.78176*100)</f>
        <v>7.9569382452186043E-3</v>
      </c>
      <c r="F100" s="28">
        <f>IF(OR(1980077.64559="",17.88279="",20.70533=""),"-",(20.70533-17.88279)/1980077.64559*100)</f>
        <v>1.4254693528237741E-4</v>
      </c>
      <c r="G100" s="28">
        <f>IF(OR(2676462.27457="",284.94001="",20.70533=""),"-",(284.94001-20.70533)/2676462.27457*100)</f>
        <v>9.8725351935869104E-3</v>
      </c>
    </row>
    <row r="101" spans="1:7" x14ac:dyDescent="0.25">
      <c r="A101" s="75" t="s">
        <v>94</v>
      </c>
      <c r="B101" s="74">
        <v>284.25567000000001</v>
      </c>
      <c r="C101" s="28">
        <f>IF(OR(462.14982="",284.25567=""),"-",284.25567/462.14982*100)</f>
        <v>61.507255374458445</v>
      </c>
      <c r="D101" s="28">
        <f>IF(462.14982="","-",462.14982/2676462.27457*100)</f>
        <v>1.7267189767292683E-2</v>
      </c>
      <c r="E101" s="28">
        <f>IF(284.25567="","-",284.25567/3581025.78176*100)</f>
        <v>7.9378280784198722E-3</v>
      </c>
      <c r="F101" s="28">
        <f>IF(OR(1980077.64559="",196.03058="",462.14982=""),"-",(462.14982-196.03058)/1980077.64559*100)</f>
        <v>1.3439838614041064E-2</v>
      </c>
      <c r="G101" s="28">
        <f>IF(OR(2676462.27457="",284.25567="",462.14982=""),"-",(284.25567-462.14982)/2676462.27457*100)</f>
        <v>-6.6466152611316161E-3</v>
      </c>
    </row>
    <row r="102" spans="1:7" x14ac:dyDescent="0.25">
      <c r="A102" s="75" t="s">
        <v>97</v>
      </c>
      <c r="B102" s="74">
        <v>268.72798999999998</v>
      </c>
      <c r="C102" s="28" t="s">
        <v>391</v>
      </c>
      <c r="D102" s="28">
        <f>IF(0.08108="","-",0.08108/2676462.27457*100)</f>
        <v>3.0293720472120722E-6</v>
      </c>
      <c r="E102" s="28">
        <f>IF(268.72799="","-",268.72799/3581025.78176*100)</f>
        <v>7.5042182429618182E-3</v>
      </c>
      <c r="F102" s="28">
        <f>IF(OR(1980077.64559="",217.6188="",0.08108=""),"-",(0.08108-217.6188)/1980077.64559*100)</f>
        <v>-1.0986322707318918E-2</v>
      </c>
      <c r="G102" s="28">
        <f>IF(OR(2676462.27457="",268.72799="",0.08108=""),"-",(268.72799-0.08108)/2676462.27457*100)</f>
        <v>1.0037388255104801E-2</v>
      </c>
    </row>
    <row r="103" spans="1:7" x14ac:dyDescent="0.25">
      <c r="A103" s="75" t="s">
        <v>208</v>
      </c>
      <c r="B103" s="74">
        <v>218.34395000000001</v>
      </c>
      <c r="C103" s="28">
        <f>IF(OR(406.71544="",218.34395=""),"-",218.34395/406.71544*100)</f>
        <v>53.684696602617301</v>
      </c>
      <c r="D103" s="28">
        <f>IF(406.71544="","-",406.71544/2676462.27457*100)</f>
        <v>1.5196008696417842E-2</v>
      </c>
      <c r="E103" s="28">
        <f>IF(218.34395="","-",218.34395/3581025.78176*100)</f>
        <v>6.0972459654476006E-3</v>
      </c>
      <c r="F103" s="28">
        <f>IF(OR(1980077.64559="",117.0751="",406.71544=""),"-",(406.71544-117.0751)/1980077.64559*100)</f>
        <v>1.4627726374522872E-2</v>
      </c>
      <c r="G103" s="28">
        <f>IF(OR(2676462.27457="",218.34395="",406.71544=""),"-",(218.34395-406.71544)/2676462.27457*100)</f>
        <v>-7.0380775320385844E-3</v>
      </c>
    </row>
    <row r="104" spans="1:7" x14ac:dyDescent="0.25">
      <c r="A104" s="66" t="s">
        <v>118</v>
      </c>
      <c r="B104" s="17">
        <v>185.37754000000001</v>
      </c>
      <c r="C104" s="28">
        <f>IF(OR(270.01807="",185.37754=""),"-",185.37754/270.01807*100)</f>
        <v>68.65375343213141</v>
      </c>
      <c r="D104" s="28">
        <f>IF(270.01807="","-",270.01807/2676462.27457*100)</f>
        <v>1.0088618568082791E-2</v>
      </c>
      <c r="E104" s="28">
        <f>IF(185.37754="","-",185.37754/3581025.78176*100)</f>
        <v>5.1766603006385163E-3</v>
      </c>
      <c r="F104" s="28">
        <f>IF(OR(1980077.64559="",100.09432="",270.01807=""),"-",(270.01807-100.09432)/1980077.64559*100)</f>
        <v>8.5816710460042672E-3</v>
      </c>
      <c r="G104" s="28">
        <f>IF(OR(2676462.27457="",185.37754="",270.01807=""),"-",(185.37754-270.01807)/2676462.27457*100)</f>
        <v>-3.1624032516430053E-3</v>
      </c>
    </row>
    <row r="105" spans="1:7" x14ac:dyDescent="0.25">
      <c r="A105" s="66" t="s">
        <v>207</v>
      </c>
      <c r="B105" s="17">
        <v>185.34322</v>
      </c>
      <c r="C105" s="28" t="s">
        <v>412</v>
      </c>
      <c r="D105" s="28">
        <f>IF(18.08309="","-",18.08309/2676462.27457*100)</f>
        <v>6.7563403272348477E-4</v>
      </c>
      <c r="E105" s="28">
        <f>IF(185.34322="","-",185.34322/3581025.78176*100)</f>
        <v>5.1757019160277489E-3</v>
      </c>
      <c r="F105" s="28">
        <f>IF(OR(1980077.64559="",1.12235="",18.08309=""),"-",(18.08309-1.12235)/1980077.64559*100)</f>
        <v>8.5656943998002849E-4</v>
      </c>
      <c r="G105" s="28">
        <f>IF(OR(2676462.27457="",185.34322="",18.08309=""),"-",(185.34322-18.08309)/2676462.27457*100)</f>
        <v>6.2492989940189604E-3</v>
      </c>
    </row>
    <row r="106" spans="1:7" x14ac:dyDescent="0.25">
      <c r="A106" s="75" t="s">
        <v>125</v>
      </c>
      <c r="B106" s="74">
        <v>184.40502000000001</v>
      </c>
      <c r="C106" s="28" t="s">
        <v>197</v>
      </c>
      <c r="D106" s="28">
        <f>IF(82.62265="","-",82.62265/2676462.27457*100)</f>
        <v>3.0870096987738837E-3</v>
      </c>
      <c r="E106" s="28">
        <f>IF(184.40502="","-",184.40502/3581025.78176*100)</f>
        <v>5.1495027190049652E-3</v>
      </c>
      <c r="F106" s="28">
        <f>IF(OR(1980077.64559="",110.77225="",82.62265=""),"-",(82.62265-110.77225)/1980077.64559*100)</f>
        <v>-1.4216412201155033E-3</v>
      </c>
      <c r="G106" s="28">
        <f>IF(OR(2676462.27457="",184.40502="",82.62265=""),"-",(184.40502-82.62265)/2676462.27457*100)</f>
        <v>3.8028695927108612E-3</v>
      </c>
    </row>
    <row r="107" spans="1:7" x14ac:dyDescent="0.25">
      <c r="A107" s="75" t="s">
        <v>350</v>
      </c>
      <c r="B107" s="74">
        <v>108.23428</v>
      </c>
      <c r="C107" s="28" t="s">
        <v>362</v>
      </c>
      <c r="D107" s="28">
        <f>IF(18.89775="","-",18.89775/2676462.27457*100)</f>
        <v>7.0607197342380278E-4</v>
      </c>
      <c r="E107" s="28">
        <f>IF(108.23428="","-",108.23428/3581025.78176*100)</f>
        <v>3.0224378878055741E-3</v>
      </c>
      <c r="F107" s="28">
        <f>IF(OR(1980077.64559="",336.7404="",18.89775=""),"-",(18.89775-336.7404)/1980077.64559*100)</f>
        <v>-1.605202961145966E-2</v>
      </c>
      <c r="G107" s="28">
        <f>IF(OR(2676462.27457="",108.23428="",18.89775=""),"-",(108.23428-18.89775)/2676462.27457*100)</f>
        <v>3.3378587416986022E-3</v>
      </c>
    </row>
    <row r="108" spans="1:7" x14ac:dyDescent="0.25">
      <c r="A108" s="75" t="s">
        <v>297</v>
      </c>
      <c r="B108" s="74">
        <v>92.646150000000006</v>
      </c>
      <c r="C108" s="28" t="s">
        <v>381</v>
      </c>
      <c r="D108" s="28">
        <f>IF(7.07027="","-",7.07027/2676462.27457*100)</f>
        <v>2.641647546157141E-4</v>
      </c>
      <c r="E108" s="28">
        <f>IF(92.64615="","-",92.64615/3581025.78176*100)</f>
        <v>2.5871399885444651E-3</v>
      </c>
      <c r="F108" s="28">
        <f>IF(OR(1980077.64559="",78.72282="",7.07027=""),"-",(7.07027-78.72282)/1980077.64559*100)</f>
        <v>-3.6186737504755695E-3</v>
      </c>
      <c r="G108" s="28">
        <f>IF(OR(2676462.27457="",92.64615="",7.07027=""),"-",(92.64615-7.07027)/2676462.27457*100)</f>
        <v>3.1973505030534616E-3</v>
      </c>
    </row>
    <row r="109" spans="1:7" x14ac:dyDescent="0.25">
      <c r="A109" s="75" t="s">
        <v>351</v>
      </c>
      <c r="B109" s="74">
        <v>87.198490000000007</v>
      </c>
      <c r="C109" s="28" t="s">
        <v>100</v>
      </c>
      <c r="D109" s="28">
        <f>IF(53.24863="","-",53.24863/2676462.27457*100)</f>
        <v>1.9895154325892716E-3</v>
      </c>
      <c r="E109" s="28">
        <f>IF(87.19849="","-",87.19849/3581025.78176*100)</f>
        <v>2.4350143035592377E-3</v>
      </c>
      <c r="F109" s="28">
        <f>IF(OR(1980077.64559="",39.97371="",53.24863=""),"-",(53.24863-39.97371)/1980077.64559*100)</f>
        <v>6.7042421440218316E-4</v>
      </c>
      <c r="G109" s="28">
        <f>IF(OR(2676462.27457="",87.19849="",53.24863=""),"-",(87.19849-53.24863)/2676462.27457*100)</f>
        <v>1.2684602477893842E-3</v>
      </c>
    </row>
    <row r="110" spans="1:7" x14ac:dyDescent="0.25">
      <c r="A110" s="75" t="s">
        <v>336</v>
      </c>
      <c r="B110" s="74">
        <v>82.010180000000005</v>
      </c>
      <c r="C110" s="28">
        <f>IF(OR(73.69908="",82.01018=""),"-",82.01018/73.69908*100)</f>
        <v>111.27707428640903</v>
      </c>
      <c r="D110" s="28">
        <f>IF(73.69908="","-",73.69908/2676462.27457*100)</f>
        <v>2.7536005532467476E-3</v>
      </c>
      <c r="E110" s="28">
        <f>IF(82.01018="","-",82.01018/3581025.78176*100)</f>
        <v>2.2901309568258317E-3</v>
      </c>
      <c r="F110" s="28">
        <f>IF(OR(1980077.64559="",49.35694="",73.69908=""),"-",(73.69908-49.35694)/1980077.64559*100)</f>
        <v>1.2293528010992119E-3</v>
      </c>
      <c r="G110" s="28">
        <f>IF(OR(2676462.27457="",82.01018="",73.69908=""),"-",(82.01018-73.69908)/2676462.27457*100)</f>
        <v>3.1052557994060538E-4</v>
      </c>
    </row>
    <row r="111" spans="1:7" x14ac:dyDescent="0.25">
      <c r="A111" s="66" t="s">
        <v>126</v>
      </c>
      <c r="B111" s="17">
        <v>79.776600000000002</v>
      </c>
      <c r="C111" s="28">
        <f>IF(OR(199.42235="",79.7766=""),"-",79.7766/199.42235*100)</f>
        <v>40.003841094039863</v>
      </c>
      <c r="D111" s="28">
        <f>IF(199.42235="","-",199.42235/2676462.27457*100)</f>
        <v>7.450968089286413E-3</v>
      </c>
      <c r="E111" s="28">
        <f>IF(79.7766="","-",79.7766/3581025.78176*100)</f>
        <v>2.2277583257384829E-3</v>
      </c>
      <c r="F111" s="28">
        <f>IF(OR(1980077.64559="",65.73616="",199.42235=""),"-",(199.42235-65.73616)/1980077.64559*100)</f>
        <v>6.7515630156092079E-3</v>
      </c>
      <c r="G111" s="28">
        <f>IF(OR(2676462.27457="",79.7766="",199.42235=""),"-",(79.7766-199.42235)/2676462.27457*100)</f>
        <v>-4.470294654880658E-3</v>
      </c>
    </row>
    <row r="112" spans="1:7" x14ac:dyDescent="0.25">
      <c r="A112" s="75" t="s">
        <v>332</v>
      </c>
      <c r="B112" s="74">
        <v>79.249139999999997</v>
      </c>
      <c r="C112" s="28" t="s">
        <v>286</v>
      </c>
      <c r="D112" s="28">
        <f>IF(29.76153="","-",29.76153/2676462.27457*100)</f>
        <v>1.1119727067620067E-3</v>
      </c>
      <c r="E112" s="28">
        <f>IF(79.24914="","-",79.24914/3581025.78176*100)</f>
        <v>2.2130290265894338E-3</v>
      </c>
      <c r="F112" s="28">
        <f>IF(OR(1980077.64559="",82.95822="",29.76153=""),"-",(29.76153-82.95822)/1980077.64559*100)</f>
        <v>-2.6865961604323387E-3</v>
      </c>
      <c r="G112" s="28">
        <f>IF(OR(2676462.27457="",79.24914="",29.76153=""),"-",(79.24914-29.76153)/2676462.27457*100)</f>
        <v>1.8489933697253651E-3</v>
      </c>
    </row>
    <row r="113" spans="1:7" x14ac:dyDescent="0.25">
      <c r="A113" s="89" t="s">
        <v>298</v>
      </c>
      <c r="B113" s="77">
        <v>76.053309999999996</v>
      </c>
      <c r="C113" s="29" t="s">
        <v>392</v>
      </c>
      <c r="D113" s="29">
        <f>IF(0.78782="","-",0.78782/2676462.27457*100)</f>
        <v>2.9435124398552228E-5</v>
      </c>
      <c r="E113" s="29">
        <f>IF(76.05331="","-",76.05331/3581025.78176*100)</f>
        <v>2.1237856032028163E-3</v>
      </c>
      <c r="F113" s="29">
        <f>IF(OR(1980077.64559="",0.18638="",0.78782=""),"-",(0.78782-0.18638)/1980077.64559*100)</f>
        <v>3.0374566438822151E-5</v>
      </c>
      <c r="G113" s="29">
        <f>IF(OR(2676462.27457="",76.05331="",0.78782=""),"-",(76.05331-0.78782)/2676462.27457*100)</f>
        <v>2.8121259438297947E-3</v>
      </c>
    </row>
    <row r="114" spans="1:7" x14ac:dyDescent="0.25">
      <c r="A114" s="47" t="s">
        <v>284</v>
      </c>
      <c r="B114" s="90"/>
      <c r="C114" s="90"/>
      <c r="D114" s="90"/>
      <c r="E114" s="90"/>
      <c r="F114" s="7"/>
      <c r="G114" s="7"/>
    </row>
    <row r="115" spans="1:7" x14ac:dyDescent="0.25">
      <c r="A115" s="93" t="s">
        <v>305</v>
      </c>
      <c r="B115" s="93"/>
      <c r="C115" s="93"/>
      <c r="D115" s="93"/>
      <c r="E115" s="93"/>
      <c r="F115" s="7"/>
      <c r="G115" s="7"/>
    </row>
  </sheetData>
  <mergeCells count="10">
    <mergeCell ref="A115:E115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2"/>
  <sheetViews>
    <sheetView workbookViewId="0">
      <selection activeCell="B9" sqref="B9"/>
    </sheetView>
  </sheetViews>
  <sheetFormatPr defaultRowHeight="15.75" x14ac:dyDescent="0.25"/>
  <cols>
    <col min="1" max="1" width="45.375" customWidth="1"/>
    <col min="2" max="2" width="14.625" customWidth="1"/>
    <col min="3" max="3" width="14.125" customWidth="1"/>
    <col min="4" max="4" width="14.875" customWidth="1"/>
  </cols>
  <sheetData>
    <row r="1" spans="1:4" x14ac:dyDescent="0.25">
      <c r="A1" s="107" t="s">
        <v>306</v>
      </c>
      <c r="B1" s="107"/>
      <c r="C1" s="107"/>
      <c r="D1" s="107"/>
    </row>
    <row r="2" spans="1:4" x14ac:dyDescent="0.25">
      <c r="A2" s="4"/>
    </row>
    <row r="3" spans="1:4" ht="21.75" customHeight="1" x14ac:dyDescent="0.25">
      <c r="A3" s="108"/>
      <c r="B3" s="112" t="s">
        <v>369</v>
      </c>
      <c r="C3" s="113"/>
      <c r="D3" s="110" t="s">
        <v>370</v>
      </c>
    </row>
    <row r="4" spans="1:4" ht="31.5" customHeight="1" x14ac:dyDescent="0.25">
      <c r="A4" s="109"/>
      <c r="B4" s="62" t="s">
        <v>319</v>
      </c>
      <c r="C4" s="63" t="s">
        <v>320</v>
      </c>
      <c r="D4" s="111"/>
    </row>
    <row r="5" spans="1:4" ht="16.5" customHeight="1" x14ac:dyDescent="0.25">
      <c r="A5" s="39" t="s">
        <v>203</v>
      </c>
      <c r="B5" s="24">
        <f>IF(-1571770.73359="","-",-1571770.73359)</f>
        <v>-1571770.7335900001</v>
      </c>
      <c r="C5" s="24">
        <f>IF(-1705825.36452="","-",-1705825.36452)</f>
        <v>-1705825.3645200001</v>
      </c>
      <c r="D5" s="132">
        <f>IF(-1571770.73359="","-",-1705825.36452/-1571770.73359*100)</f>
        <v>108.52889216379621</v>
      </c>
    </row>
    <row r="6" spans="1:4" x14ac:dyDescent="0.25">
      <c r="A6" s="40" t="s">
        <v>124</v>
      </c>
      <c r="B6" s="81"/>
      <c r="C6" s="81"/>
      <c r="D6" s="133"/>
    </row>
    <row r="7" spans="1:4" x14ac:dyDescent="0.25">
      <c r="A7" s="25" t="s">
        <v>395</v>
      </c>
      <c r="B7" s="26">
        <f>IF(-546085.12137="","-",-546085.12137)</f>
        <v>-546085.12136999995</v>
      </c>
      <c r="C7" s="26">
        <f>IF(-401178.40524="","-",-401178.40524)</f>
        <v>-401178.40523999999</v>
      </c>
      <c r="D7" s="134">
        <f>IF(-546085.12137="","-",-401178.40524/-546085.12137*100)</f>
        <v>73.464445292619786</v>
      </c>
    </row>
    <row r="8" spans="1:4" x14ac:dyDescent="0.25">
      <c r="A8" s="27" t="s">
        <v>4</v>
      </c>
      <c r="B8" s="28">
        <f>IF(-112150.92672="","-",-112150.92672)</f>
        <v>-112150.92672</v>
      </c>
      <c r="C8" s="28">
        <f>IF(-132465.54516="","-",-132465.54516)</f>
        <v>-132465.54516000001</v>
      </c>
      <c r="D8" s="135">
        <f>IF(OR(-112150.92672="",-132465.54516="",-112150.92672=0),"-",-132465.54516/-112150.92672*100)</f>
        <v>118.11364295786713</v>
      </c>
    </row>
    <row r="9" spans="1:4" x14ac:dyDescent="0.25">
      <c r="A9" s="27" t="s">
        <v>307</v>
      </c>
      <c r="B9" s="28">
        <f>IF(-59829.11788="","-",-59829.11788)</f>
        <v>-59829.117879999998</v>
      </c>
      <c r="C9" s="28">
        <f>IF(-70206.85032="","-",-70206.85032)</f>
        <v>-70206.850319999998</v>
      </c>
      <c r="D9" s="135">
        <f>IF(OR(-59829.11788="",-70206.85032="",-59829.11788=0),"-",-70206.85032/-59829.11788*100)</f>
        <v>117.34562167674734</v>
      </c>
    </row>
    <row r="10" spans="1:4" x14ac:dyDescent="0.25">
      <c r="A10" s="27" t="s">
        <v>5</v>
      </c>
      <c r="B10" s="28">
        <f>IF(-60546.92893="","-",-60546.92893)</f>
        <v>-60546.928930000002</v>
      </c>
      <c r="C10" s="28">
        <f>IF(-63428.19038="","-",-63428.19038)</f>
        <v>-63428.19038</v>
      </c>
      <c r="D10" s="135">
        <f>IF(OR(-60546.92893="",-63428.19038="",-60546.92893=0),"-",-63428.19038/-60546.92893*100)</f>
        <v>104.75872434972071</v>
      </c>
    </row>
    <row r="11" spans="1:4" x14ac:dyDescent="0.25">
      <c r="A11" s="27" t="s">
        <v>40</v>
      </c>
      <c r="B11" s="28">
        <f>IF(-37394.15522="","-",-37394.15522)</f>
        <v>-37394.155220000001</v>
      </c>
      <c r="C11" s="28">
        <f>IF(-56623.84197="","-",-56623.84197)</f>
        <v>-56623.841970000001</v>
      </c>
      <c r="D11" s="135">
        <f>IF(OR(-37394.15522="",-56623.84197="",-37394.15522=0),"-",-56623.84197/-37394.15522*100)</f>
        <v>151.42431119747596</v>
      </c>
    </row>
    <row r="12" spans="1:4" x14ac:dyDescent="0.25">
      <c r="A12" s="27" t="s">
        <v>38</v>
      </c>
      <c r="B12" s="28">
        <f>IF(-21269.88496="","-",-21269.88496)</f>
        <v>-21269.884959999999</v>
      </c>
      <c r="C12" s="28">
        <f>IF(-32747.14724="","-",-32747.14724)</f>
        <v>-32747.147239999998</v>
      </c>
      <c r="D12" s="135">
        <f>IF(OR(-21269.88496="",-32747.14724="",-21269.88496=0),"-",-32747.14724/-21269.88496*100)</f>
        <v>153.96015211922423</v>
      </c>
    </row>
    <row r="13" spans="1:4" x14ac:dyDescent="0.25">
      <c r="A13" s="27" t="s">
        <v>7</v>
      </c>
      <c r="B13" s="28">
        <f>IF(-29914.68057="","-",-29914.68057)</f>
        <v>-29914.68057</v>
      </c>
      <c r="C13" s="28">
        <f>IF(-24910.16848="","-",-24910.16848)</f>
        <v>-24910.16848</v>
      </c>
      <c r="D13" s="135">
        <f>IF(OR(-29914.68057="",-24910.16848="",-29914.68057=0),"-",-24910.16848/-29914.68057*100)</f>
        <v>83.270715265404547</v>
      </c>
    </row>
    <row r="14" spans="1:4" x14ac:dyDescent="0.25">
      <c r="A14" s="27" t="s">
        <v>42</v>
      </c>
      <c r="B14" s="28">
        <f>IF(-8804.3531="","-",-8804.3531)</f>
        <v>-8804.3531000000003</v>
      </c>
      <c r="C14" s="28">
        <f>IF(-16087.34141="","-",-16087.34141)</f>
        <v>-16087.341410000001</v>
      </c>
      <c r="D14" s="135" t="s">
        <v>198</v>
      </c>
    </row>
    <row r="15" spans="1:4" x14ac:dyDescent="0.25">
      <c r="A15" s="27" t="s">
        <v>3</v>
      </c>
      <c r="B15" s="28">
        <f>IF(-100927.43978="","-",-100927.43978)</f>
        <v>-100927.43978</v>
      </c>
      <c r="C15" s="28">
        <f>IF(-14288.08706="","-",-14288.08706)</f>
        <v>-14288.08706</v>
      </c>
      <c r="D15" s="135">
        <f>IF(OR(-100927.43978="",-14288.08706="",-100927.43978=0),"-",-14288.08706/-100927.43978*100)</f>
        <v>14.156791345490324</v>
      </c>
    </row>
    <row r="16" spans="1:4" x14ac:dyDescent="0.25">
      <c r="A16" s="27" t="s">
        <v>48</v>
      </c>
      <c r="B16" s="28">
        <f>IF(-10393.64771="","-",-10393.64771)</f>
        <v>-10393.647709999999</v>
      </c>
      <c r="C16" s="28">
        <f>IF(-13257.3308="","-",-13257.3308)</f>
        <v>-13257.3308</v>
      </c>
      <c r="D16" s="135">
        <f>IF(OR(-10393.64771="",-13257.3308="",-10393.64771=0),"-",-13257.3308/-10393.64771*100)</f>
        <v>127.5522431575661</v>
      </c>
    </row>
    <row r="17" spans="1:4" x14ac:dyDescent="0.25">
      <c r="A17" s="27" t="s">
        <v>321</v>
      </c>
      <c r="B17" s="28">
        <f>IF(-12475.59635="","-",-12475.59635)</f>
        <v>-12475.59635</v>
      </c>
      <c r="C17" s="28">
        <f>IF(-12389.74446="","-",-12389.74446)</f>
        <v>-12389.74446</v>
      </c>
      <c r="D17" s="135">
        <f>IF(OR(-12475.59635="",-12389.74446="",-12475.59635=0),"-",-12389.74446/-12475.59635*100)</f>
        <v>99.311841393457712</v>
      </c>
    </row>
    <row r="18" spans="1:4" x14ac:dyDescent="0.25">
      <c r="A18" s="27" t="s">
        <v>39</v>
      </c>
      <c r="B18" s="28">
        <f>IF(-9812.8677="","-",-9812.8677)</f>
        <v>-9812.8677000000007</v>
      </c>
      <c r="C18" s="28">
        <f>IF(-12180.0972="","-",-12180.0972)</f>
        <v>-12180.0972</v>
      </c>
      <c r="D18" s="135">
        <f>IF(OR(-9812.8677="",-12180.0972="",-9812.8677=0),"-",-12180.0972/-9812.8677*100)</f>
        <v>124.12372786805226</v>
      </c>
    </row>
    <row r="19" spans="1:4" x14ac:dyDescent="0.25">
      <c r="A19" s="27" t="s">
        <v>50</v>
      </c>
      <c r="B19" s="28">
        <f>IF(-12463.66559="","-",-12463.66559)</f>
        <v>-12463.665590000001</v>
      </c>
      <c r="C19" s="28">
        <f>IF(-11808.22397="","-",-11808.22397)</f>
        <v>-11808.223969999999</v>
      </c>
      <c r="D19" s="135">
        <f>IF(OR(-12463.66559="",-11808.22397="",-12463.66559=0),"-",-11808.22397/-12463.66559*100)</f>
        <v>94.741180953010456</v>
      </c>
    </row>
    <row r="20" spans="1:4" x14ac:dyDescent="0.25">
      <c r="A20" s="27" t="s">
        <v>46</v>
      </c>
      <c r="B20" s="28">
        <f>IF(-6095.52456="","-",-6095.52456)</f>
        <v>-6095.5245599999998</v>
      </c>
      <c r="C20" s="28">
        <f>IF(-8232.55479="","-",-8232.55479)</f>
        <v>-8232.5547900000001</v>
      </c>
      <c r="D20" s="135">
        <f>IF(OR(-6095.52456="",-8232.55479="",-6095.52456=0),"-",-8232.55479/-6095.52456*100)</f>
        <v>135.05900450346147</v>
      </c>
    </row>
    <row r="21" spans="1:4" x14ac:dyDescent="0.25">
      <c r="A21" s="27" t="s">
        <v>47</v>
      </c>
      <c r="B21" s="28">
        <f>IF(-4347.01819="","-",-4347.01819)</f>
        <v>-4347.0181899999998</v>
      </c>
      <c r="C21" s="28">
        <f>IF(-7635.54021="","-",-7635.54021)</f>
        <v>-7635.5402100000001</v>
      </c>
      <c r="D21" s="135" t="s">
        <v>198</v>
      </c>
    </row>
    <row r="22" spans="1:4" x14ac:dyDescent="0.25">
      <c r="A22" s="27" t="s">
        <v>43</v>
      </c>
      <c r="B22" s="28">
        <f>IF(-4395.38479="","-",-4395.38479)</f>
        <v>-4395.3847900000001</v>
      </c>
      <c r="C22" s="28">
        <f>IF(-5523.69256="","-",-5523.69256)</f>
        <v>-5523.6925600000004</v>
      </c>
      <c r="D22" s="135">
        <f>IF(OR(-4395.38479="",-5523.69256="",-4395.38479=0),"-",-5523.69256/-4395.38479*100)</f>
        <v>125.67028426196107</v>
      </c>
    </row>
    <row r="23" spans="1:4" x14ac:dyDescent="0.25">
      <c r="A23" s="27" t="s">
        <v>51</v>
      </c>
      <c r="B23" s="28">
        <f>IF(-2600.76623="","-",-2600.76623)</f>
        <v>-2600.7662300000002</v>
      </c>
      <c r="C23" s="28">
        <f>IF(-3687.65491="","-",-3687.65491)</f>
        <v>-3687.6549100000002</v>
      </c>
      <c r="D23" s="135">
        <f>IF(OR(-2600.76623="",-3687.65491="",-2600.76623=0),"-",-3687.65491/-2600.76623*100)</f>
        <v>141.79109477286622</v>
      </c>
    </row>
    <row r="24" spans="1:4" x14ac:dyDescent="0.25">
      <c r="A24" s="27" t="s">
        <v>41</v>
      </c>
      <c r="B24" s="28">
        <f>IF(-998.37417="","-",-998.37417)</f>
        <v>-998.37417000000005</v>
      </c>
      <c r="C24" s="28">
        <f>IF(-3104.02609="","-",-3104.02609)</f>
        <v>-3104.0260899999998</v>
      </c>
      <c r="D24" s="135" t="s">
        <v>359</v>
      </c>
    </row>
    <row r="25" spans="1:4" x14ac:dyDescent="0.25">
      <c r="A25" s="27" t="s">
        <v>308</v>
      </c>
      <c r="B25" s="28">
        <f>IF(-2907.64992="","-",-2907.64992)</f>
        <v>-2907.6499199999998</v>
      </c>
      <c r="C25" s="28">
        <f>IF(-2751.47872="","-",-2751.47872)</f>
        <v>-2751.4787200000001</v>
      </c>
      <c r="D25" s="135">
        <f>IF(OR(-2907.64992="",-2751.47872="",-2907.64992=0),"-",-2751.47872/-2907.64992*100)</f>
        <v>94.628954506325172</v>
      </c>
    </row>
    <row r="26" spans="1:4" x14ac:dyDescent="0.25">
      <c r="A26" s="27" t="s">
        <v>52</v>
      </c>
      <c r="B26" s="28">
        <f>IF(-1204.94202="","-",-1204.94202)</f>
        <v>-1204.94202</v>
      </c>
      <c r="C26" s="28">
        <f>IF(-1178.50234="","-",-1178.50234)</f>
        <v>-1178.50234</v>
      </c>
      <c r="D26" s="135">
        <f>IF(OR(-1204.94202="",-1178.50234="",-1204.94202=0),"-",-1178.50234/-1204.94202*100)</f>
        <v>97.805730104756421</v>
      </c>
    </row>
    <row r="27" spans="1:4" x14ac:dyDescent="0.25">
      <c r="A27" s="27" t="s">
        <v>44</v>
      </c>
      <c r="B27" s="28">
        <f>IF(-1371.69564="","-",-1371.69564)</f>
        <v>-1371.6956399999999</v>
      </c>
      <c r="C27" s="28">
        <f>IF(-389.99299="","-",-389.99299)</f>
        <v>-389.99299000000002</v>
      </c>
      <c r="D27" s="135">
        <f>IF(OR(-1371.69564="",-389.99299="",-1371.69564=0),"-",-389.99299/-1371.69564*100)</f>
        <v>28.431452184246943</v>
      </c>
    </row>
    <row r="28" spans="1:4" x14ac:dyDescent="0.25">
      <c r="A28" s="27" t="s">
        <v>349</v>
      </c>
      <c r="B28" s="28">
        <f>IF(-16.82952="","-",-16.82952)</f>
        <v>-16.829519999999999</v>
      </c>
      <c r="C28" s="28">
        <f>IF(-75.58454="","-",-75.58454)</f>
        <v>-75.584540000000004</v>
      </c>
      <c r="D28" s="135" t="s">
        <v>334</v>
      </c>
    </row>
    <row r="29" spans="1:4" x14ac:dyDescent="0.25">
      <c r="A29" s="27" t="s">
        <v>53</v>
      </c>
      <c r="B29" s="28">
        <f>IF(-62.88042="","-",-62.88042)</f>
        <v>-62.880420000000001</v>
      </c>
      <c r="C29" s="28">
        <f>IF(-24.66421="","-",-24.66421)</f>
        <v>-24.664210000000001</v>
      </c>
      <c r="D29" s="135">
        <f>IF(OR(-62.88042="",-24.66421="",-62.88042=0),"-",-24.66421/-62.88042*100)</f>
        <v>39.223990552225956</v>
      </c>
    </row>
    <row r="30" spans="1:4" x14ac:dyDescent="0.25">
      <c r="A30" s="27" t="s">
        <v>49</v>
      </c>
      <c r="B30" s="28">
        <f>IF(4380.88877="","-",4380.88877)</f>
        <v>4380.8887699999996</v>
      </c>
      <c r="C30" s="28">
        <f>IF(2211.20512="","-",2211.20512)</f>
        <v>2211.2051200000001</v>
      </c>
      <c r="D30" s="135">
        <f>IF(OR(4380.88877="",2211.20512="",4380.88877=0),"-",2211.20512/4380.88877*100)</f>
        <v>50.473893223269407</v>
      </c>
    </row>
    <row r="31" spans="1:4" x14ac:dyDescent="0.25">
      <c r="A31" s="27" t="s">
        <v>8</v>
      </c>
      <c r="B31" s="28">
        <f>IF(658.9132="","-",658.9132)</f>
        <v>658.91319999999996</v>
      </c>
      <c r="C31" s="28">
        <f>IF(2944.53733="","-",2944.53733)</f>
        <v>2944.5373300000001</v>
      </c>
      <c r="D31" s="135" t="s">
        <v>334</v>
      </c>
    </row>
    <row r="32" spans="1:4" x14ac:dyDescent="0.25">
      <c r="A32" s="27" t="s">
        <v>373</v>
      </c>
      <c r="B32" s="28">
        <f>IF(-11968.22151="","-",-11968.22151)</f>
        <v>-11968.221509999999</v>
      </c>
      <c r="C32" s="28">
        <f>IF(4043.77773="","-",4043.77773)</f>
        <v>4043.7777299999998</v>
      </c>
      <c r="D32" s="135" t="s">
        <v>20</v>
      </c>
    </row>
    <row r="33" spans="1:4" x14ac:dyDescent="0.25">
      <c r="A33" s="27" t="s">
        <v>45</v>
      </c>
      <c r="B33" s="28">
        <f>IF(3192.90502="","-",3192.90502)</f>
        <v>3192.9050200000001</v>
      </c>
      <c r="C33" s="28">
        <f>IF(10944.22192="","-",10944.22192)</f>
        <v>10944.22192</v>
      </c>
      <c r="D33" s="135" t="s">
        <v>343</v>
      </c>
    </row>
    <row r="34" spans="1:4" x14ac:dyDescent="0.25">
      <c r="A34" s="27" t="s">
        <v>2</v>
      </c>
      <c r="B34" s="28">
        <f>IF(-26777.43855="","-",-26777.43855)</f>
        <v>-26777.438549999999</v>
      </c>
      <c r="C34" s="28">
        <f>IF(35322.48543="","-",35322.48543)</f>
        <v>35322.485430000001</v>
      </c>
      <c r="D34" s="135" t="s">
        <v>20</v>
      </c>
    </row>
    <row r="35" spans="1:4" x14ac:dyDescent="0.25">
      <c r="A35" s="27" t="s">
        <v>6</v>
      </c>
      <c r="B35" s="28">
        <f>IF(-15587.83833="","-",-15587.83833)</f>
        <v>-15587.83833</v>
      </c>
      <c r="C35" s="28">
        <f>IF(36351.62704="","-",36351.62704)</f>
        <v>36351.627039999999</v>
      </c>
      <c r="D35" s="135" t="s">
        <v>20</v>
      </c>
    </row>
    <row r="36" spans="1:4" x14ac:dyDescent="0.25">
      <c r="A36" s="25" t="s">
        <v>199</v>
      </c>
      <c r="B36" s="26">
        <f>IF(-438830.57954="","-",-438830.57954)</f>
        <v>-438830.57954000001</v>
      </c>
      <c r="C36" s="26">
        <f>IF(-718321.24711="","-",-718321.24711)</f>
        <v>-718321.24711</v>
      </c>
      <c r="D36" s="134" t="s">
        <v>100</v>
      </c>
    </row>
    <row r="37" spans="1:4" x14ac:dyDescent="0.25">
      <c r="A37" s="27" t="s">
        <v>309</v>
      </c>
      <c r="B37" s="28">
        <f>IF(-212640.61501="","-",-212640.61501)</f>
        <v>-212640.61501000001</v>
      </c>
      <c r="C37" s="28">
        <f>IF(-520474.55647="","-",-520474.55647)</f>
        <v>-520474.55647000001</v>
      </c>
      <c r="D37" s="135" t="s">
        <v>287</v>
      </c>
    </row>
    <row r="38" spans="1:4" x14ac:dyDescent="0.25">
      <c r="A38" s="27" t="s">
        <v>10</v>
      </c>
      <c r="B38" s="28">
        <f>IF(-203862.99159="","-",-203862.99159)</f>
        <v>-203862.99158999999</v>
      </c>
      <c r="C38" s="28">
        <f>IF(-153774.74893="","-",-153774.74893)</f>
        <v>-153774.74893</v>
      </c>
      <c r="D38" s="135">
        <f>IF(OR(-203862.99159="",-153774.74893="",-203862.99159=0),"-",-153774.74893/-203862.99159*100)</f>
        <v>75.430438713106312</v>
      </c>
    </row>
    <row r="39" spans="1:4" x14ac:dyDescent="0.25">
      <c r="A39" s="27" t="s">
        <v>9</v>
      </c>
      <c r="B39" s="28">
        <f>IF(-20587.80467="","-",-20587.80467)</f>
        <v>-20587.804670000001</v>
      </c>
      <c r="C39" s="28">
        <f>IF(-22278.66061="","-",-22278.66061)</f>
        <v>-22278.660609999999</v>
      </c>
      <c r="D39" s="135">
        <f>IF(OR(-20587.80467="",-22278.66061="",-20587.80467=0),"-",-22278.66061/-20587.80467*100)</f>
        <v>108.21290063269285</v>
      </c>
    </row>
    <row r="40" spans="1:4" x14ac:dyDescent="0.25">
      <c r="A40" s="27" t="s">
        <v>12</v>
      </c>
      <c r="B40" s="28">
        <f>IF(378.04471="","-",378.04471)</f>
        <v>378.04471000000001</v>
      </c>
      <c r="C40" s="28">
        <f>IF(-6585.38662="","-",-6585.38662)</f>
        <v>-6585.3866200000002</v>
      </c>
      <c r="D40" s="135" t="s">
        <v>20</v>
      </c>
    </row>
    <row r="41" spans="1:4" x14ac:dyDescent="0.25">
      <c r="A41" s="27" t="s">
        <v>13</v>
      </c>
      <c r="B41" s="28">
        <f>IF(-1978.22489="","-",-1978.22489)</f>
        <v>-1978.22489</v>
      </c>
      <c r="C41" s="28">
        <f>IF(-5506.81416="","-",-5506.81416)</f>
        <v>-5506.8141599999999</v>
      </c>
      <c r="D41" s="135" t="s">
        <v>314</v>
      </c>
    </row>
    <row r="42" spans="1:4" x14ac:dyDescent="0.25">
      <c r="A42" s="27" t="s">
        <v>14</v>
      </c>
      <c r="B42" s="28">
        <f>IF(-243.31636="","-",-243.31636)</f>
        <v>-243.31636</v>
      </c>
      <c r="C42" s="28">
        <f>IF(-4140.45225="","-",-4140.45225)</f>
        <v>-4140.4522500000003</v>
      </c>
      <c r="D42" s="135" t="s">
        <v>345</v>
      </c>
    </row>
    <row r="43" spans="1:4" x14ac:dyDescent="0.25">
      <c r="A43" s="27" t="s">
        <v>11</v>
      </c>
      <c r="B43" s="28">
        <f>IF(-596.8393="","-",-596.8393)</f>
        <v>-596.83929999999998</v>
      </c>
      <c r="C43" s="28">
        <f>IF(-3054.43783="","-",-3054.43783)</f>
        <v>-3054.4378299999998</v>
      </c>
      <c r="D43" s="135" t="s">
        <v>325</v>
      </c>
    </row>
    <row r="44" spans="1:4" x14ac:dyDescent="0.25">
      <c r="A44" s="27" t="s">
        <v>322</v>
      </c>
      <c r="B44" s="28">
        <f>IF(530.3207="","-",530.3207)</f>
        <v>530.32069999999999</v>
      </c>
      <c r="C44" s="28">
        <f>IF(-2538.61697="","-",-2538.61697)</f>
        <v>-2538.61697</v>
      </c>
      <c r="D44" s="135" t="s">
        <v>20</v>
      </c>
    </row>
    <row r="45" spans="1:4" x14ac:dyDescent="0.25">
      <c r="A45" s="27" t="s">
        <v>15</v>
      </c>
      <c r="B45" s="28">
        <f>IF(48.50586="","-",48.50586)</f>
        <v>48.505859999999998</v>
      </c>
      <c r="C45" s="28">
        <f>IF(-9.2223="","-",-9.2223)</f>
        <v>-9.2223000000000006</v>
      </c>
      <c r="D45" s="135" t="s">
        <v>20</v>
      </c>
    </row>
    <row r="46" spans="1:4" x14ac:dyDescent="0.25">
      <c r="A46" s="27" t="s">
        <v>16</v>
      </c>
      <c r="B46" s="28">
        <f>IF(122.34101="","-",122.34101)</f>
        <v>122.34101</v>
      </c>
      <c r="C46" s="28">
        <f>IF(41.64903="","-",41.64903)</f>
        <v>41.649030000000003</v>
      </c>
      <c r="D46" s="135">
        <f>IF(OR(122.34101="",41.64903="",122.34101=0),"-",41.64903/122.34101*100)</f>
        <v>34.043392317915313</v>
      </c>
    </row>
    <row r="47" spans="1:4" x14ac:dyDescent="0.25">
      <c r="A47" s="25" t="s">
        <v>133</v>
      </c>
      <c r="B47" s="26">
        <f>IF(-586855.03268="","-",-586855.03268)</f>
        <v>-586855.03267999995</v>
      </c>
      <c r="C47" s="26">
        <f>IF(-586325.71217="","-",-586325.71217)</f>
        <v>-586325.71216999996</v>
      </c>
      <c r="D47" s="134">
        <f>IF(-586855.03268="","-",-586325.71217/-586855.03268*100)</f>
        <v>99.909803873099165</v>
      </c>
    </row>
    <row r="48" spans="1:4" x14ac:dyDescent="0.25">
      <c r="A48" s="27" t="s">
        <v>57</v>
      </c>
      <c r="B48" s="28">
        <f>IF(-309390.65398="","-",-309390.65398)</f>
        <v>-309390.65398</v>
      </c>
      <c r="C48" s="28">
        <f>IF(-329263.47878="","-",-329263.47878)</f>
        <v>-329263.47878</v>
      </c>
      <c r="D48" s="135">
        <f>IF(OR(-309390.65398="",-329263.47878="",-309390.65398=0),"-",-329263.47878/-309390.65398*100)</f>
        <v>106.42321432284913</v>
      </c>
    </row>
    <row r="49" spans="1:4" x14ac:dyDescent="0.25">
      <c r="A49" s="27" t="s">
        <v>54</v>
      </c>
      <c r="B49" s="28">
        <f>IF(-91096.77528="","-",-91096.77528)</f>
        <v>-91096.775280000002</v>
      </c>
      <c r="C49" s="28">
        <f>IF(-79181.69431="","-",-79181.69431)</f>
        <v>-79181.694310000006</v>
      </c>
      <c r="D49" s="135">
        <f>IF(OR(-91096.77528="",-79181.69431="",-91096.77528=0),"-",-79181.69431/-91096.77528*100)</f>
        <v>86.920414105354268</v>
      </c>
    </row>
    <row r="50" spans="1:4" x14ac:dyDescent="0.25">
      <c r="A50" s="27" t="s">
        <v>67</v>
      </c>
      <c r="B50" s="28">
        <f>IF(-18829.57803="","-",-18829.57803)</f>
        <v>-18829.578030000001</v>
      </c>
      <c r="C50" s="28">
        <f>IF(-78896.07904="","-",-78896.07904)</f>
        <v>-78896.079039999997</v>
      </c>
      <c r="D50" s="135" t="s">
        <v>294</v>
      </c>
    </row>
    <row r="51" spans="1:4" x14ac:dyDescent="0.25">
      <c r="A51" s="27" t="s">
        <v>17</v>
      </c>
      <c r="B51" s="28">
        <f>IF(-30049.25163="","-",-30049.25163)</f>
        <v>-30049.251629999999</v>
      </c>
      <c r="C51" s="28">
        <f>IF(-42570.8456="","-",-42570.8456)</f>
        <v>-42570.845600000001</v>
      </c>
      <c r="D51" s="135">
        <f>IF(OR(-30049.25163="",-42570.8456="",-30049.25163=0),"-",-42570.8456/-30049.25163*100)</f>
        <v>141.67023566569935</v>
      </c>
    </row>
    <row r="52" spans="1:4" x14ac:dyDescent="0.25">
      <c r="A52" s="27" t="s">
        <v>34</v>
      </c>
      <c r="B52" s="28">
        <f>IF(-17653.3318="","-",-17653.3318)</f>
        <v>-17653.3318</v>
      </c>
      <c r="C52" s="28">
        <f>IF(-24694.59429="","-",-24694.59429)</f>
        <v>-24694.594290000001</v>
      </c>
      <c r="D52" s="135">
        <f>IF(OR(-17653.3318="",-24694.59429="",-17653.3318=0),"-",-24694.59429/-17653.3318*100)</f>
        <v>139.88630911021568</v>
      </c>
    </row>
    <row r="53" spans="1:4" x14ac:dyDescent="0.25">
      <c r="A53" s="27" t="s">
        <v>73</v>
      </c>
      <c r="B53" s="28">
        <f>IF(-24865.2925="","-",-24865.2925)</f>
        <v>-24865.2925</v>
      </c>
      <c r="C53" s="28">
        <f>IF(-20941.35725="","-",-20941.35725)</f>
        <v>-20941.357250000001</v>
      </c>
      <c r="D53" s="135">
        <f>IF(OR(-24865.2925="",-20941.35725="",-24865.2925=0),"-",-20941.35725/-24865.2925*100)</f>
        <v>84.219227463340729</v>
      </c>
    </row>
    <row r="54" spans="1:4" x14ac:dyDescent="0.25">
      <c r="A54" s="27" t="s">
        <v>69</v>
      </c>
      <c r="B54" s="28">
        <f>IF(-20046.79004="","-",-20046.79004)</f>
        <v>-20046.79004</v>
      </c>
      <c r="C54" s="28">
        <f>IF(-14340.06166="","-",-14340.06166)</f>
        <v>-14340.061659999999</v>
      </c>
      <c r="D54" s="135">
        <f>IF(OR(-20046.79004="",-14340.06166="",-20046.79004=0),"-",-14340.06166/-20046.79004*100)</f>
        <v>71.532956804489984</v>
      </c>
    </row>
    <row r="55" spans="1:4" x14ac:dyDescent="0.25">
      <c r="A55" s="27" t="s">
        <v>76</v>
      </c>
      <c r="B55" s="28">
        <f>IF(-10651.21672="","-",-10651.21672)</f>
        <v>-10651.21672</v>
      </c>
      <c r="C55" s="28">
        <f>IF(-9991.09359="","-",-9991.09359)</f>
        <v>-9991.0935900000004</v>
      </c>
      <c r="D55" s="135">
        <f>IF(OR(-10651.21672="",-9991.09359="",-10651.21672=0),"-",-9991.09359/-10651.21672*100)</f>
        <v>93.802368805805315</v>
      </c>
    </row>
    <row r="56" spans="1:4" x14ac:dyDescent="0.25">
      <c r="A56" s="27" t="s">
        <v>64</v>
      </c>
      <c r="B56" s="28">
        <f>IF(-7528.19138="","-",-7528.19138)</f>
        <v>-7528.1913800000002</v>
      </c>
      <c r="C56" s="28">
        <f>IF(-9636.26922="","-",-9636.26922)</f>
        <v>-9636.2692200000001</v>
      </c>
      <c r="D56" s="135">
        <f>IF(OR(-7528.19138="",-9636.26922="",-7528.19138=0),"-",-9636.26922/-7528.19138*100)</f>
        <v>128.00244751482396</v>
      </c>
    </row>
    <row r="57" spans="1:4" x14ac:dyDescent="0.25">
      <c r="A57" s="27" t="s">
        <v>324</v>
      </c>
      <c r="B57" s="28">
        <f>IF(-8054.41021="","-",-8054.41021)</f>
        <v>-8054.41021</v>
      </c>
      <c r="C57" s="28">
        <f>IF(-8048.19343="","-",-8048.19343)</f>
        <v>-8048.1934300000003</v>
      </c>
      <c r="D57" s="135">
        <f>IF(OR(-8054.41021="",-8048.19343="",-8054.41021=0),"-",-8048.19343/-8054.41021*100)</f>
        <v>99.922815205112343</v>
      </c>
    </row>
    <row r="58" spans="1:4" x14ac:dyDescent="0.25">
      <c r="A58" s="27" t="s">
        <v>71</v>
      </c>
      <c r="B58" s="28">
        <f>IF(-4602.54788="","-",-4602.54788)</f>
        <v>-4602.5478800000001</v>
      </c>
      <c r="C58" s="28">
        <f>IF(-7933.63284="","-",-7933.63284)</f>
        <v>-7933.6328400000002</v>
      </c>
      <c r="D58" s="135" t="s">
        <v>99</v>
      </c>
    </row>
    <row r="59" spans="1:4" x14ac:dyDescent="0.25">
      <c r="A59" s="27" t="s">
        <v>60</v>
      </c>
      <c r="B59" s="28">
        <f>IF(-1298.47543="","-",-1298.47543)</f>
        <v>-1298.47543</v>
      </c>
      <c r="C59" s="28">
        <f>IF(-5904.76635="","-",-5904.76635)</f>
        <v>-5904.7663499999999</v>
      </c>
      <c r="D59" s="135" t="s">
        <v>334</v>
      </c>
    </row>
    <row r="60" spans="1:4" x14ac:dyDescent="0.25">
      <c r="A60" s="27" t="s">
        <v>75</v>
      </c>
      <c r="B60" s="28">
        <f>IF(-5536.1616="","-",-5536.1616)</f>
        <v>-5536.1616000000004</v>
      </c>
      <c r="C60" s="28">
        <f>IF(-5770.6972="","-",-5770.6972)</f>
        <v>-5770.6971999999996</v>
      </c>
      <c r="D60" s="135">
        <f>IF(OR(-5536.1616="",-5770.6972="",-5536.1616=0),"-",-5770.6972/-5536.1616*100)</f>
        <v>104.23642980363867</v>
      </c>
    </row>
    <row r="61" spans="1:4" x14ac:dyDescent="0.25">
      <c r="A61" s="27" t="s">
        <v>79</v>
      </c>
      <c r="B61" s="28">
        <f>IF(-4801.95294="","-",-4801.95294)</f>
        <v>-4801.9529400000001</v>
      </c>
      <c r="C61" s="28">
        <f>IF(-5397.13241="","-",-5397.13241)</f>
        <v>-5397.1324100000002</v>
      </c>
      <c r="D61" s="135">
        <f>IF(OR(-4801.95294="",-5397.13241="",-4801.95294=0),"-",-5397.13241/-4801.95294*100)</f>
        <v>112.39452942243953</v>
      </c>
    </row>
    <row r="62" spans="1:4" x14ac:dyDescent="0.25">
      <c r="A62" s="27" t="s">
        <v>68</v>
      </c>
      <c r="B62" s="28">
        <f>IF(-5225.33438="","-",-5225.33438)</f>
        <v>-5225.3343800000002</v>
      </c>
      <c r="C62" s="28">
        <f>IF(-5354.69805="","-",-5354.69805)</f>
        <v>-5354.69805</v>
      </c>
      <c r="D62" s="135">
        <f>IF(OR(-5225.33438="",-5354.69805="",-5225.33438=0),"-",-5354.69805/-5225.33438*100)</f>
        <v>102.47570127751327</v>
      </c>
    </row>
    <row r="63" spans="1:4" x14ac:dyDescent="0.25">
      <c r="A63" s="27" t="s">
        <v>80</v>
      </c>
      <c r="B63" s="28">
        <f>IF(-3237.8482="","-",-3237.8482)</f>
        <v>-3237.8481999999999</v>
      </c>
      <c r="C63" s="28">
        <f>IF(-4405.38284="","-",-4405.38284)</f>
        <v>-4405.3828400000002</v>
      </c>
      <c r="D63" s="135">
        <f>IF(OR(-3237.8482="",-4405.38284="",-3237.8482=0),"-",-4405.38284/-3237.8482*100)</f>
        <v>136.05896780460554</v>
      </c>
    </row>
    <row r="64" spans="1:4" x14ac:dyDescent="0.25">
      <c r="A64" s="27" t="s">
        <v>59</v>
      </c>
      <c r="B64" s="28">
        <f>IF(-6049.1172="","-",-6049.1172)</f>
        <v>-6049.1171999999997</v>
      </c>
      <c r="C64" s="28">
        <f>IF(-4344.03221="","-",-4344.03221)</f>
        <v>-4344.0322100000003</v>
      </c>
      <c r="D64" s="135">
        <f>IF(OR(-6049.1172="",-4344.03221="",-6049.1172=0),"-",-4344.03221/-6049.1172*100)</f>
        <v>71.812664003269774</v>
      </c>
    </row>
    <row r="65" spans="1:4" x14ac:dyDescent="0.25">
      <c r="A65" s="27" t="s">
        <v>63</v>
      </c>
      <c r="B65" s="28">
        <f>IF(-2729.48394="","-",-2729.48394)</f>
        <v>-2729.4839400000001</v>
      </c>
      <c r="C65" s="28">
        <f>IF(-3263.37418="","-",-3263.37418)</f>
        <v>-3263.3741799999998</v>
      </c>
      <c r="D65" s="135">
        <f>IF(OR(-2729.48394="",-3263.37418="",-2729.48394=0),"-",-3263.37418/-2729.48394*100)</f>
        <v>119.56011655448684</v>
      </c>
    </row>
    <row r="66" spans="1:4" x14ac:dyDescent="0.25">
      <c r="A66" s="27" t="s">
        <v>81</v>
      </c>
      <c r="B66" s="28">
        <f>IF(-2935.7147="","-",-2935.7147)</f>
        <v>-2935.7147</v>
      </c>
      <c r="C66" s="28">
        <f>IF(-2376.30041="","-",-2376.30041)</f>
        <v>-2376.3004099999998</v>
      </c>
      <c r="D66" s="135">
        <f>IF(OR(-2935.7147="",-2376.30041="",-2935.7147=0),"-",-2376.30041/-2935.7147*100)</f>
        <v>80.944528090553206</v>
      </c>
    </row>
    <row r="67" spans="1:4" x14ac:dyDescent="0.25">
      <c r="A67" s="27" t="s">
        <v>77</v>
      </c>
      <c r="B67" s="28">
        <f>IF(-1600.01423="","-",-1600.01423)</f>
        <v>-1600.01423</v>
      </c>
      <c r="C67" s="28">
        <f>IF(-2295.47223="","-",-2295.47223)</f>
        <v>-2295.4722299999999</v>
      </c>
      <c r="D67" s="135">
        <f>IF(OR(-1600.01423="",-2295.47223="",-1600.01423=0),"-",-2295.47223/-1600.01423*100)</f>
        <v>143.46573842658884</v>
      </c>
    </row>
    <row r="68" spans="1:4" x14ac:dyDescent="0.25">
      <c r="A68" s="27" t="s">
        <v>72</v>
      </c>
      <c r="B68" s="28">
        <f>IF(-1410.34636="","-",-1410.34636)</f>
        <v>-1410.34636</v>
      </c>
      <c r="C68" s="28">
        <f>IF(-1936.30664="","-",-1936.30664)</f>
        <v>-1936.30664</v>
      </c>
      <c r="D68" s="135">
        <f>IF(OR(-1410.34636="",-1936.30664="",-1410.34636=0),"-",-1936.30664/-1410.34636*100)</f>
        <v>137.29298666747366</v>
      </c>
    </row>
    <row r="69" spans="1:4" x14ac:dyDescent="0.25">
      <c r="A69" s="27" t="s">
        <v>82</v>
      </c>
      <c r="B69" s="28">
        <f>IF(-3058.74206="","-",-3058.74206)</f>
        <v>-3058.74206</v>
      </c>
      <c r="C69" s="28">
        <f>IF(-1628.33386="","-",-1628.33386)</f>
        <v>-1628.33386</v>
      </c>
      <c r="D69" s="135">
        <f>IF(OR(-3058.74206="",-1628.33386="",-3058.74206=0),"-",-1628.33386/-3058.74206*100)</f>
        <v>53.235409461103757</v>
      </c>
    </row>
    <row r="70" spans="1:4" x14ac:dyDescent="0.25">
      <c r="A70" s="27" t="s">
        <v>85</v>
      </c>
      <c r="B70" s="28">
        <f>IF(-2295.0761="","-",-2295.0761)</f>
        <v>-2295.0761000000002</v>
      </c>
      <c r="C70" s="28">
        <f>IF(-1367.86952="","-",-1367.86952)</f>
        <v>-1367.86952</v>
      </c>
      <c r="D70" s="135">
        <f>IF(OR(-2295.0761="",-1367.86952="",-2295.0761=0),"-",-1367.86952/-2295.0761*100)</f>
        <v>59.600181449320999</v>
      </c>
    </row>
    <row r="71" spans="1:4" x14ac:dyDescent="0.25">
      <c r="A71" s="27" t="s">
        <v>84</v>
      </c>
      <c r="B71" s="28">
        <f>IF(-1408.35839="","-",-1408.35839)</f>
        <v>-1408.3583900000001</v>
      </c>
      <c r="C71" s="28">
        <f>IF(-1252.16145="","-",-1252.16145)</f>
        <v>-1252.1614500000001</v>
      </c>
      <c r="D71" s="135">
        <f>IF(OR(-1408.35839="",-1252.16145="",-1408.35839=0),"-",-1252.16145/-1408.35839*100)</f>
        <v>88.909290340507724</v>
      </c>
    </row>
    <row r="72" spans="1:4" x14ac:dyDescent="0.25">
      <c r="A72" s="27" t="s">
        <v>86</v>
      </c>
      <c r="B72" s="28">
        <f>IF(-1624.10745="","-",-1624.10745)</f>
        <v>-1624.10745</v>
      </c>
      <c r="C72" s="28">
        <f>IF(-1240.81445="","-",-1240.81445)</f>
        <v>-1240.8144500000001</v>
      </c>
      <c r="D72" s="135">
        <f>IF(OR(-1624.10745="",-1240.81445="",-1624.10745=0),"-",-1240.81445/-1624.10745*100)</f>
        <v>76.399775766067705</v>
      </c>
    </row>
    <row r="73" spans="1:4" x14ac:dyDescent="0.25">
      <c r="A73" s="27" t="s">
        <v>122</v>
      </c>
      <c r="B73" s="28">
        <f>IF(-1742.47025="","-",-1742.47025)</f>
        <v>-1742.4702500000001</v>
      </c>
      <c r="C73" s="28">
        <f>IF(-1119.34221="","-",-1119.34221)</f>
        <v>-1119.34221</v>
      </c>
      <c r="D73" s="135">
        <f>IF(OR(-1742.47025="",-1119.34221="",-1742.47025=0),"-",-1119.34221/-1742.47025*100)</f>
        <v>64.238813259509016</v>
      </c>
    </row>
    <row r="74" spans="1:4" x14ac:dyDescent="0.25">
      <c r="A74" s="27" t="s">
        <v>93</v>
      </c>
      <c r="B74" s="28">
        <f>IF(-686.8204="","-",-686.8204)</f>
        <v>-686.82039999999995</v>
      </c>
      <c r="C74" s="28">
        <f>IF(-859.50092="","-",-859.50092)</f>
        <v>-859.50091999999995</v>
      </c>
      <c r="D74" s="135">
        <f>IF(OR(-686.8204="",-859.50092="",-686.8204=0),"-",-859.50092/-686.8204*100)</f>
        <v>125.14201966045273</v>
      </c>
    </row>
    <row r="75" spans="1:4" x14ac:dyDescent="0.25">
      <c r="A75" s="27" t="s">
        <v>88</v>
      </c>
      <c r="B75" s="28">
        <f>IF(-291.69299="","-",-291.69299)</f>
        <v>-291.69299000000001</v>
      </c>
      <c r="C75" s="28">
        <f>IF(-819.21347="","-",-819.21347)</f>
        <v>-819.21347000000003</v>
      </c>
      <c r="D75" s="135" t="s">
        <v>314</v>
      </c>
    </row>
    <row r="76" spans="1:4" x14ac:dyDescent="0.25">
      <c r="A76" s="27" t="s">
        <v>83</v>
      </c>
      <c r="B76" s="28">
        <f>IF(-938.76636="","-",-938.76636)</f>
        <v>-938.76635999999996</v>
      </c>
      <c r="C76" s="28">
        <f>IF(-758.20294="","-",-758.20294)</f>
        <v>-758.20294000000001</v>
      </c>
      <c r="D76" s="135">
        <f>IF(OR(-938.76636="",-758.20294="",-938.76636=0),"-",-758.20294/-938.76636*100)</f>
        <v>80.765883004158781</v>
      </c>
    </row>
    <row r="77" spans="1:4" x14ac:dyDescent="0.25">
      <c r="A77" s="27" t="s">
        <v>37</v>
      </c>
      <c r="B77" s="28">
        <f>IF(-977.81119="","-",-977.81119)</f>
        <v>-977.81119000000001</v>
      </c>
      <c r="C77" s="28">
        <f>IF(-705.36384="","-",-705.36384)</f>
        <v>-705.36383999999998</v>
      </c>
      <c r="D77" s="135">
        <f>IF(OR(-977.81119="",-705.36384="",-977.81119=0),"-",-705.36384/-977.81119*100)</f>
        <v>72.137018599674647</v>
      </c>
    </row>
    <row r="78" spans="1:4" x14ac:dyDescent="0.25">
      <c r="A78" s="27" t="s">
        <v>312</v>
      </c>
      <c r="B78" s="28">
        <f>IF(152.44907="","-",152.44907)</f>
        <v>152.44907000000001</v>
      </c>
      <c r="C78" s="28">
        <f>IF(-692.20478="","-",-692.20478)</f>
        <v>-692.20478000000003</v>
      </c>
      <c r="D78" s="135" t="s">
        <v>20</v>
      </c>
    </row>
    <row r="79" spans="1:4" x14ac:dyDescent="0.25">
      <c r="A79" s="27" t="s">
        <v>89</v>
      </c>
      <c r="B79" s="28">
        <f>IF(-1030.21447="","-",-1030.21447)</f>
        <v>-1030.2144699999999</v>
      </c>
      <c r="C79" s="28">
        <f>IF(-653.15311="","-",-653.15311)</f>
        <v>-653.15310999999997</v>
      </c>
      <c r="D79" s="135">
        <f>IF(OR(-1030.21447="",-653.15311="",-1030.21447=0),"-",-653.15311/-1030.21447*100)</f>
        <v>63.399722001575078</v>
      </c>
    </row>
    <row r="80" spans="1:4" x14ac:dyDescent="0.25">
      <c r="A80" s="27" t="s">
        <v>315</v>
      </c>
      <c r="B80" s="28">
        <f>IF(-528.36816="","-",-528.36816)</f>
        <v>-528.36815999999999</v>
      </c>
      <c r="C80" s="28">
        <f>IF(-635.70738="","-",-635.70738)</f>
        <v>-635.70737999999994</v>
      </c>
      <c r="D80" s="135">
        <f>IF(OR(-528.36816="",-635.70738="",-528.36816=0),"-",-635.70738/-528.36816*100)</f>
        <v>120.31523246972338</v>
      </c>
    </row>
    <row r="81" spans="1:4" x14ac:dyDescent="0.25">
      <c r="A81" s="27" t="s">
        <v>327</v>
      </c>
      <c r="B81" s="28">
        <f>IF(-1530.84253="","-",-1530.84253)</f>
        <v>-1530.8425299999999</v>
      </c>
      <c r="C81" s="28">
        <f>IF(-631.95456="","-",-631.95456)</f>
        <v>-631.95456000000001</v>
      </c>
      <c r="D81" s="135">
        <f>IF(OR(-1530.84253="",-631.95456="",-1530.84253=0),"-",-631.95456/-1530.84253*100)</f>
        <v>41.281486999188616</v>
      </c>
    </row>
    <row r="82" spans="1:4" x14ac:dyDescent="0.25">
      <c r="A82" s="27" t="s">
        <v>137</v>
      </c>
      <c r="B82" s="28">
        <f>IF(-619.95925="","-",-619.95925)</f>
        <v>-619.95925</v>
      </c>
      <c r="C82" s="28">
        <f>IF(-613.51033="","-",-613.51033)</f>
        <v>-613.51032999999995</v>
      </c>
      <c r="D82" s="135">
        <f>IF(OR(-619.95925="",-613.51033="",-619.95925=0),"-",-613.51033/-619.95925*100)</f>
        <v>98.959783243818038</v>
      </c>
    </row>
    <row r="83" spans="1:4" x14ac:dyDescent="0.25">
      <c r="A83" s="27" t="s">
        <v>90</v>
      </c>
      <c r="B83" s="28">
        <f>IF(-238.1962="","-",-238.1962)</f>
        <v>-238.1962</v>
      </c>
      <c r="C83" s="28">
        <f>IF(-457.20063="","-",-457.20063)</f>
        <v>-457.20062999999999</v>
      </c>
      <c r="D83" s="135" t="s">
        <v>101</v>
      </c>
    </row>
    <row r="84" spans="1:4" x14ac:dyDescent="0.25">
      <c r="A84" s="27" t="s">
        <v>62</v>
      </c>
      <c r="B84" s="28">
        <f>IF(-460.77989="","-",-460.77989)</f>
        <v>-460.77989000000002</v>
      </c>
      <c r="C84" s="28">
        <f>IF(-446.16091="","-",-446.16091)</f>
        <v>-446.16091</v>
      </c>
      <c r="D84" s="135">
        <f>IF(OR(-460.77989="",-446.16091="",-460.77989=0),"-",-446.16091/-460.77989*100)</f>
        <v>96.827339838984727</v>
      </c>
    </row>
    <row r="85" spans="1:4" x14ac:dyDescent="0.25">
      <c r="A85" s="27" t="s">
        <v>299</v>
      </c>
      <c r="B85" s="28">
        <f>IF(-20.70533="","-",-20.70533)</f>
        <v>-20.70533</v>
      </c>
      <c r="C85" s="28">
        <f>IF(-284.94001="","-",-284.94001)</f>
        <v>-284.94000999999997</v>
      </c>
      <c r="D85" s="135" t="s">
        <v>355</v>
      </c>
    </row>
    <row r="86" spans="1:4" x14ac:dyDescent="0.25">
      <c r="A86" s="27" t="s">
        <v>36</v>
      </c>
      <c r="B86" s="28">
        <f>IF(-486.67917="","-",-486.67917)</f>
        <v>-486.67917</v>
      </c>
      <c r="C86" s="28">
        <f>IF(-274.94737="","-",-274.94737)</f>
        <v>-274.94736999999998</v>
      </c>
      <c r="D86" s="135">
        <f>IF(OR(-486.67917="",-274.94737="",-486.67917=0),"-",-274.94737/-486.67917*100)</f>
        <v>56.49458348505032</v>
      </c>
    </row>
    <row r="87" spans="1:4" x14ac:dyDescent="0.25">
      <c r="A87" s="27" t="s">
        <v>208</v>
      </c>
      <c r="B87" s="28">
        <f>IF(-398.70544="","-",-398.70544)</f>
        <v>-398.70544000000001</v>
      </c>
      <c r="C87" s="28">
        <f>IF(-218.34395="","-",-218.34395)</f>
        <v>-218.34395000000001</v>
      </c>
      <c r="D87" s="135">
        <f>IF(OR(-398.70544="",-218.34395="",-398.70544=0),"-",-218.34395/-398.70544*100)</f>
        <v>54.763223195550083</v>
      </c>
    </row>
    <row r="88" spans="1:4" x14ac:dyDescent="0.25">
      <c r="A88" s="27" t="s">
        <v>97</v>
      </c>
      <c r="B88" s="28">
        <f>IF(275.30461="","-",275.30461)</f>
        <v>275.30461000000003</v>
      </c>
      <c r="C88" s="28">
        <f>IF(-216.68479="","-",-216.68479)</f>
        <v>-216.68478999999999</v>
      </c>
      <c r="D88" s="135" t="s">
        <v>20</v>
      </c>
    </row>
    <row r="89" spans="1:4" x14ac:dyDescent="0.25">
      <c r="A89" s="27" t="s">
        <v>118</v>
      </c>
      <c r="B89" s="28">
        <f>IF(-270.01807="","-",-270.01807)</f>
        <v>-270.01807000000002</v>
      </c>
      <c r="C89" s="28">
        <f>IF(-185.37754="","-",-185.37754)</f>
        <v>-185.37754000000001</v>
      </c>
      <c r="D89" s="135">
        <f>IF(OR(-270.01807="",-185.37754="",-270.01807=0),"-",-185.37754/-270.01807*100)</f>
        <v>68.65375343213141</v>
      </c>
    </row>
    <row r="90" spans="1:4" x14ac:dyDescent="0.25">
      <c r="A90" s="27" t="s">
        <v>125</v>
      </c>
      <c r="B90" s="28">
        <f>IF(-81.34852="","-",-81.34852)</f>
        <v>-81.348519999999994</v>
      </c>
      <c r="C90" s="28">
        <f>IF(-184.40502="","-",-184.40502)</f>
        <v>-184.40502000000001</v>
      </c>
      <c r="D90" s="135" t="s">
        <v>206</v>
      </c>
    </row>
    <row r="91" spans="1:4" x14ac:dyDescent="0.25">
      <c r="A91" s="27" t="s">
        <v>94</v>
      </c>
      <c r="B91" s="28">
        <f>IF(-432.89965="","-",-432.89965)</f>
        <v>-432.89965000000001</v>
      </c>
      <c r="C91" s="28">
        <f>IF(-167.03158="","-",-167.03158)</f>
        <v>-167.03157999999999</v>
      </c>
      <c r="D91" s="135">
        <f>IF(OR(-432.89965="",-167.03158="",-432.89965=0),"-",-167.03158/-432.89965*100)</f>
        <v>38.584364759823664</v>
      </c>
    </row>
    <row r="92" spans="1:4" x14ac:dyDescent="0.25">
      <c r="A92" s="27" t="s">
        <v>78</v>
      </c>
      <c r="B92" s="28">
        <f>IF(-12004.6115="","-",-12004.6115)</f>
        <v>-12004.611500000001</v>
      </c>
      <c r="C92" s="28">
        <f>IF(-164.84244="","-",-164.84244)</f>
        <v>-164.84244000000001</v>
      </c>
      <c r="D92" s="135">
        <f>IF(OR(-12004.6115="",-164.84244="",-12004.6115=0),"-",-164.84244/-12004.6115*100)</f>
        <v>1.3731593063215748</v>
      </c>
    </row>
    <row r="93" spans="1:4" x14ac:dyDescent="0.25">
      <c r="A93" s="27" t="s">
        <v>350</v>
      </c>
      <c r="B93" s="28">
        <f>IF(-18.89775="","-",-18.89775)</f>
        <v>-18.897749999999998</v>
      </c>
      <c r="C93" s="28">
        <f>IF(-108.23428="","-",-108.23428)</f>
        <v>-108.23428</v>
      </c>
      <c r="D93" s="135" t="s">
        <v>362</v>
      </c>
    </row>
    <row r="94" spans="1:4" x14ac:dyDescent="0.25">
      <c r="A94" s="27" t="s">
        <v>297</v>
      </c>
      <c r="B94" s="28">
        <f>IF(8.07416="","-",8.07416)</f>
        <v>8.0741599999999991</v>
      </c>
      <c r="C94" s="28">
        <f>IF(-92.64615="","-",-92.64615)</f>
        <v>-92.646150000000006</v>
      </c>
      <c r="D94" s="135" t="s">
        <v>20</v>
      </c>
    </row>
    <row r="95" spans="1:4" x14ac:dyDescent="0.25">
      <c r="A95" s="27" t="s">
        <v>351</v>
      </c>
      <c r="B95" s="28">
        <f>IF(-53.24863="","-",-53.24863)</f>
        <v>-53.248629999999999</v>
      </c>
      <c r="C95" s="28">
        <f>IF(-87.19849="","-",-87.19849)</f>
        <v>-87.198490000000007</v>
      </c>
      <c r="D95" s="135" t="s">
        <v>100</v>
      </c>
    </row>
    <row r="96" spans="1:4" x14ac:dyDescent="0.25">
      <c r="A96" s="27" t="s">
        <v>336</v>
      </c>
      <c r="B96" s="28">
        <f>IF(-73.69908="","-",-73.69908)</f>
        <v>-73.699079999999995</v>
      </c>
      <c r="C96" s="28">
        <f>IF(-82.01018="","-",-82.01018)</f>
        <v>-82.010180000000005</v>
      </c>
      <c r="D96" s="135">
        <f>IF(OR(-73.69908="",-82.01018="",-73.69908=0),"-",-82.01018/-73.69908*100)</f>
        <v>111.27707428640903</v>
      </c>
    </row>
    <row r="97" spans="1:4" x14ac:dyDescent="0.25">
      <c r="A97" s="27" t="s">
        <v>298</v>
      </c>
      <c r="B97" s="28">
        <f>IF(-0.78782="","-",-0.78782)</f>
        <v>-0.78781999999999996</v>
      </c>
      <c r="C97" s="28">
        <f>IF(-76.05331="","-",-76.05331)</f>
        <v>-76.053309999999996</v>
      </c>
      <c r="D97" s="135" t="s">
        <v>392</v>
      </c>
    </row>
    <row r="98" spans="1:4" x14ac:dyDescent="0.25">
      <c r="A98" s="27" t="s">
        <v>386</v>
      </c>
      <c r="B98" s="28">
        <f>IF(-4.00486="","-",-4.00486)</f>
        <v>-4.0048599999999999</v>
      </c>
      <c r="C98" s="28">
        <f>IF(-62.95933="","-",-62.95933)</f>
        <v>-62.959330000000001</v>
      </c>
      <c r="D98" s="135" t="s">
        <v>356</v>
      </c>
    </row>
    <row r="99" spans="1:4" x14ac:dyDescent="0.25">
      <c r="A99" s="27" t="s">
        <v>352</v>
      </c>
      <c r="B99" s="28">
        <f>IF(-1.27761="","-",-1.27761)</f>
        <v>-1.2776099999999999</v>
      </c>
      <c r="C99" s="28">
        <f>IF(-54.67547="","-",-54.67547)</f>
        <v>-54.675469999999997</v>
      </c>
      <c r="D99" s="135" t="s">
        <v>393</v>
      </c>
    </row>
    <row r="100" spans="1:4" x14ac:dyDescent="0.25">
      <c r="A100" s="27" t="s">
        <v>388</v>
      </c>
      <c r="B100" s="28">
        <f>IF(-32.6836="","-",-32.6836)</f>
        <v>-32.683599999999998</v>
      </c>
      <c r="C100" s="28">
        <f>IF(-52.26498="","-",-52.26498)</f>
        <v>-52.264980000000001</v>
      </c>
      <c r="D100" s="135">
        <f>IF(OR(-32.6836="",-52.26498="",-32.6836=0),"-",-52.26498/-32.6836*100)</f>
        <v>159.91194360474367</v>
      </c>
    </row>
    <row r="101" spans="1:4" x14ac:dyDescent="0.25">
      <c r="A101" s="27" t="s">
        <v>387</v>
      </c>
      <c r="B101" s="67" t="s">
        <v>285</v>
      </c>
      <c r="C101" s="28">
        <f>IF(-52.076="","-",-52.076)</f>
        <v>-52.076000000000001</v>
      </c>
      <c r="D101" s="135" t="str">
        <f>IF(OR(0="",-52.076="",0=0),"-",-52.076/0*100)</f>
        <v>-</v>
      </c>
    </row>
    <row r="102" spans="1:4" x14ac:dyDescent="0.25">
      <c r="A102" s="27" t="s">
        <v>353</v>
      </c>
      <c r="B102" s="28">
        <f>IF(-26.71017="","-",-26.71017)</f>
        <v>-26.710170000000002</v>
      </c>
      <c r="C102" s="28">
        <f>IF(-50.99259="","-",-50.99259)</f>
        <v>-50.99259</v>
      </c>
      <c r="D102" s="135" t="s">
        <v>101</v>
      </c>
    </row>
    <row r="103" spans="1:4" x14ac:dyDescent="0.25">
      <c r="A103" s="27" t="s">
        <v>374</v>
      </c>
      <c r="B103" s="28">
        <f>IF(114.35127="","-",114.35127)</f>
        <v>114.35127</v>
      </c>
      <c r="C103" s="28">
        <f>IF(50.63863="","-",50.63863)</f>
        <v>50.638629999999999</v>
      </c>
      <c r="D103" s="135">
        <f>IF(OR(114.35127="",50.63863="",114.35127=0),"-",50.63863/114.35127*100)</f>
        <v>44.283399738367571</v>
      </c>
    </row>
    <row r="104" spans="1:4" x14ac:dyDescent="0.25">
      <c r="A104" s="27" t="s">
        <v>126</v>
      </c>
      <c r="B104" s="28">
        <f>IF(-161.49633="","-",-161.49633)</f>
        <v>-161.49633</v>
      </c>
      <c r="C104" s="28">
        <f>IF(56.85782="","-",56.85782)</f>
        <v>56.857819999999997</v>
      </c>
      <c r="D104" s="135" t="s">
        <v>20</v>
      </c>
    </row>
    <row r="105" spans="1:4" x14ac:dyDescent="0.25">
      <c r="A105" s="27" t="s">
        <v>103</v>
      </c>
      <c r="B105" s="28">
        <f>IF(-76.25227="","-",-76.25227)</f>
        <v>-76.252269999999996</v>
      </c>
      <c r="C105" s="28">
        <f>IF(67.0299="","-",67.0299)</f>
        <v>67.029899999999998</v>
      </c>
      <c r="D105" s="135" t="s">
        <v>20</v>
      </c>
    </row>
    <row r="106" spans="1:4" x14ac:dyDescent="0.25">
      <c r="A106" s="27" t="s">
        <v>341</v>
      </c>
      <c r="B106" s="28">
        <f>IF(39.44113="","-",39.44113)</f>
        <v>39.441130000000001</v>
      </c>
      <c r="C106" s="28">
        <f>IF(72.69="","-",72.69)</f>
        <v>72.69</v>
      </c>
      <c r="D106" s="135" t="s">
        <v>198</v>
      </c>
    </row>
    <row r="107" spans="1:4" x14ac:dyDescent="0.25">
      <c r="A107" s="27" t="s">
        <v>323</v>
      </c>
      <c r="B107" s="28">
        <f>IF(24.63456="","-",24.63456)</f>
        <v>24.63456</v>
      </c>
      <c r="C107" s="28">
        <f>IF(97.63943="","-",97.63943)</f>
        <v>97.639430000000004</v>
      </c>
      <c r="D107" s="135" t="s">
        <v>318</v>
      </c>
    </row>
    <row r="108" spans="1:4" x14ac:dyDescent="0.25">
      <c r="A108" s="27" t="s">
        <v>332</v>
      </c>
      <c r="B108" s="28">
        <f>IF(-26.96345="","-",-26.96345)</f>
        <v>-26.963450000000002</v>
      </c>
      <c r="C108" s="28">
        <f>IF(99.44995="","-",99.44995)</f>
        <v>99.449950000000001</v>
      </c>
      <c r="D108" s="135" t="s">
        <v>20</v>
      </c>
    </row>
    <row r="109" spans="1:4" x14ac:dyDescent="0.25">
      <c r="A109" s="27" t="s">
        <v>331</v>
      </c>
      <c r="B109" s="28">
        <f>IF(1.47513="","-",1.47513)</f>
        <v>1.4751300000000001</v>
      </c>
      <c r="C109" s="28">
        <f>IF(107.54342="","-",107.54342)</f>
        <v>107.54342</v>
      </c>
      <c r="D109" s="135" t="s">
        <v>357</v>
      </c>
    </row>
    <row r="110" spans="1:4" x14ac:dyDescent="0.25">
      <c r="A110" s="27" t="s">
        <v>207</v>
      </c>
      <c r="B110" s="28">
        <f>IF(177.80617="","-",177.80617)</f>
        <v>177.80617000000001</v>
      </c>
      <c r="C110" s="28">
        <f>IF(117.88957="","-",117.88957)</f>
        <v>117.88957000000001</v>
      </c>
      <c r="D110" s="135">
        <f>IF(OR(177.80617="",117.88957="",177.80617=0),"-",117.88957/177.80617*100)</f>
        <v>66.302294234221463</v>
      </c>
    </row>
    <row r="111" spans="1:4" x14ac:dyDescent="0.25">
      <c r="A111" s="27" t="s">
        <v>119</v>
      </c>
      <c r="B111" s="28">
        <f>IF(206.37346="","-",206.37346)</f>
        <v>206.37345999999999</v>
      </c>
      <c r="C111" s="28">
        <f>IF(146.38234="","-",146.38234)</f>
        <v>146.38234</v>
      </c>
      <c r="D111" s="135">
        <f>IF(OR(206.37346="",146.38234="",206.37346=0),"-",146.38234/206.37346*100)</f>
        <v>70.930797012367776</v>
      </c>
    </row>
    <row r="112" spans="1:4" x14ac:dyDescent="0.25">
      <c r="A112" s="27" t="s">
        <v>131</v>
      </c>
      <c r="B112" s="28">
        <f>IF(216.17801="","-",216.17801)</f>
        <v>216.17801</v>
      </c>
      <c r="C112" s="28">
        <f>IF(159.87066="","-",159.87066)</f>
        <v>159.87065999999999</v>
      </c>
      <c r="D112" s="135">
        <f>IF(OR(216.17801="",159.87066="",216.17801=0),"-",159.87066/216.17801*100)</f>
        <v>73.953248066257984</v>
      </c>
    </row>
    <row r="113" spans="1:4" x14ac:dyDescent="0.25">
      <c r="A113" s="27" t="s">
        <v>302</v>
      </c>
      <c r="B113" s="28">
        <f>IF(211.45377="","-",211.45377)</f>
        <v>211.45376999999999</v>
      </c>
      <c r="C113" s="28">
        <f>IF(176.90536="","-",176.90536)</f>
        <v>176.90536</v>
      </c>
      <c r="D113" s="135">
        <f>IF(OR(211.45377="",176.90536="",211.45377=0),"-",176.90536/211.45377*100)</f>
        <v>83.661483075000277</v>
      </c>
    </row>
    <row r="114" spans="1:4" x14ac:dyDescent="0.25">
      <c r="A114" s="27" t="s">
        <v>123</v>
      </c>
      <c r="B114" s="28">
        <f>IF(203.93243="","-",203.93243)</f>
        <v>203.93243000000001</v>
      </c>
      <c r="C114" s="28">
        <f>IF(234.05532="","-",234.05532)</f>
        <v>234.05531999999999</v>
      </c>
      <c r="D114" s="135">
        <f>IF(OR(203.93243="",234.05532="",203.93243=0),"-",234.05532/203.93243*100)</f>
        <v>114.77101508573206</v>
      </c>
    </row>
    <row r="115" spans="1:4" x14ac:dyDescent="0.25">
      <c r="A115" s="27" t="s">
        <v>333</v>
      </c>
      <c r="B115" s="28">
        <f>IF(255.08007="","-",255.08007)</f>
        <v>255.08007000000001</v>
      </c>
      <c r="C115" s="28">
        <f>IF(238.2307="","-",238.2307)</f>
        <v>238.23070000000001</v>
      </c>
      <c r="D115" s="135">
        <f>IF(OR(255.08007="",238.2307="",255.08007=0),"-",238.2307/255.08007*100)</f>
        <v>93.394478055459217</v>
      </c>
    </row>
    <row r="116" spans="1:4" x14ac:dyDescent="0.25">
      <c r="A116" s="27" t="s">
        <v>136</v>
      </c>
      <c r="B116" s="28">
        <f>IF(299.4="","-",299.4)</f>
        <v>299.39999999999998</v>
      </c>
      <c r="C116" s="28">
        <f>IF(290.4104="","-",290.4104)</f>
        <v>290.41039999999998</v>
      </c>
      <c r="D116" s="135">
        <f>IF(OR(299.4="",290.4104="",299.4=0),"-",290.4104/299.4*100)</f>
        <v>96.997461589846353</v>
      </c>
    </row>
    <row r="117" spans="1:4" x14ac:dyDescent="0.25">
      <c r="A117" s="27" t="s">
        <v>138</v>
      </c>
      <c r="B117" s="28">
        <f>IF(409.67803="","-",409.67803)</f>
        <v>409.67802999999998</v>
      </c>
      <c r="C117" s="28">
        <f>IF(361.46354="","-",361.46354)</f>
        <v>361.46354000000002</v>
      </c>
      <c r="D117" s="135">
        <f>IF(OR(409.67803="",361.46354="",409.67803=0),"-",361.46354/409.67803*100)</f>
        <v>88.231126282266118</v>
      </c>
    </row>
    <row r="118" spans="1:4" x14ac:dyDescent="0.25">
      <c r="A118" s="27" t="s">
        <v>98</v>
      </c>
      <c r="B118" s="28">
        <f>IF(-205.01683="","-",-205.01683)</f>
        <v>-205.01683</v>
      </c>
      <c r="C118" s="28">
        <f>IF(383.44036="","-",383.44036)</f>
        <v>383.44036</v>
      </c>
      <c r="D118" s="135" t="s">
        <v>20</v>
      </c>
    </row>
    <row r="119" spans="1:4" x14ac:dyDescent="0.25">
      <c r="A119" s="27" t="s">
        <v>92</v>
      </c>
      <c r="B119" s="28">
        <f>IF(231.46488="","-",231.46488)</f>
        <v>231.46487999999999</v>
      </c>
      <c r="C119" s="28">
        <f>IF(637.52829="","-",637.52829)</f>
        <v>637.52828999999997</v>
      </c>
      <c r="D119" s="135" t="s">
        <v>314</v>
      </c>
    </row>
    <row r="120" spans="1:4" x14ac:dyDescent="0.25">
      <c r="A120" s="27" t="s">
        <v>74</v>
      </c>
      <c r="B120" s="28">
        <f>IF(1144.93562="","-",1144.93562)</f>
        <v>1144.93562</v>
      </c>
      <c r="C120" s="28">
        <f>IF(857.24912="","-",857.24912)</f>
        <v>857.24911999999995</v>
      </c>
      <c r="D120" s="135">
        <f>IF(OR(1144.93562="",857.24912="",1144.93562=0),"-",857.24912/1144.93562*100)</f>
        <v>74.873128674256805</v>
      </c>
    </row>
    <row r="121" spans="1:4" x14ac:dyDescent="0.25">
      <c r="A121" s="27" t="s">
        <v>61</v>
      </c>
      <c r="B121" s="28">
        <f>IF(-1389.84912="","-",-1389.84912)</f>
        <v>-1389.8491200000001</v>
      </c>
      <c r="C121" s="28">
        <f>IF(2064.25203="","-",2064.25203)</f>
        <v>2064.2520300000001</v>
      </c>
      <c r="D121" s="135" t="s">
        <v>20</v>
      </c>
    </row>
    <row r="122" spans="1:4" x14ac:dyDescent="0.25">
      <c r="A122" s="27" t="s">
        <v>116</v>
      </c>
      <c r="B122" s="28">
        <f>IF(-239.5773="","-",-239.5773)</f>
        <v>-239.57730000000001</v>
      </c>
      <c r="C122" s="28">
        <f>IF(2258.97292="","-",2258.97292)</f>
        <v>2258.9729200000002</v>
      </c>
      <c r="D122" s="135" t="s">
        <v>20</v>
      </c>
    </row>
    <row r="123" spans="1:4" x14ac:dyDescent="0.25">
      <c r="A123" s="27" t="s">
        <v>65</v>
      </c>
      <c r="B123" s="28">
        <f>IF(-190.97948="","-",-190.97948)</f>
        <v>-190.97948</v>
      </c>
      <c r="C123" s="28">
        <f>IF(2554.16644="","-",2554.16644)</f>
        <v>2554.16644</v>
      </c>
      <c r="D123" s="135" t="s">
        <v>20</v>
      </c>
    </row>
    <row r="124" spans="1:4" x14ac:dyDescent="0.25">
      <c r="A124" s="27" t="s">
        <v>311</v>
      </c>
      <c r="B124" s="28">
        <f>IF(-5957.72862="","-",-5957.72862)</f>
        <v>-5957.7286199999999</v>
      </c>
      <c r="C124" s="28">
        <f>IF(2620.50912="","-",2620.50912)</f>
        <v>2620.5091200000002</v>
      </c>
      <c r="D124" s="135" t="s">
        <v>20</v>
      </c>
    </row>
    <row r="125" spans="1:4" x14ac:dyDescent="0.25">
      <c r="A125" s="27" t="s">
        <v>66</v>
      </c>
      <c r="B125" s="28">
        <f>IF(1283.02391="","-",1283.02391)</f>
        <v>1283.0239099999999</v>
      </c>
      <c r="C125" s="28">
        <f>IF(2824.25539="","-",2824.25539)</f>
        <v>2824.2553899999998</v>
      </c>
      <c r="D125" s="135" t="s">
        <v>197</v>
      </c>
    </row>
    <row r="126" spans="1:4" x14ac:dyDescent="0.25">
      <c r="A126" s="27" t="s">
        <v>35</v>
      </c>
      <c r="B126" s="28">
        <f>IF(287.75364="","-",287.75364)</f>
        <v>287.75364000000002</v>
      </c>
      <c r="C126" s="28">
        <f>IF(2969.07763="","-",2969.07763)</f>
        <v>2969.0776300000002</v>
      </c>
      <c r="D126" s="135" t="s">
        <v>378</v>
      </c>
    </row>
    <row r="127" spans="1:4" x14ac:dyDescent="0.25">
      <c r="A127" s="27" t="s">
        <v>55</v>
      </c>
      <c r="B127" s="28">
        <f>IF(2689.44956="","-",2689.44956)</f>
        <v>2689.44956</v>
      </c>
      <c r="C127" s="28">
        <f>IF(4189.15579="","-",4189.15579)</f>
        <v>4189.1557899999998</v>
      </c>
      <c r="D127" s="135">
        <f>IF(OR(2689.44956="",4189.15579="",2689.44956=0),"-",4189.15579/2689.44956*100)</f>
        <v>155.76257135679467</v>
      </c>
    </row>
    <row r="128" spans="1:4" x14ac:dyDescent="0.25">
      <c r="A128" s="27" t="s">
        <v>56</v>
      </c>
      <c r="B128" s="28">
        <f>IF(6543.17623="","-",6543.17623)</f>
        <v>6543.17623</v>
      </c>
      <c r="C128" s="28">
        <f>IF(4203.09427="","-",4203.09427)</f>
        <v>4203.0942699999996</v>
      </c>
      <c r="D128" s="135">
        <f>IF(OR(6543.17623="",4203.09427="",6543.17623=0),"-",4203.09427/6543.17623*100)</f>
        <v>64.236299348458786</v>
      </c>
    </row>
    <row r="129" spans="1:7" x14ac:dyDescent="0.25">
      <c r="A129" s="27" t="s">
        <v>70</v>
      </c>
      <c r="B129" s="28">
        <f>IF(-1673.39261="","-",-1673.39261)</f>
        <v>-1673.3926100000001</v>
      </c>
      <c r="C129" s="28">
        <f>IF(8230.34525="","-",8230.34525)</f>
        <v>8230.3452500000003</v>
      </c>
      <c r="D129" s="135" t="s">
        <v>20</v>
      </c>
    </row>
    <row r="130" spans="1:7" x14ac:dyDescent="0.25">
      <c r="A130" s="27" t="s">
        <v>58</v>
      </c>
      <c r="B130" s="28">
        <f>IF(9681.04289="","-",9681.04289)</f>
        <v>9681.0428900000006</v>
      </c>
      <c r="C130" s="28">
        <f>IF(14858.22804="","-",14858.22804)</f>
        <v>14858.22804</v>
      </c>
      <c r="D130" s="135">
        <f>IF(OR(9681.04289="",14858.22804="",9681.04289=0),"-",14858.22804/9681.04289*100)</f>
        <v>153.47755617680153</v>
      </c>
    </row>
    <row r="131" spans="1:7" x14ac:dyDescent="0.25">
      <c r="A131" s="78" t="s">
        <v>310</v>
      </c>
      <c r="B131" s="29">
        <f>IF(245.25054="","-",245.25054)</f>
        <v>245.25054</v>
      </c>
      <c r="C131" s="29">
        <f>IF(37252.7025="","-",37252.7025)</f>
        <v>37252.702499999999</v>
      </c>
      <c r="D131" s="136" t="s">
        <v>396</v>
      </c>
    </row>
    <row r="132" spans="1:7" x14ac:dyDescent="0.25">
      <c r="A132" s="47" t="s">
        <v>284</v>
      </c>
      <c r="B132" s="90"/>
      <c r="C132" s="90"/>
      <c r="D132" s="90"/>
      <c r="E132" s="90"/>
      <c r="F132" s="7"/>
      <c r="G132" s="7"/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workbookViewId="0">
      <selection activeCell="B9" sqref="B9"/>
    </sheetView>
  </sheetViews>
  <sheetFormatPr defaultRowHeight="15.75" x14ac:dyDescent="0.25"/>
  <cols>
    <col min="1" max="1" width="30.375" customWidth="1"/>
    <col min="2" max="2" width="14.125" customWidth="1"/>
    <col min="3" max="3" width="13.875" customWidth="1"/>
    <col min="4" max="5" width="11.625" customWidth="1"/>
  </cols>
  <sheetData>
    <row r="1" spans="1:6" x14ac:dyDescent="0.25">
      <c r="A1" s="94" t="s">
        <v>293</v>
      </c>
      <c r="B1" s="94"/>
      <c r="C1" s="94"/>
      <c r="D1" s="94"/>
      <c r="E1" s="94"/>
    </row>
    <row r="2" spans="1:6" x14ac:dyDescent="0.25">
      <c r="A2" s="7"/>
      <c r="B2" s="7"/>
      <c r="C2" s="7"/>
      <c r="D2" s="7"/>
      <c r="E2" s="7"/>
    </row>
    <row r="3" spans="1:6" ht="18.75" customHeight="1" x14ac:dyDescent="0.25">
      <c r="A3" s="95"/>
      <c r="B3" s="98" t="s">
        <v>365</v>
      </c>
      <c r="C3" s="99"/>
      <c r="D3" s="98" t="s">
        <v>104</v>
      </c>
      <c r="E3" s="114"/>
      <c r="F3" s="1"/>
    </row>
    <row r="4" spans="1:6" ht="18.75" customHeight="1" x14ac:dyDescent="0.25">
      <c r="A4" s="96"/>
      <c r="B4" s="102" t="s">
        <v>115</v>
      </c>
      <c r="C4" s="104" t="s">
        <v>366</v>
      </c>
      <c r="D4" s="106" t="s">
        <v>367</v>
      </c>
      <c r="E4" s="98"/>
      <c r="F4" s="1"/>
    </row>
    <row r="5" spans="1:6" ht="23.25" customHeight="1" x14ac:dyDescent="0.25">
      <c r="A5" s="97"/>
      <c r="B5" s="103"/>
      <c r="C5" s="105"/>
      <c r="D5" s="60" t="s">
        <v>319</v>
      </c>
      <c r="E5" s="61" t="s">
        <v>320</v>
      </c>
      <c r="F5" s="1"/>
    </row>
    <row r="6" spans="1:6" ht="15.75" customHeight="1" x14ac:dyDescent="0.25">
      <c r="A6" s="39" t="s">
        <v>127</v>
      </c>
      <c r="B6" s="53">
        <v>1875200.4172400001</v>
      </c>
      <c r="C6" s="24" t="s">
        <v>99</v>
      </c>
      <c r="D6" s="54">
        <v>100</v>
      </c>
      <c r="E6" s="54">
        <v>100</v>
      </c>
    </row>
    <row r="7" spans="1:6" ht="15.75" customHeight="1" x14ac:dyDescent="0.25">
      <c r="A7" s="40" t="s">
        <v>120</v>
      </c>
      <c r="B7" s="131"/>
      <c r="C7" s="35"/>
      <c r="D7" s="50"/>
      <c r="E7" s="50"/>
    </row>
    <row r="8" spans="1:6" x14ac:dyDescent="0.25">
      <c r="A8" s="41" t="s">
        <v>106</v>
      </c>
      <c r="B8" s="28">
        <v>303529.65687000001</v>
      </c>
      <c r="C8" s="37" t="s">
        <v>325</v>
      </c>
      <c r="D8" s="28">
        <f>IF(59149.61504="","-",59149.61504/1104691.54098*100)</f>
        <v>5.354401011120884</v>
      </c>
      <c r="E8" s="28">
        <f>IF(303529.65687="","-",303529.65687/1875200.41724*100)</f>
        <v>16.186518202504878</v>
      </c>
    </row>
    <row r="9" spans="1:6" x14ac:dyDescent="0.25">
      <c r="A9" s="41" t="s">
        <v>107</v>
      </c>
      <c r="B9" s="28">
        <v>180725.28922000001</v>
      </c>
      <c r="C9" s="37" t="s">
        <v>397</v>
      </c>
      <c r="D9" s="28">
        <f>IF(8109.64097="","-",8109.64097/1104691.54098*100)</f>
        <v>0.73410908558290677</v>
      </c>
      <c r="E9" s="28">
        <f>IF(180725.28922="","-",180725.28922/1875200.41724*100)</f>
        <v>9.6376519308799633</v>
      </c>
    </row>
    <row r="10" spans="1:6" x14ac:dyDescent="0.25">
      <c r="A10" s="41" t="s">
        <v>108</v>
      </c>
      <c r="B10" s="28">
        <v>1376297.6157</v>
      </c>
      <c r="C10" s="37">
        <v>134.38674418693296</v>
      </c>
      <c r="D10" s="28">
        <f>IF(1024131.97375="","-",1024131.97375/1104691.54098*100)</f>
        <v>92.7075057387935</v>
      </c>
      <c r="E10" s="28">
        <f>IF(1376297.6157="","-",1376297.6157/1875200.41724*100)</f>
        <v>73.394694404222321</v>
      </c>
    </row>
    <row r="11" spans="1:6" x14ac:dyDescent="0.25">
      <c r="A11" s="41" t="s">
        <v>109</v>
      </c>
      <c r="B11" s="28">
        <v>14034.97507</v>
      </c>
      <c r="C11" s="37">
        <v>112.5197314241998</v>
      </c>
      <c r="D11" s="28">
        <f>IF(12473.34569="","-",12473.34569/1104691.54098*100)</f>
        <v>1.12912475811434</v>
      </c>
      <c r="E11" s="28">
        <f>IF(14034.97507="","-",14034.97507/1875200.41724*100)</f>
        <v>0.74845200230156061</v>
      </c>
    </row>
    <row r="12" spans="1:6" x14ac:dyDescent="0.25">
      <c r="A12" s="41" t="s">
        <v>110</v>
      </c>
      <c r="B12" s="28">
        <v>544.80822000000001</v>
      </c>
      <c r="C12" s="37">
        <v>72.518497195554502</v>
      </c>
      <c r="D12" s="28">
        <f>IF(751.26794="","-",751.26794/1104691.54098*100)</f>
        <v>6.8007032925546884E-2</v>
      </c>
      <c r="E12" s="28">
        <f>IF(544.80822="","-",544.80822/1875200.41724*100)</f>
        <v>2.9053332912642588E-2</v>
      </c>
    </row>
    <row r="13" spans="1:6" x14ac:dyDescent="0.25">
      <c r="A13" s="41" t="s">
        <v>111</v>
      </c>
      <c r="B13" s="28">
        <v>2.9246599999999998</v>
      </c>
      <c r="C13" s="37">
        <v>126.45701907236774</v>
      </c>
      <c r="D13" s="28">
        <f>IF(2.31277="","-",2.31277/1104691.54098*100)</f>
        <v>2.093588946963677E-4</v>
      </c>
      <c r="E13" s="28">
        <f>IF(2.92466="","-",2.92466/1875200.41724*100)</f>
        <v>1.5596519567250518E-4</v>
      </c>
    </row>
    <row r="14" spans="1:6" x14ac:dyDescent="0.25">
      <c r="A14" s="41" t="s">
        <v>112</v>
      </c>
      <c r="B14" s="28">
        <v>65.147499999999994</v>
      </c>
      <c r="C14" s="37">
        <v>88.77517175895504</v>
      </c>
      <c r="D14" s="28">
        <f>IF(73.38482="","-",73.38482/1104691.54098*100)</f>
        <v>6.6430145681117886E-3</v>
      </c>
      <c r="E14" s="28">
        <f>IF(65.1475="","-",65.1475/1875200.41724*100)</f>
        <v>3.474161982956833E-3</v>
      </c>
    </row>
    <row r="15" spans="1:6" x14ac:dyDescent="0.25">
      <c r="A15" s="25" t="s">
        <v>200</v>
      </c>
      <c r="B15" s="26">
        <v>1208140.72964</v>
      </c>
      <c r="C15" s="36" t="s">
        <v>99</v>
      </c>
      <c r="D15" s="26">
        <f>IF(720907.19202="","-",720907.19202/1104691.54098*100)</f>
        <v>65.258686726293277</v>
      </c>
      <c r="E15" s="26">
        <f>IF(1208140.72964="","-",1208140.72964/1875200.41724*100)</f>
        <v>64.427285666787185</v>
      </c>
    </row>
    <row r="16" spans="1:6" x14ac:dyDescent="0.25">
      <c r="A16" s="40" t="s">
        <v>120</v>
      </c>
      <c r="B16" s="26"/>
      <c r="C16" s="36"/>
      <c r="D16" s="67"/>
      <c r="E16" s="67"/>
    </row>
    <row r="17" spans="1:10" x14ac:dyDescent="0.25">
      <c r="A17" s="41" t="s">
        <v>106</v>
      </c>
      <c r="B17" s="28">
        <v>251418.23869</v>
      </c>
      <c r="C17" s="37" t="s">
        <v>398</v>
      </c>
      <c r="D17" s="28">
        <f>IF(32436.01437="","-",32436.01437/1104691.54098*100)</f>
        <v>2.9362055530202746</v>
      </c>
      <c r="E17" s="28">
        <f>IF(251418.23869="","-",251418.23869/1875200.41724*100)</f>
        <v>13.407539609022063</v>
      </c>
      <c r="J17" s="14"/>
    </row>
    <row r="18" spans="1:10" x14ac:dyDescent="0.25">
      <c r="A18" s="41" t="s">
        <v>107</v>
      </c>
      <c r="B18" s="28">
        <v>30434.56278</v>
      </c>
      <c r="C18" s="37" t="s">
        <v>399</v>
      </c>
      <c r="D18" s="28">
        <f>IF(2700.54324="","-",2700.54324/1104691.54098*100)</f>
        <v>0.24446129438126041</v>
      </c>
      <c r="E18" s="28">
        <f>IF(30434.56278="","-",30434.56278/1875200.41724*100)</f>
        <v>1.6230032000950003</v>
      </c>
    </row>
    <row r="19" spans="1:10" x14ac:dyDescent="0.25">
      <c r="A19" s="41" t="s">
        <v>108</v>
      </c>
      <c r="B19" s="28">
        <v>923049.80593000003</v>
      </c>
      <c r="C19" s="37">
        <v>135.10540428095581</v>
      </c>
      <c r="D19" s="28">
        <f>IF(683207.16765="","-",683207.16765/1104691.54098*100)</f>
        <v>61.845967159657022</v>
      </c>
      <c r="E19" s="28">
        <f>IF(923049.80593="","-",923049.80593/1875200.41724*100)</f>
        <v>49.224061462645366</v>
      </c>
    </row>
    <row r="20" spans="1:10" x14ac:dyDescent="0.25">
      <c r="A20" s="41" t="s">
        <v>109</v>
      </c>
      <c r="B20" s="28">
        <v>2958.7402099999999</v>
      </c>
      <c r="C20" s="37" t="s">
        <v>100</v>
      </c>
      <c r="D20" s="28">
        <f>IF(1845.50417="","-",1845.50417/1104691.54098*100)</f>
        <v>0.16706058673743499</v>
      </c>
      <c r="E20" s="28">
        <f>IF(2958.74021="","-",2958.74021/1875200.41724*100)</f>
        <v>0.15778261261027235</v>
      </c>
    </row>
    <row r="21" spans="1:10" x14ac:dyDescent="0.25">
      <c r="A21" s="41" t="s">
        <v>110</v>
      </c>
      <c r="B21" s="28">
        <v>254.17797999999999</v>
      </c>
      <c r="C21" s="37">
        <v>37.275049892694426</v>
      </c>
      <c r="D21" s="28">
        <f>IF(681.89843="","-",681.89843/1104691.54098*100)</f>
        <v>6.17274962923198E-2</v>
      </c>
      <c r="E21" s="28">
        <f>IF(254.17798="","-",254.17798/1875200.41724*100)</f>
        <v>1.3554710081288803E-2</v>
      </c>
    </row>
    <row r="22" spans="1:10" x14ac:dyDescent="0.25">
      <c r="A22" s="31" t="s">
        <v>112</v>
      </c>
      <c r="B22" s="28">
        <v>25.204049999999999</v>
      </c>
      <c r="C22" s="37">
        <v>69.88669637667978</v>
      </c>
      <c r="D22" s="28">
        <f>IF(36.06416="","-",36.06416/1104691.54098*100)</f>
        <v>3.2646362049632933E-3</v>
      </c>
      <c r="E22" s="28">
        <f>IF(25.20405="","-",25.20405/1875200.41724*100)</f>
        <v>1.3440723331907313E-3</v>
      </c>
    </row>
    <row r="23" spans="1:10" x14ac:dyDescent="0.25">
      <c r="A23" s="25" t="s">
        <v>201</v>
      </c>
      <c r="B23" s="26">
        <v>284513.4094</v>
      </c>
      <c r="C23" s="36" t="s">
        <v>100</v>
      </c>
      <c r="D23" s="26">
        <f>IF(173373.62458="","-",173373.62458/1104691.54098*100)</f>
        <v>15.694301816251425</v>
      </c>
      <c r="E23" s="26">
        <f>IF(284513.4094="","-",284513.4094/1875200.41724*100)</f>
        <v>15.172426732858717</v>
      </c>
    </row>
    <row r="24" spans="1:10" x14ac:dyDescent="0.25">
      <c r="A24" s="40" t="s">
        <v>120</v>
      </c>
      <c r="B24" s="26"/>
      <c r="C24" s="36"/>
      <c r="D24" s="67"/>
      <c r="E24" s="67"/>
    </row>
    <row r="25" spans="1:10" x14ac:dyDescent="0.25">
      <c r="A25" s="41" t="s">
        <v>106</v>
      </c>
      <c r="B25" s="28">
        <v>82.096980000000002</v>
      </c>
      <c r="C25" s="37">
        <v>0.79935114835495324</v>
      </c>
      <c r="D25" s="28">
        <f>IF(10270.4525="","-",10270.4525/1104691.54098*100)</f>
        <v>0.92971224264909447</v>
      </c>
      <c r="E25" s="28">
        <f>IF(82.09698="","-",82.09698/1875200.41724*100)</f>
        <v>4.3780376350829658E-3</v>
      </c>
    </row>
    <row r="26" spans="1:10" x14ac:dyDescent="0.25">
      <c r="A26" s="41" t="s">
        <v>107</v>
      </c>
      <c r="B26" s="28">
        <v>52512.342709999997</v>
      </c>
      <c r="C26" s="37" t="s">
        <v>400</v>
      </c>
      <c r="D26" s="28">
        <f>IF(1723.32688="","-",1723.32688/1104691.54098*100)</f>
        <v>0.15600073107024906</v>
      </c>
      <c r="E26" s="28">
        <f>IF(52512.3427099999="","-",52512.3427099999/1875200.41724*100)</f>
        <v>2.8003589497537442</v>
      </c>
      <c r="F26" s="1"/>
    </row>
    <row r="27" spans="1:10" x14ac:dyDescent="0.25">
      <c r="A27" s="41" t="s">
        <v>108</v>
      </c>
      <c r="B27" s="28">
        <v>228969.46291999999</v>
      </c>
      <c r="C27" s="37">
        <v>145.78050055080877</v>
      </c>
      <c r="D27" s="28">
        <f>IF(157064.53336="","-",157064.53336/1104691.54098*100)</f>
        <v>14.217953839011392</v>
      </c>
      <c r="E27" s="28">
        <f>IF(228969.46292="","-",228969.46292/1875200.41724*100)</f>
        <v>12.210399529294421</v>
      </c>
      <c r="F27" s="8"/>
    </row>
    <row r="28" spans="1:10" x14ac:dyDescent="0.25">
      <c r="A28" s="41" t="s">
        <v>109</v>
      </c>
      <c r="B28" s="28">
        <v>2859.1296699999998</v>
      </c>
      <c r="C28" s="37">
        <v>67.047275858945625</v>
      </c>
      <c r="D28" s="28">
        <f>IF(4264.34875="","-",4264.34875/1104691.54098*100)</f>
        <v>0.38602167137235316</v>
      </c>
      <c r="E28" s="28">
        <f>IF(2859.12967="","-",2859.12967/1875200.41724*100)</f>
        <v>0.15247061827173591</v>
      </c>
    </row>
    <row r="29" spans="1:10" x14ac:dyDescent="0.25">
      <c r="A29" s="41" t="s">
        <v>110</v>
      </c>
      <c r="B29" s="28">
        <v>47.509010000000004</v>
      </c>
      <c r="C29" s="37" t="s">
        <v>340</v>
      </c>
      <c r="D29" s="28">
        <f>IF(13.47122="","-",13.47122/1104691.54098*100)</f>
        <v>1.2194553411759936E-3</v>
      </c>
      <c r="E29" s="28">
        <f>IF(47.50901="","-",47.50901/1875200.41724*100)</f>
        <v>2.5335430582895126E-3</v>
      </c>
    </row>
    <row r="30" spans="1:10" x14ac:dyDescent="0.25">
      <c r="A30" s="41" t="s">
        <v>111</v>
      </c>
      <c r="B30" s="28">
        <v>2.9246599999999998</v>
      </c>
      <c r="C30" s="37">
        <v>126.45701907236774</v>
      </c>
      <c r="D30" s="28">
        <f>IF(2.31277="","-",2.31277/1104691.54098*100)</f>
        <v>2.093588946963677E-4</v>
      </c>
      <c r="E30" s="28">
        <f>IF(2.92466="","-",2.92466/1875200.41724*100)</f>
        <v>1.5596519567250518E-4</v>
      </c>
    </row>
    <row r="31" spans="1:10" x14ac:dyDescent="0.25">
      <c r="A31" s="41" t="s">
        <v>112</v>
      </c>
      <c r="B31" s="28">
        <v>39.943449999999999</v>
      </c>
      <c r="C31" s="37">
        <v>113.54312645860753</v>
      </c>
      <c r="D31" s="28">
        <f>IF(35.1791="","-",35.1791/1104691.54098*100)</f>
        <v>3.1845179124655662E-3</v>
      </c>
      <c r="E31" s="28">
        <f>IF(39.94345="","-",39.94345/1875200.41724*100)</f>
        <v>2.130089649766102E-3</v>
      </c>
    </row>
    <row r="32" spans="1:10" x14ac:dyDescent="0.25">
      <c r="A32" s="25" t="s">
        <v>296</v>
      </c>
      <c r="B32" s="26">
        <v>382546.2782</v>
      </c>
      <c r="C32" s="36" t="s">
        <v>198</v>
      </c>
      <c r="D32" s="43">
        <f>IF(210410.72438="","-",210410.72438/1104691.54098*100)</f>
        <v>19.047011457455291</v>
      </c>
      <c r="E32" s="43">
        <f>IF(382546.2782="","-",382546.2782/1875200.41724*100)</f>
        <v>20.400287600354094</v>
      </c>
    </row>
    <row r="33" spans="1:5" x14ac:dyDescent="0.25">
      <c r="A33" s="40" t="s">
        <v>120</v>
      </c>
      <c r="B33" s="26"/>
      <c r="C33" s="36"/>
      <c r="D33" s="86"/>
      <c r="E33" s="86"/>
    </row>
    <row r="34" spans="1:5" x14ac:dyDescent="0.25">
      <c r="A34" s="41" t="s">
        <v>106</v>
      </c>
      <c r="B34" s="28">
        <v>52029.321199999998</v>
      </c>
      <c r="C34" s="37" t="s">
        <v>313</v>
      </c>
      <c r="D34" s="34">
        <f>IF(16443.14817="","-",16443.14817/1104691.54098*100)</f>
        <v>1.4884832154515155</v>
      </c>
      <c r="E34" s="34">
        <f>IF(52029.3212="","-",52029.3212/1875200.41724*100)</f>
        <v>2.7746005558477305</v>
      </c>
    </row>
    <row r="35" spans="1:5" x14ac:dyDescent="0.25">
      <c r="A35" s="41" t="s">
        <v>107</v>
      </c>
      <c r="B35" s="28">
        <v>97778.383730000001</v>
      </c>
      <c r="C35" s="37" t="s">
        <v>401</v>
      </c>
      <c r="D35" s="34">
        <f>IF(3685.77085="","-",3685.77085/1104691.54098*100)</f>
        <v>0.33364706013139728</v>
      </c>
      <c r="E35" s="34">
        <f>IF(97778.38373="","-",97778.38373/1875200.41724*100)</f>
        <v>5.2142897810312139</v>
      </c>
    </row>
    <row r="36" spans="1:5" x14ac:dyDescent="0.25">
      <c r="A36" s="41" t="s">
        <v>108</v>
      </c>
      <c r="B36" s="28">
        <v>224278.34685</v>
      </c>
      <c r="C36" s="37">
        <v>121.98303826469132</v>
      </c>
      <c r="D36" s="34">
        <f>IF(183860.27274="","-",183860.27274/1104691.54098*100)</f>
        <v>16.643584740125089</v>
      </c>
      <c r="E36" s="34">
        <f>IF(224278.34685="","-",224278.34685/1875200.41724*100)</f>
        <v>11.960233412282536</v>
      </c>
    </row>
    <row r="37" spans="1:5" x14ac:dyDescent="0.25">
      <c r="A37" s="41" t="s">
        <v>109</v>
      </c>
      <c r="B37" s="34">
        <v>8217.1051900000002</v>
      </c>
      <c r="C37" s="38">
        <v>129.1288524556617</v>
      </c>
      <c r="D37" s="34">
        <f>IF(6363.49277="","-",6363.49277/1104691.54098*100)</f>
        <v>0.57604250000455182</v>
      </c>
      <c r="E37" s="34">
        <f>IF(8217.10519="","-",8217.10519/1875200.41724*100)</f>
        <v>0.43819877141955232</v>
      </c>
    </row>
    <row r="38" spans="1:5" x14ac:dyDescent="0.25">
      <c r="A38" s="42" t="s">
        <v>110</v>
      </c>
      <c r="B38" s="29">
        <v>243.12123</v>
      </c>
      <c r="C38" s="44" t="s">
        <v>335</v>
      </c>
      <c r="D38" s="29">
        <f>IF(55.89829="","-",55.89829/1104691.54098*100)</f>
        <v>5.0600812920511004E-3</v>
      </c>
      <c r="E38" s="29">
        <f>IF(243.12123="","-",243.12123/1875200.41724*100)</f>
        <v>1.2965079773064268E-2</v>
      </c>
    </row>
    <row r="39" spans="1:5" x14ac:dyDescent="0.25">
      <c r="A39" s="49" t="s">
        <v>19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1"/>
  <sheetViews>
    <sheetView workbookViewId="0">
      <selection activeCell="C12" sqref="C12"/>
    </sheetView>
  </sheetViews>
  <sheetFormatPr defaultRowHeight="15.75" x14ac:dyDescent="0.25"/>
  <cols>
    <col min="1" max="1" width="31.625" customWidth="1"/>
    <col min="2" max="2" width="13.75" customWidth="1"/>
    <col min="3" max="3" width="12.625" customWidth="1"/>
    <col min="4" max="4" width="11.375" customWidth="1"/>
    <col min="5" max="5" width="11.125" customWidth="1"/>
  </cols>
  <sheetData>
    <row r="1" spans="1:5" x14ac:dyDescent="0.25">
      <c r="A1" s="94" t="s">
        <v>292</v>
      </c>
      <c r="B1" s="94"/>
      <c r="C1" s="94"/>
      <c r="D1" s="94"/>
      <c r="E1" s="94"/>
    </row>
    <row r="2" spans="1:5" x14ac:dyDescent="0.25">
      <c r="A2" s="7"/>
      <c r="B2" s="7"/>
      <c r="C2" s="7"/>
      <c r="D2" s="7"/>
      <c r="E2" s="7"/>
    </row>
    <row r="3" spans="1:5" ht="18.75" customHeight="1" x14ac:dyDescent="0.25">
      <c r="A3" s="95"/>
      <c r="B3" s="98" t="s">
        <v>365</v>
      </c>
      <c r="C3" s="99"/>
      <c r="D3" s="98" t="s">
        <v>104</v>
      </c>
      <c r="E3" s="114"/>
    </row>
    <row r="4" spans="1:5" ht="18.75" customHeight="1" x14ac:dyDescent="0.25">
      <c r="A4" s="96"/>
      <c r="B4" s="102" t="s">
        <v>115</v>
      </c>
      <c r="C4" s="104" t="s">
        <v>366</v>
      </c>
      <c r="D4" s="106" t="s">
        <v>367</v>
      </c>
      <c r="E4" s="98"/>
    </row>
    <row r="5" spans="1:5" ht="23.25" customHeight="1" x14ac:dyDescent="0.25">
      <c r="A5" s="97"/>
      <c r="B5" s="103"/>
      <c r="C5" s="105"/>
      <c r="D5" s="60" t="s">
        <v>319</v>
      </c>
      <c r="E5" s="61" t="s">
        <v>320</v>
      </c>
    </row>
    <row r="6" spans="1:5" ht="15.75" customHeight="1" x14ac:dyDescent="0.25">
      <c r="A6" s="39" t="s">
        <v>121</v>
      </c>
      <c r="B6" s="84">
        <v>3581025.7817600002</v>
      </c>
      <c r="C6" s="85">
        <v>133.79698327096082</v>
      </c>
      <c r="D6" s="55">
        <v>100</v>
      </c>
      <c r="E6" s="55">
        <v>100</v>
      </c>
    </row>
    <row r="7" spans="1:5" ht="15.75" customHeight="1" x14ac:dyDescent="0.25">
      <c r="A7" s="40" t="s">
        <v>120</v>
      </c>
      <c r="B7" s="15"/>
      <c r="C7" s="52"/>
      <c r="D7" s="15"/>
      <c r="E7" s="15"/>
    </row>
    <row r="8" spans="1:5" x14ac:dyDescent="0.25">
      <c r="A8" s="41" t="s">
        <v>106</v>
      </c>
      <c r="B8" s="34">
        <v>223343.10579</v>
      </c>
      <c r="C8" s="38" t="s">
        <v>318</v>
      </c>
      <c r="D8" s="28">
        <f>IF(56082.31322="","-",56082.31322/2676462.27457*100)</f>
        <v>2.0953896400056742</v>
      </c>
      <c r="E8" s="28">
        <f>IF(223343.10579="","-",223343.10579/3581025.78176*100)</f>
        <v>6.2368471885234928</v>
      </c>
    </row>
    <row r="9" spans="1:5" x14ac:dyDescent="0.25">
      <c r="A9" s="41" t="s">
        <v>107</v>
      </c>
      <c r="B9" s="34">
        <v>161502.20019999999</v>
      </c>
      <c r="C9" s="38">
        <v>135.27569965644366</v>
      </c>
      <c r="D9" s="28">
        <f>IF(119387.44402="","-",119387.44402/2676462.27457*100)</f>
        <v>4.4606436322432668</v>
      </c>
      <c r="E9" s="28">
        <f>IF(161502.2002="","-",161502.2002/3581025.78176*100)</f>
        <v>4.5099424031687647</v>
      </c>
    </row>
    <row r="10" spans="1:5" x14ac:dyDescent="0.25">
      <c r="A10" s="41" t="s">
        <v>108</v>
      </c>
      <c r="B10" s="34">
        <v>2726354.2989099999</v>
      </c>
      <c r="C10" s="38">
        <v>117.86925746318377</v>
      </c>
      <c r="D10" s="28">
        <f>IF(2313032.55623="","-",2313032.55623/2676462.27457*100)</f>
        <v>86.421265048527971</v>
      </c>
      <c r="E10" s="28">
        <f>IF(2726354.29891="","-",2726354.29891/3581025.78176*100)</f>
        <v>76.133333437494912</v>
      </c>
    </row>
    <row r="11" spans="1:5" x14ac:dyDescent="0.25">
      <c r="A11" s="41" t="s">
        <v>109</v>
      </c>
      <c r="B11" s="34">
        <v>58742.627280000001</v>
      </c>
      <c r="C11" s="38">
        <v>90.859498974169512</v>
      </c>
      <c r="D11" s="28">
        <f>IF(64652.15849="","-",64652.15849/2676462.27457*100)</f>
        <v>2.4155826556676203</v>
      </c>
      <c r="E11" s="28">
        <f>IF(58742.62728="","-",58742.62728/3581025.78176*100)</f>
        <v>1.6403854889625848</v>
      </c>
    </row>
    <row r="12" spans="1:5" x14ac:dyDescent="0.25">
      <c r="A12" s="41" t="s">
        <v>110</v>
      </c>
      <c r="B12" s="34">
        <v>4436.7710699999998</v>
      </c>
      <c r="C12" s="38">
        <v>90.852051615105495</v>
      </c>
      <c r="D12" s="28">
        <f>IF(4883.51225="","-",4883.51225/2676462.27457*100)</f>
        <v>0.1824614640153889</v>
      </c>
      <c r="E12" s="28">
        <f>IF(4436.77107="","-",4436.77107/3581025.78176*100)</f>
        <v>0.12389665253455447</v>
      </c>
    </row>
    <row r="13" spans="1:5" x14ac:dyDescent="0.25">
      <c r="A13" s="41" t="s">
        <v>111</v>
      </c>
      <c r="B13" s="34">
        <v>389372.88367000001</v>
      </c>
      <c r="C13" s="38" t="s">
        <v>301</v>
      </c>
      <c r="D13" s="28">
        <f>IF(104015.36443="","-",104015.36443/2676462.27457*100)</f>
        <v>3.8863004129849394</v>
      </c>
      <c r="E13" s="28">
        <f>IF(389372.88367="","-",389372.88367/3581025.78176*100)</f>
        <v>10.873222015135319</v>
      </c>
    </row>
    <row r="14" spans="1:5" x14ac:dyDescent="0.25">
      <c r="A14" s="41" t="s">
        <v>112</v>
      </c>
      <c r="B14" s="34">
        <v>17273.894840000001</v>
      </c>
      <c r="C14" s="38">
        <v>119.88329264733753</v>
      </c>
      <c r="D14" s="28">
        <f>IF(14408.92593="","-",14408.92593/2676462.27457*100)</f>
        <v>0.53835714655514566</v>
      </c>
      <c r="E14" s="28">
        <f>IF(17273.89484="","-",17273.89484/3581025.78176*100)</f>
        <v>0.48237281418036143</v>
      </c>
    </row>
    <row r="15" spans="1:5" x14ac:dyDescent="0.25">
      <c r="A15" s="25" t="s">
        <v>200</v>
      </c>
      <c r="B15" s="68">
        <v>1609319.13488</v>
      </c>
      <c r="C15" s="52">
        <v>127.01885543204763</v>
      </c>
      <c r="D15" s="26">
        <f>IF(1266992.31339="","-",1266992.31339/2676462.27457*100)</f>
        <v>47.338321388951947</v>
      </c>
      <c r="E15" s="26">
        <f>IF(1609319.13488="","-",1609319.13488/3581025.78176*100)</f>
        <v>44.940171698206896</v>
      </c>
    </row>
    <row r="16" spans="1:5" x14ac:dyDescent="0.25">
      <c r="A16" s="40" t="s">
        <v>120</v>
      </c>
      <c r="B16" s="86"/>
      <c r="C16" s="52"/>
      <c r="D16" s="86"/>
      <c r="E16" s="86"/>
    </row>
    <row r="17" spans="1:6" x14ac:dyDescent="0.25">
      <c r="A17" s="41" t="s">
        <v>106</v>
      </c>
      <c r="B17" s="34">
        <v>56142.455410000002</v>
      </c>
      <c r="C17" s="38" t="s">
        <v>326</v>
      </c>
      <c r="D17" s="28">
        <f>IF(19545.04163="","-",19545.04163/2676462.27457*100)</f>
        <v>0.73025657098567187</v>
      </c>
      <c r="E17" s="28">
        <f>IF(56142.45541="","-",56142.45541/3581025.78176*100)</f>
        <v>1.5677757947446875</v>
      </c>
    </row>
    <row r="18" spans="1:6" x14ac:dyDescent="0.25">
      <c r="A18" s="41" t="s">
        <v>107</v>
      </c>
      <c r="B18" s="34">
        <v>70235.738339999996</v>
      </c>
      <c r="C18" s="38" t="s">
        <v>198</v>
      </c>
      <c r="D18" s="28">
        <f>IF(38603.34411="","-",38603.34411/2676462.27457*100)</f>
        <v>1.4423272271305227</v>
      </c>
      <c r="E18" s="28">
        <f>IF(70235.73834="","-",70235.73834/3581025.78176*100)</f>
        <v>1.9613301500856712</v>
      </c>
    </row>
    <row r="19" spans="1:6" x14ac:dyDescent="0.25">
      <c r="A19" s="41" t="s">
        <v>108</v>
      </c>
      <c r="B19" s="34">
        <v>1450724.2855100001</v>
      </c>
      <c r="C19" s="38">
        <v>122.88787965114479</v>
      </c>
      <c r="D19" s="28">
        <f>IF(1180526.74489="","-",1180526.74489/2676462.27457*100)</f>
        <v>44.107729673853271</v>
      </c>
      <c r="E19" s="28">
        <f>IF(1450724.28551="","-",1450724.28551/3581025.78176*100)</f>
        <v>40.511416949279798</v>
      </c>
    </row>
    <row r="20" spans="1:6" x14ac:dyDescent="0.25">
      <c r="A20" s="41" t="s">
        <v>109</v>
      </c>
      <c r="B20" s="34">
        <v>14009.83495</v>
      </c>
      <c r="C20" s="38">
        <v>100.97564342207359</v>
      </c>
      <c r="D20" s="28">
        <f>IF(13874.4696="","-",13874.4696/2676462.27457*100)</f>
        <v>0.51838838648413499</v>
      </c>
      <c r="E20" s="28">
        <f>IF(14009.83495="","-",14009.83495/3581025.78176*100)</f>
        <v>0.39122407387735858</v>
      </c>
    </row>
    <row r="21" spans="1:6" x14ac:dyDescent="0.25">
      <c r="A21" s="41" t="s">
        <v>110</v>
      </c>
      <c r="B21" s="34">
        <v>2972.47208</v>
      </c>
      <c r="C21" s="38">
        <v>126.22830230821309</v>
      </c>
      <c r="D21" s="28">
        <f>IF(2354.83804="","-",2354.83804/2676462.27457*100)</f>
        <v>8.7983233030188263E-2</v>
      </c>
      <c r="E21" s="28">
        <f>IF(2972.47208="","-",2972.47208/3581025.78176*100)</f>
        <v>8.3006162511879242E-2</v>
      </c>
    </row>
    <row r="22" spans="1:6" x14ac:dyDescent="0.25">
      <c r="A22" s="41" t="s">
        <v>112</v>
      </c>
      <c r="B22" s="34">
        <v>15234.34859</v>
      </c>
      <c r="C22" s="38">
        <v>126.0299964945369</v>
      </c>
      <c r="D22" s="28">
        <f>IF(12087.87512="","-",12087.87512/2676462.27457*100)</f>
        <v>0.45163629746815831</v>
      </c>
      <c r="E22" s="28">
        <f>IF(15234.34859="","-",15234.34859/3581025.78176*100)</f>
        <v>0.42541856770750841</v>
      </c>
      <c r="F22" s="52"/>
    </row>
    <row r="23" spans="1:6" x14ac:dyDescent="0.25">
      <c r="A23" s="25" t="s">
        <v>201</v>
      </c>
      <c r="B23" s="68">
        <v>1002834.65651</v>
      </c>
      <c r="C23" s="87" t="s">
        <v>100</v>
      </c>
      <c r="D23" s="26">
        <f>IF(612204.20412="","-",612204.20412/2676462.27457*100)</f>
        <v>22.873634720607324</v>
      </c>
      <c r="E23" s="26">
        <f>IF(1002834.65651="","-",1002834.65651/3581025.78176*100)</f>
        <v>28.004117189492213</v>
      </c>
      <c r="F23" s="52"/>
    </row>
    <row r="24" spans="1:6" x14ac:dyDescent="0.25">
      <c r="A24" s="41" t="s">
        <v>120</v>
      </c>
      <c r="B24" s="86"/>
      <c r="C24" s="86"/>
      <c r="D24" s="86"/>
      <c r="E24" s="86"/>
      <c r="F24" s="38"/>
    </row>
    <row r="25" spans="1:6" x14ac:dyDescent="0.25">
      <c r="A25" s="41" t="s">
        <v>106</v>
      </c>
      <c r="B25" s="34">
        <v>82106.765549999996</v>
      </c>
      <c r="C25" s="86" t="s">
        <v>300</v>
      </c>
      <c r="D25" s="28">
        <f>IF(24547.40514="","-",24547.40514/2676462.27457*100)</f>
        <v>0.91715864532197766</v>
      </c>
      <c r="E25" s="28">
        <f>IF(82106.76555="","-",82106.76555/3581025.78176*100)</f>
        <v>2.2928281043999137</v>
      </c>
      <c r="F25" s="38"/>
    </row>
    <row r="26" spans="1:6" x14ac:dyDescent="0.25">
      <c r="A26" s="41" t="s">
        <v>107</v>
      </c>
      <c r="B26" s="34">
        <v>91195.341409999994</v>
      </c>
      <c r="C26" s="86">
        <v>112.88773596734872</v>
      </c>
      <c r="D26" s="28">
        <f>IF(80784.09991="","-",80784.09991/2676462.27457*100)</f>
        <v>3.0183164051127442</v>
      </c>
      <c r="E26" s="28">
        <f>IF(91195.34141="","-",91195.34141/3581025.78176*100)</f>
        <v>2.5466262173957142</v>
      </c>
      <c r="F26" s="38"/>
    </row>
    <row r="27" spans="1:6" x14ac:dyDescent="0.25">
      <c r="A27" s="41" t="s">
        <v>108</v>
      </c>
      <c r="B27" s="34">
        <v>434013.19351999997</v>
      </c>
      <c r="C27" s="86">
        <v>111.16001349002549</v>
      </c>
      <c r="D27" s="28">
        <f>IF(390440.03315="","-",390440.03315/2676462.27457*100)</f>
        <v>14.58791468348748</v>
      </c>
      <c r="E27" s="28">
        <f>IF(434013.19352="","-",434013.19352/3581025.78176*100)</f>
        <v>12.119800860710125</v>
      </c>
      <c r="F27" s="38"/>
    </row>
    <row r="28" spans="1:6" x14ac:dyDescent="0.25">
      <c r="A28" s="41" t="s">
        <v>109</v>
      </c>
      <c r="B28" s="34">
        <v>5679.3260600000003</v>
      </c>
      <c r="C28" s="86">
        <v>49.221329302215125</v>
      </c>
      <c r="D28" s="28">
        <f>IF(11538.34352="","-",11538.34352/2676462.27457*100)</f>
        <v>0.4311042838014128</v>
      </c>
      <c r="E28" s="28">
        <f>IF(5679.32606="","-",5679.32606/3581025.78176*100)</f>
        <v>0.15859495033316204</v>
      </c>
      <c r="F28" s="38"/>
    </row>
    <row r="29" spans="1:6" x14ac:dyDescent="0.25">
      <c r="A29" s="41" t="s">
        <v>110</v>
      </c>
      <c r="B29" s="34">
        <v>32.275260000000003</v>
      </c>
      <c r="C29" s="86">
        <v>23.870634112832384</v>
      </c>
      <c r="D29" s="28">
        <f>IF(135.20906="","-",135.20906/2676462.27457*100)</f>
        <v>5.0517827687940288E-3</v>
      </c>
      <c r="E29" s="28">
        <f>IF(32.27526="","-",32.27526/3581025.78176*100)</f>
        <v>9.0128532903601104E-4</v>
      </c>
      <c r="F29" s="38"/>
    </row>
    <row r="30" spans="1:6" x14ac:dyDescent="0.25">
      <c r="A30" s="41" t="s">
        <v>111</v>
      </c>
      <c r="B30" s="34">
        <v>389372.88367000001</v>
      </c>
      <c r="C30" s="86" t="s">
        <v>301</v>
      </c>
      <c r="D30" s="28">
        <f>IF(104015.36443="","-",104015.36443/2676462.27457*100)</f>
        <v>3.8863004129849394</v>
      </c>
      <c r="E30" s="28">
        <f>IF(389372.88367="","-",389372.88367/3581025.78176*100)</f>
        <v>10.873222015135319</v>
      </c>
    </row>
    <row r="31" spans="1:6" x14ac:dyDescent="0.25">
      <c r="A31" s="41" t="s">
        <v>112</v>
      </c>
      <c r="B31" s="34">
        <v>434.87103999999999</v>
      </c>
      <c r="C31" s="51">
        <v>58.470141489014082</v>
      </c>
      <c r="D31" s="28">
        <f>IF(743.74891="","-",743.74891/2676462.27457*100)</f>
        <v>2.7788507129975919E-2</v>
      </c>
      <c r="E31" s="28">
        <f>IF(434.87104="","-",434.87104/3581025.78176*100)</f>
        <v>1.2143756188939524E-2</v>
      </c>
    </row>
    <row r="32" spans="1:6" x14ac:dyDescent="0.25">
      <c r="A32" s="25" t="s">
        <v>202</v>
      </c>
      <c r="B32" s="68">
        <v>968871.99037000001</v>
      </c>
      <c r="C32" s="52">
        <v>121.52434514970463</v>
      </c>
      <c r="D32" s="43">
        <f>IF(797265.75706="","-",797265.75706/2676462.27457*100)</f>
        <v>29.788043890440736</v>
      </c>
      <c r="E32" s="43">
        <f>IF(968871.99037="","-",968871.99037/3581025.78176*100)</f>
        <v>27.055711112300884</v>
      </c>
    </row>
    <row r="33" spans="1:5" x14ac:dyDescent="0.25">
      <c r="A33" s="41" t="s">
        <v>120</v>
      </c>
      <c r="B33" s="86"/>
      <c r="C33" s="52"/>
      <c r="D33" s="86"/>
      <c r="E33" s="86"/>
    </row>
    <row r="34" spans="1:5" x14ac:dyDescent="0.25">
      <c r="A34" s="41" t="s">
        <v>106</v>
      </c>
      <c r="B34" s="34">
        <v>85093.884829999995</v>
      </c>
      <c r="C34" s="38" t="s">
        <v>402</v>
      </c>
      <c r="D34" s="34">
        <f>IF(11989.86645="","-",11989.86645/2676462.27457*100)</f>
        <v>0.4479744236980247</v>
      </c>
      <c r="E34" s="34">
        <f>IF(85093.88483="","-",85093.88483/3581025.78176*100)</f>
        <v>2.3762432893788916</v>
      </c>
    </row>
    <row r="35" spans="1:5" x14ac:dyDescent="0.25">
      <c r="A35" s="41" t="s">
        <v>107</v>
      </c>
      <c r="B35" s="34">
        <v>71.120450000000005</v>
      </c>
      <c r="C35" s="38" t="s">
        <v>285</v>
      </c>
      <c r="D35" s="86" t="s">
        <v>285</v>
      </c>
      <c r="E35" s="34">
        <f>IF(71.12045="","-",71.12045/3581025.78176*100)</f>
        <v>1.9860356873791E-3</v>
      </c>
    </row>
    <row r="36" spans="1:5" x14ac:dyDescent="0.25">
      <c r="A36" s="41" t="s">
        <v>108</v>
      </c>
      <c r="B36" s="34">
        <v>841616.81987999997</v>
      </c>
      <c r="C36" s="38">
        <v>113.41539316539009</v>
      </c>
      <c r="D36" s="34">
        <f>IF(742065.77819="","-",742065.77819/2676462.27457*100)</f>
        <v>27.725620691187221</v>
      </c>
      <c r="E36" s="34">
        <f>IF(841616.81988="","-",841616.81988/3581025.78176*100)</f>
        <v>23.502115627504995</v>
      </c>
    </row>
    <row r="37" spans="1:5" x14ac:dyDescent="0.25">
      <c r="A37" s="41" t="s">
        <v>109</v>
      </c>
      <c r="B37" s="34">
        <v>39053.466269999997</v>
      </c>
      <c r="C37" s="38">
        <v>99.526294085063611</v>
      </c>
      <c r="D37" s="34">
        <f>IF(39239.34537="","-",39239.34537/2676462.27457*100)</f>
        <v>1.4660899853820728</v>
      </c>
      <c r="E37" s="34">
        <f>IF(39053.46627="","-",39053.46627/3581025.78176*100)</f>
        <v>1.0905664647520641</v>
      </c>
    </row>
    <row r="38" spans="1:5" x14ac:dyDescent="0.25">
      <c r="A38" s="41" t="s">
        <v>110</v>
      </c>
      <c r="B38" s="34">
        <v>1432.0237299999999</v>
      </c>
      <c r="C38" s="38">
        <v>59.830565320744277</v>
      </c>
      <c r="D38" s="34">
        <f>IF(2393.46515="","-",2393.46515/2676462.27457*100)</f>
        <v>8.9426448216406634E-2</v>
      </c>
      <c r="E38" s="34">
        <f>IF(1432.02373="","-",1432.02373/3581025.78176*100)</f>
        <v>3.9989204693639202E-2</v>
      </c>
    </row>
    <row r="39" spans="1:5" x14ac:dyDescent="0.25">
      <c r="A39" s="42" t="s">
        <v>112</v>
      </c>
      <c r="B39" s="29">
        <v>1604.6752100000001</v>
      </c>
      <c r="C39" s="44">
        <v>101.73545153277253</v>
      </c>
      <c r="D39" s="29">
        <f>IF(1577.3019="","-",1577.3019/2676462.27457*100)</f>
        <v>5.8932341957011483E-2</v>
      </c>
      <c r="E39" s="29">
        <f>IF(1604.67521="","-",1604.67521/3581025.78176*100)</f>
        <v>4.4810490283913443E-2</v>
      </c>
    </row>
    <row r="40" spans="1:5" x14ac:dyDescent="0.25">
      <c r="A40" s="49" t="s">
        <v>19</v>
      </c>
    </row>
    <row r="41" spans="1:5" x14ac:dyDescent="0.25">
      <c r="B41" s="1"/>
      <c r="C41" s="1"/>
      <c r="D41" s="1"/>
      <c r="E41" s="1"/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3"/>
  <sheetViews>
    <sheetView zoomScaleNormal="100" workbookViewId="0">
      <selection activeCell="K20" sqref="K20"/>
    </sheetView>
  </sheetViews>
  <sheetFormatPr defaultRowHeight="15.75" x14ac:dyDescent="0.25"/>
  <cols>
    <col min="1" max="1" width="4.875" customWidth="1"/>
    <col min="2" max="2" width="26.125" customWidth="1"/>
    <col min="3" max="3" width="11.75" customWidth="1"/>
    <col min="4" max="4" width="10.25" customWidth="1"/>
    <col min="5" max="5" width="7.25" customWidth="1"/>
    <col min="6" max="6" width="7.125" customWidth="1"/>
    <col min="7" max="8" width="9.625" customWidth="1"/>
    <col min="10" max="10" width="9.125" customWidth="1"/>
  </cols>
  <sheetData>
    <row r="1" spans="1:11" x14ac:dyDescent="0.25">
      <c r="B1" s="107" t="s">
        <v>128</v>
      </c>
      <c r="C1" s="107"/>
      <c r="D1" s="107"/>
      <c r="E1" s="107"/>
      <c r="F1" s="107"/>
      <c r="G1" s="107"/>
      <c r="H1" s="107"/>
    </row>
    <row r="2" spans="1:11" x14ac:dyDescent="0.25">
      <c r="B2" s="107" t="s">
        <v>283</v>
      </c>
      <c r="C2" s="107"/>
      <c r="D2" s="107"/>
      <c r="E2" s="107"/>
      <c r="F2" s="107"/>
      <c r="G2" s="107"/>
      <c r="H2" s="107"/>
    </row>
    <row r="3" spans="1:11" x14ac:dyDescent="0.25">
      <c r="B3" s="6"/>
    </row>
    <row r="4" spans="1:11" ht="57" customHeight="1" x14ac:dyDescent="0.25">
      <c r="A4" s="115" t="s">
        <v>209</v>
      </c>
      <c r="B4" s="118"/>
      <c r="C4" s="121" t="s">
        <v>365</v>
      </c>
      <c r="D4" s="113"/>
      <c r="E4" s="121" t="s">
        <v>0</v>
      </c>
      <c r="F4" s="113"/>
      <c r="G4" s="110" t="s">
        <v>102</v>
      </c>
      <c r="H4" s="122"/>
    </row>
    <row r="5" spans="1:11" ht="19.5" customHeight="1" x14ac:dyDescent="0.25">
      <c r="A5" s="116"/>
      <c r="B5" s="119"/>
      <c r="C5" s="123" t="s">
        <v>105</v>
      </c>
      <c r="D5" s="108" t="s">
        <v>366</v>
      </c>
      <c r="E5" s="125" t="s">
        <v>367</v>
      </c>
      <c r="F5" s="125"/>
      <c r="G5" s="125" t="s">
        <v>371</v>
      </c>
      <c r="H5" s="121"/>
    </row>
    <row r="6" spans="1:11" ht="33" customHeight="1" x14ac:dyDescent="0.25">
      <c r="A6" s="117"/>
      <c r="B6" s="120"/>
      <c r="C6" s="124"/>
      <c r="D6" s="109"/>
      <c r="E6" s="64" t="s">
        <v>319</v>
      </c>
      <c r="F6" s="64" t="s">
        <v>320</v>
      </c>
      <c r="G6" s="64" t="s">
        <v>319</v>
      </c>
      <c r="H6" s="63" t="s">
        <v>320</v>
      </c>
      <c r="I6" s="1"/>
    </row>
    <row r="7" spans="1:11" ht="16.5" customHeight="1" x14ac:dyDescent="0.25">
      <c r="A7" s="82"/>
      <c r="B7" s="32" t="s">
        <v>96</v>
      </c>
      <c r="C7" s="23">
        <v>1875200.4172400001</v>
      </c>
      <c r="D7" s="24" t="s">
        <v>99</v>
      </c>
      <c r="E7" s="127">
        <v>100</v>
      </c>
      <c r="F7" s="127">
        <v>100</v>
      </c>
      <c r="G7" s="24">
        <f>IF(980597.75708="","-",(1104691.54098-980597.75708)/980597.75708*100)</f>
        <v>12.654912068076055</v>
      </c>
      <c r="H7" s="24">
        <f>IF(1104691.54098="","-",(1875200.41724-1104691.54098)/1104691.54098*100)</f>
        <v>69.748780331608401</v>
      </c>
    </row>
    <row r="8" spans="1:11" x14ac:dyDescent="0.25">
      <c r="A8" s="18" t="s">
        <v>210</v>
      </c>
      <c r="B8" s="19" t="s">
        <v>176</v>
      </c>
      <c r="C8" s="16">
        <f>IF(516150.22099="","-",516150.22099)</f>
        <v>516150.22099</v>
      </c>
      <c r="D8" s="26" t="s">
        <v>286</v>
      </c>
      <c r="E8" s="137">
        <f>IF(192379.97088="","-",192379.97088/1104691.54098*100)</f>
        <v>17.414813433742314</v>
      </c>
      <c r="F8" s="137">
        <f>IF(516150.22099="","-",516150.22099/1875200.41724*100)</f>
        <v>27.525069653604916</v>
      </c>
      <c r="G8" s="26">
        <f>IF(980597.75708="","-",(192379.97088-285510.58343)/980597.75708*100)</f>
        <v>-9.4973307737641637</v>
      </c>
      <c r="H8" s="26">
        <f>IF(1104691.54098="","-",(516150.22099-192379.97088)/1104691.54098*100)</f>
        <v>29.3086565886777</v>
      </c>
    </row>
    <row r="9" spans="1:11" ht="13.5" customHeight="1" x14ac:dyDescent="0.25">
      <c r="A9" s="20" t="s">
        <v>211</v>
      </c>
      <c r="B9" s="21" t="s">
        <v>21</v>
      </c>
      <c r="C9" s="17">
        <f>IF(4044.08649="","-",4044.08649)</f>
        <v>4044.0864900000001</v>
      </c>
      <c r="D9" s="28">
        <f>IF(OR(4283.79049="",4044.08649=""),"-",4044.08649/4283.79049*100)</f>
        <v>94.404394879731839</v>
      </c>
      <c r="E9" s="138">
        <f>IF(4283.79049="","-",4283.79049/1104691.54098*100)</f>
        <v>0.38778159613675872</v>
      </c>
      <c r="F9" s="138">
        <f>IF(4044.08649="","-",4044.08649/1875200.41724*100)</f>
        <v>0.21566156090943386</v>
      </c>
      <c r="G9" s="28">
        <f>IF(OR(980597.75708="",5481.70788="",4283.79049=""),"-",(4283.79049-5481.70788)/980597.75708*100)</f>
        <v>-0.12216195492503762</v>
      </c>
      <c r="H9" s="28">
        <f>IF(OR(1104691.54098="",4044.08649="",4283.79049=""),"-",(4044.08649-4283.79049)/1104691.54098*100)</f>
        <v>-2.1698726848886039E-2</v>
      </c>
      <c r="I9" s="18"/>
      <c r="J9" s="19"/>
      <c r="K9" s="16"/>
    </row>
    <row r="10" spans="1:11" x14ac:dyDescent="0.25">
      <c r="A10" s="20" t="s">
        <v>212</v>
      </c>
      <c r="B10" s="21" t="s">
        <v>177</v>
      </c>
      <c r="C10" s="17">
        <f>IF(868.08979="","-",868.08979)</f>
        <v>868.08978999999999</v>
      </c>
      <c r="D10" s="28">
        <f>IF(OR(2397.19496="",868.08979=""),"-",868.08979/2397.19496*100)</f>
        <v>36.212732150913581</v>
      </c>
      <c r="E10" s="138">
        <f>IF(2397.19496="","-",2397.19496/1104691.54098*100)</f>
        <v>0.21700129593401132</v>
      </c>
      <c r="F10" s="138">
        <f>IF(868.08979="","-",868.08979/1875200.41724*100)</f>
        <v>4.6293173893257315E-2</v>
      </c>
      <c r="G10" s="28">
        <f>IF(OR(980597.75708="",1297.4416="",2397.19496=""),"-",(2397.19496-1297.4416)/980597.75708*100)</f>
        <v>0.11215132321685278</v>
      </c>
      <c r="H10" s="28">
        <f>IF(OR(1104691.54098="",868.08979="",2397.19496=""),"-",(868.08979-2397.19496)/1104691.54098*100)</f>
        <v>-0.13841919787341644</v>
      </c>
      <c r="I10" s="20"/>
      <c r="J10" s="21"/>
      <c r="K10" s="17"/>
    </row>
    <row r="11" spans="1:11" s="7" customFormat="1" x14ac:dyDescent="0.25">
      <c r="A11" s="20" t="s">
        <v>213</v>
      </c>
      <c r="B11" s="21" t="s">
        <v>178</v>
      </c>
      <c r="C11" s="17">
        <f>IF(5500.51644="","-",5500.51644)</f>
        <v>5500.5164400000003</v>
      </c>
      <c r="D11" s="28">
        <f>IF(OR(3831.06436="",5500.51644=""),"-",5500.51644/3831.06436*100)</f>
        <v>143.57671715021775</v>
      </c>
      <c r="E11" s="138">
        <f>IF(3831.06436="","-",3831.06436/1104691.54098*100)</f>
        <v>0.34679946554142754</v>
      </c>
      <c r="F11" s="138">
        <f>IF(5500.51644="","-",5500.51644/1875200.41724*100)</f>
        <v>0.2933295230435099</v>
      </c>
      <c r="G11" s="28">
        <f>IF(OR(980597.75708="",3984.90764="",3831.06436=""),"-",(3831.06436-3984.90764)/980597.75708*100)</f>
        <v>-1.5688724442743048E-2</v>
      </c>
      <c r="H11" s="28">
        <f>IF(OR(1104691.54098="",5500.51644="",3831.06436=""),"-",(5500.51644-3831.06436)/1104691.54098*100)</f>
        <v>0.15112382217745479</v>
      </c>
      <c r="I11" s="20"/>
      <c r="J11" s="21"/>
      <c r="K11" s="17"/>
    </row>
    <row r="12" spans="1:11" s="7" customFormat="1" x14ac:dyDescent="0.25">
      <c r="A12" s="20" t="s">
        <v>214</v>
      </c>
      <c r="B12" s="21" t="s">
        <v>179</v>
      </c>
      <c r="C12" s="17">
        <f>IF(55.80032="","-",55.80032)</f>
        <v>55.800319999999999</v>
      </c>
      <c r="D12" s="28">
        <f>IF(OR(39.30529="",55.80032=""),"-",55.80032/39.30529*100)</f>
        <v>141.9664375965678</v>
      </c>
      <c r="E12" s="138">
        <f>IF(39.30529="","-",39.30529/1104691.54098*100)</f>
        <v>3.5580330383566867E-3</v>
      </c>
      <c r="F12" s="138">
        <f>IF(55.80032="","-",55.80032/1875200.41724*100)</f>
        <v>2.9756989965973495E-3</v>
      </c>
      <c r="G12" s="28">
        <f>IF(OR(980597.75708="",2.95359="",39.30529=""),"-",(39.30529-2.95359)/980597.75708*100)</f>
        <v>3.7070959766670485E-3</v>
      </c>
      <c r="H12" s="28">
        <f>IF(OR(1104691.54098="",55.80032="",39.30529=""),"-",(55.80032-39.30529)/1104691.54098*100)</f>
        <v>1.4931797147072238E-3</v>
      </c>
      <c r="I12" s="20"/>
      <c r="J12" s="21"/>
      <c r="K12" s="17"/>
    </row>
    <row r="13" spans="1:11" s="7" customFormat="1" ht="15.75" customHeight="1" x14ac:dyDescent="0.25">
      <c r="A13" s="20" t="s">
        <v>215</v>
      </c>
      <c r="B13" s="21" t="s">
        <v>180</v>
      </c>
      <c r="C13" s="17">
        <f>IF(306289.01163="","-",306289.01163)</f>
        <v>306289.01163000002</v>
      </c>
      <c r="D13" s="28" t="s">
        <v>375</v>
      </c>
      <c r="E13" s="138">
        <f>IF(51448.90166="","-",51448.90166/1104691.54098*100)</f>
        <v>4.6573092805941441</v>
      </c>
      <c r="F13" s="138">
        <f>IF(306289.01163="","-",306289.01163/1875200.41724*100)</f>
        <v>16.333668060975011</v>
      </c>
      <c r="G13" s="28">
        <f>IF(OR(980597.75708="",102041.44986="",51448.90166=""),"-",(51448.90166-102041.44986)/980597.75708*100)</f>
        <v>-5.1593579359852138</v>
      </c>
      <c r="H13" s="28">
        <f>IF(OR(1104691.54098="",306289.01163="",51448.90166=""),"-",(306289.01163-51448.90166)/1104691.54098*100)</f>
        <v>23.068893036324408</v>
      </c>
      <c r="I13" s="20"/>
      <c r="J13" s="21"/>
      <c r="K13" s="17"/>
    </row>
    <row r="14" spans="1:11" s="7" customFormat="1" ht="15.75" customHeight="1" x14ac:dyDescent="0.25">
      <c r="A14" s="20" t="s">
        <v>216</v>
      </c>
      <c r="B14" s="21" t="s">
        <v>181</v>
      </c>
      <c r="C14" s="17">
        <f>IF(153456.64382="","-",153456.64382)</f>
        <v>153456.64382</v>
      </c>
      <c r="D14" s="28">
        <f>IF(OR(112302.39486="",153456.64382=""),"-",153456.64382/112302.39486*100)</f>
        <v>136.64592283299416</v>
      </c>
      <c r="E14" s="138">
        <f>IF(112302.39486="","-",112302.39486/1104691.54098*100)</f>
        <v>10.165950466170283</v>
      </c>
      <c r="F14" s="138">
        <f>IF(153456.64382="","-",153456.64382/1875200.41724*100)</f>
        <v>8.1834796115214203</v>
      </c>
      <c r="G14" s="28">
        <f>IF(OR(980597.75708="",144995.00308="",112302.39486=""),"-",(112302.39486-144995.00308)/980597.75708*100)</f>
        <v>-3.3339468690353979</v>
      </c>
      <c r="H14" s="28">
        <f>IF(OR(1104691.54098="",153456.64382="",112302.39486=""),"-",(153456.64382-112302.39486)/1104691.54098*100)</f>
        <v>3.725406363073172</v>
      </c>
      <c r="I14" s="20"/>
      <c r="J14" s="21"/>
      <c r="K14" s="17"/>
    </row>
    <row r="15" spans="1:11" s="7" customFormat="1" ht="25.5" x14ac:dyDescent="0.25">
      <c r="A15" s="20" t="s">
        <v>217</v>
      </c>
      <c r="B15" s="21" t="s">
        <v>139</v>
      </c>
      <c r="C15" s="17">
        <f>IF(12499.99714="","-",12499.99714)</f>
        <v>12499.997139999999</v>
      </c>
      <c r="D15" s="28" t="s">
        <v>286</v>
      </c>
      <c r="E15" s="138">
        <f>IF(4676.53322="","-",4676.53322/1104691.54098*100)</f>
        <v>0.42333384899927162</v>
      </c>
      <c r="F15" s="138">
        <f>IF(12499.99714="","-",12499.99714/1875200.41724*100)</f>
        <v>0.66659526230257715</v>
      </c>
      <c r="G15" s="28">
        <f>IF(OR(980597.75708="",9100.55302="",4676.53322=""),"-",(4676.53322-9100.55302)/980597.75708*100)</f>
        <v>-0.45115540679735355</v>
      </c>
      <c r="H15" s="28">
        <f>IF(OR(1104691.54098="",12499.99714="",4676.53322=""),"-",(12499.99714-4676.53322)/1104691.54098*100)</f>
        <v>0.70820347850763887</v>
      </c>
      <c r="I15" s="20"/>
      <c r="J15" s="21"/>
      <c r="K15" s="17"/>
    </row>
    <row r="16" spans="1:11" s="7" customFormat="1" ht="25.5" x14ac:dyDescent="0.25">
      <c r="A16" s="20" t="s">
        <v>218</v>
      </c>
      <c r="B16" s="21" t="s">
        <v>182</v>
      </c>
      <c r="C16" s="17">
        <f>IF(4798.24839="","-",4798.24839)</f>
        <v>4798.2483899999997</v>
      </c>
      <c r="D16" s="28">
        <f>IF(OR(4137.12727="",4798.24839=""),"-",4798.24839/4137.12727*100)</f>
        <v>115.98019777622166</v>
      </c>
      <c r="E16" s="138">
        <f>IF(4137.12727="","-",4137.12727/1104691.54098*100)</f>
        <v>0.37450520045893071</v>
      </c>
      <c r="F16" s="138">
        <f>IF(4798.24839="","-",4798.24839/1875200.41724*100)</f>
        <v>0.25587923007516528</v>
      </c>
      <c r="G16" s="28">
        <f>IF(OR(980597.75708="",3373.61285="",4137.12727=""),"-",(4137.12727-3373.61285)/980597.75708*100)</f>
        <v>7.7862142197181294E-2</v>
      </c>
      <c r="H16" s="28">
        <f>IF(OR(1104691.54098="",4798.24839="",4137.12727=""),"-",(4798.24839-4137.12727)/1104691.54098*100)</f>
        <v>5.9846671715572508E-2</v>
      </c>
      <c r="I16" s="20"/>
      <c r="J16" s="21"/>
      <c r="K16" s="17"/>
    </row>
    <row r="17" spans="1:11" s="7" customFormat="1" ht="25.5" x14ac:dyDescent="0.25">
      <c r="A17" s="20" t="s">
        <v>219</v>
      </c>
      <c r="B17" s="21" t="s">
        <v>140</v>
      </c>
      <c r="C17" s="17">
        <f>IF(25556.66593="","-",25556.66593)</f>
        <v>25556.665929999999</v>
      </c>
      <c r="D17" s="28" t="s">
        <v>340</v>
      </c>
      <c r="E17" s="138">
        <f>IF(7311.21107="","-",7311.21107/1104691.54098*100)</f>
        <v>0.66183281022628615</v>
      </c>
      <c r="F17" s="138">
        <f>IF(25556.66593="","-",25556.66593/1875200.41724*100)</f>
        <v>1.3628765061611596</v>
      </c>
      <c r="G17" s="28">
        <f>IF(OR(980597.75708="",14025.08415="",7311.21107=""),"-",(7311.21107-14025.08415)/980597.75708*100)</f>
        <v>-0.68467147018492147</v>
      </c>
      <c r="H17" s="28">
        <f>IF(OR(1104691.54098="",25556.66593="",7311.21107=""),"-",(25556.66593-7311.21107)/1104691.54098*100)</f>
        <v>1.6516334364083198</v>
      </c>
      <c r="I17" s="20"/>
      <c r="J17" s="21"/>
      <c r="K17" s="17"/>
    </row>
    <row r="18" spans="1:11" s="7" customFormat="1" ht="25.5" x14ac:dyDescent="0.25">
      <c r="A18" s="20" t="s">
        <v>220</v>
      </c>
      <c r="B18" s="21" t="s">
        <v>183</v>
      </c>
      <c r="C18" s="17">
        <f>IF(3081.16104="","-",3081.16104)</f>
        <v>3081.16104</v>
      </c>
      <c r="D18" s="28">
        <f>IF(OR(1952.4477="",3081.16104=""),"-",3081.16104/1952.4477*100)</f>
        <v>157.81017028010532</v>
      </c>
      <c r="E18" s="138">
        <f>IF(1952.4477="","-",1952.4477/1104691.54098*100)</f>
        <v>0.17674143664284184</v>
      </c>
      <c r="F18" s="138">
        <f>IF(3081.16104="","-",3081.16104/1875200.41724*100)</f>
        <v>0.16431102572678519</v>
      </c>
      <c r="G18" s="28">
        <f>IF(OR(980597.75708="",1207.86976="",1952.4477=""),"-",(1952.4477-1207.86976)/980597.75708*100)</f>
        <v>7.5931026215803901E-2</v>
      </c>
      <c r="H18" s="28">
        <f>IF(OR(1104691.54098="",3081.16104="",1952.4477=""),"-",(3081.16104-1952.4477)/1104691.54098*100)</f>
        <v>0.10217452547873133</v>
      </c>
      <c r="I18" s="20"/>
      <c r="J18" s="21"/>
      <c r="K18" s="17"/>
    </row>
    <row r="19" spans="1:11" s="7" customFormat="1" x14ac:dyDescent="0.25">
      <c r="A19" s="18" t="s">
        <v>221</v>
      </c>
      <c r="B19" s="19" t="s">
        <v>184</v>
      </c>
      <c r="C19" s="16">
        <f>IF(63777.17314="","-",63777.17314)</f>
        <v>63777.173139999999</v>
      </c>
      <c r="D19" s="26">
        <f>IF(82270.14534="","-",63777.17314/82270.14534*100)</f>
        <v>77.521648802766052</v>
      </c>
      <c r="E19" s="137">
        <f>IF(82270.14534="","-",82270.14534/1104691.54098*100)</f>
        <v>7.4473409352819031</v>
      </c>
      <c r="F19" s="137">
        <f>IF(63777.17314="","-",63777.17314/1875200.41724*100)</f>
        <v>3.4010856948224215</v>
      </c>
      <c r="G19" s="26">
        <f>IF(980597.75708="","-",(82270.14534-70852.42059)/980597.75708*100)</f>
        <v>1.1643637431926654</v>
      </c>
      <c r="H19" s="26">
        <f>IF(1104691.54098="","-",(63777.17314-82270.14534)/1104691.54098*100)</f>
        <v>-1.674039450288034</v>
      </c>
      <c r="I19" s="20"/>
      <c r="J19" s="21"/>
      <c r="K19" s="17"/>
    </row>
    <row r="20" spans="1:11" s="7" customFormat="1" x14ac:dyDescent="0.25">
      <c r="A20" s="20" t="s">
        <v>222</v>
      </c>
      <c r="B20" s="21" t="s">
        <v>185</v>
      </c>
      <c r="C20" s="17">
        <f>IF(59304.48067="","-",59304.48067)</f>
        <v>59304.480669999997</v>
      </c>
      <c r="D20" s="28">
        <f>IF(OR(77340.96866="",59304.48067=""),"-",59304.48067/77340.96866*100)</f>
        <v>76.679257704554331</v>
      </c>
      <c r="E20" s="138">
        <f>IF(77340.96866="","-",77340.96866/1104691.54098*100)</f>
        <v>7.001137040606725</v>
      </c>
      <c r="F20" s="138">
        <f>IF(59304.48067="","-",59304.48067/1875200.41724*100)</f>
        <v>3.1625675914304061</v>
      </c>
      <c r="G20" s="28">
        <f>IF(OR(980597.75708="",66250.31489="",77340.96866=""),"-",(77340.96866-66250.31489)/980597.75708*100)</f>
        <v>1.1310094980255188</v>
      </c>
      <c r="H20" s="28">
        <f>IF(OR(1104691.54098="",59304.48067="",77340.96866=""),"-",(59304.48067-77340.96866)/1104691.54098*100)</f>
        <v>-1.6327171269908858</v>
      </c>
      <c r="I20" s="18"/>
      <c r="J20" s="19"/>
      <c r="K20" s="16"/>
    </row>
    <row r="21" spans="1:11" s="7" customFormat="1" x14ac:dyDescent="0.25">
      <c r="A21" s="20" t="s">
        <v>223</v>
      </c>
      <c r="B21" s="21" t="s">
        <v>186</v>
      </c>
      <c r="C21" s="17">
        <f>IF(4472.69247="","-",4472.69247)</f>
        <v>4472.69247</v>
      </c>
      <c r="D21" s="28">
        <f>IF(OR(4929.17668="",4472.69247=""),"-",4472.69247/4929.17668*100)</f>
        <v>90.739138812934584</v>
      </c>
      <c r="E21" s="138">
        <f>IF(4929.17668="","-",4929.17668/1104691.54098*100)</f>
        <v>0.4462038946751779</v>
      </c>
      <c r="F21" s="138">
        <f>IF(4472.69247="","-",4472.69247/1875200.41724*100)</f>
        <v>0.23851810339201499</v>
      </c>
      <c r="G21" s="28">
        <f>IF(OR(980597.75708="",4602.1057="",4929.17668=""),"-",(4929.17668-4602.1057)/980597.75708*100)</f>
        <v>3.3354245167146156E-2</v>
      </c>
      <c r="H21" s="28">
        <f>IF(OR(1104691.54098="",4472.69247="",4929.17668=""),"-",(4472.69247-4929.17668)/1104691.54098*100)</f>
        <v>-4.1322323297147807E-2</v>
      </c>
      <c r="I21" s="20"/>
      <c r="J21" s="21"/>
      <c r="K21" s="17"/>
    </row>
    <row r="22" spans="1:11" s="7" customFormat="1" ht="25.5" x14ac:dyDescent="0.25">
      <c r="A22" s="18" t="s">
        <v>224</v>
      </c>
      <c r="B22" s="19" t="s">
        <v>22</v>
      </c>
      <c r="C22" s="16">
        <f>IF(264341.2475="","-",264341.2475)</f>
        <v>264341.2475</v>
      </c>
      <c r="D22" s="26" t="s">
        <v>206</v>
      </c>
      <c r="E22" s="137">
        <f>IF(114806.32496="","-",114806.32496/1104691.54098*100)</f>
        <v>10.39261374792029</v>
      </c>
      <c r="F22" s="137">
        <f>IF(264341.2475="","-",264341.2475/1875200.41724*100)</f>
        <v>14.096693082495616</v>
      </c>
      <c r="G22" s="26">
        <f>IF(980597.75708="","-",(114806.32496-91879.70605)/980597.75708*100)</f>
        <v>2.3380248164415884</v>
      </c>
      <c r="H22" s="26">
        <f>IF(1104691.54098="","-",(264341.2475-114806.32496)/1104691.54098*100)</f>
        <v>13.536350826706228</v>
      </c>
      <c r="I22" s="20"/>
      <c r="J22" s="21"/>
      <c r="K22" s="17"/>
    </row>
    <row r="23" spans="1:11" s="7" customFormat="1" ht="15" customHeight="1" x14ac:dyDescent="0.25">
      <c r="A23" s="20" t="s">
        <v>225</v>
      </c>
      <c r="B23" s="21" t="s">
        <v>193</v>
      </c>
      <c r="C23" s="17">
        <f>IF(669.3578="","-",669.3578)</f>
        <v>669.3578</v>
      </c>
      <c r="D23" s="28">
        <f>IF(OR(604.77404="",669.3578=""),"-",669.3578/604.77404*100)</f>
        <v>110.67899012331945</v>
      </c>
      <c r="E23" s="138">
        <f>IF(604.77404="","-",604.77404/1104691.54098*100)</f>
        <v>5.4745964603249292E-2</v>
      </c>
      <c r="F23" s="138">
        <f>IF(669.3578="","-",669.3578/1875200.41724*100)</f>
        <v>3.5695267228299223E-2</v>
      </c>
      <c r="G23" s="28">
        <f>IF(OR(980597.75708="",600.94466="",604.77404=""),"-",(604.77404-600.94466)/980597.75708*100)</f>
        <v>3.9051486426024964E-4</v>
      </c>
      <c r="H23" s="28">
        <f>IF(OR(1104691.54098="",669.3578="",604.77404=""),"-",(669.3578-604.77404)/1104691.54098*100)</f>
        <v>5.846316152896951E-3</v>
      </c>
      <c r="I23" s="18"/>
      <c r="J23" s="19"/>
      <c r="K23" s="16"/>
    </row>
    <row r="24" spans="1:11" s="7" customFormat="1" ht="15" customHeight="1" x14ac:dyDescent="0.25">
      <c r="A24" s="20" t="s">
        <v>226</v>
      </c>
      <c r="B24" s="21" t="s">
        <v>187</v>
      </c>
      <c r="C24" s="17">
        <f>IF(221021.04338="","-",221021.04338)</f>
        <v>221021.04337999999</v>
      </c>
      <c r="D24" s="28" t="s">
        <v>295</v>
      </c>
      <c r="E24" s="138">
        <f>IF(74212.86416="","-",74212.86416/1104691.54098*100)</f>
        <v>6.7179716153310878</v>
      </c>
      <c r="F24" s="138">
        <f>IF(221021.04338="","-",221021.04338/1875200.41724*100)</f>
        <v>11.786529127660295</v>
      </c>
      <c r="G24" s="28">
        <f>IF(OR(980597.75708="",80761.44263="",74212.86416=""),"-",(74212.86416-80761.44263)/980597.75708*100)</f>
        <v>-0.66781495498217369</v>
      </c>
      <c r="H24" s="28">
        <f>IF(OR(1104691.54098="",221021.04338="",74212.86416=""),"-",(221021.04338-74212.86416)/1104691.54098*100)</f>
        <v>13.289517822302024</v>
      </c>
      <c r="I24" s="20"/>
      <c r="J24" s="21"/>
      <c r="K24" s="17"/>
    </row>
    <row r="25" spans="1:11" s="7" customFormat="1" ht="15" customHeight="1" x14ac:dyDescent="0.25">
      <c r="A25" s="20" t="s">
        <v>279</v>
      </c>
      <c r="B25" s="21" t="s">
        <v>188</v>
      </c>
      <c r="C25" s="17">
        <f>IF(4.55506="","-",4.55506)</f>
        <v>4.5550600000000001</v>
      </c>
      <c r="D25" s="28" t="s">
        <v>360</v>
      </c>
      <c r="E25" s="138">
        <f>IF(0.10557="","-",0.10557/1104691.54098*100)</f>
        <v>9.5565138397227307E-6</v>
      </c>
      <c r="F25" s="138">
        <f>IF(4.55506="","-",4.55506/1875200.41724*100)</f>
        <v>2.4291056881825632E-4</v>
      </c>
      <c r="G25" s="28">
        <f>IF(OR(980597.75708="",0.14712="",0.10557=""),"-",(0.10557-0.14712)/980597.75708*100)</f>
        <v>-4.2372114049828726E-6</v>
      </c>
      <c r="H25" s="28">
        <f>IF(OR(1104691.54098="",4.55506="",0.10557=""),"-",(4.55506-0.10557)/1104691.54098*100)</f>
        <v>4.0278121402583959E-4</v>
      </c>
      <c r="I25" s="20"/>
      <c r="J25" s="21"/>
      <c r="K25" s="17"/>
    </row>
    <row r="26" spans="1:11" s="7" customFormat="1" x14ac:dyDescent="0.25">
      <c r="A26" s="20" t="s">
        <v>227</v>
      </c>
      <c r="B26" s="21" t="s">
        <v>189</v>
      </c>
      <c r="C26" s="17">
        <f>IF(1228.04504="","-",1228.04504)</f>
        <v>1228.04504</v>
      </c>
      <c r="D26" s="28" t="s">
        <v>100</v>
      </c>
      <c r="E26" s="138">
        <f>IF(760.25265="","-",760.25265/1104691.54098*100)</f>
        <v>6.8820355890981164E-2</v>
      </c>
      <c r="F26" s="138">
        <f>IF(1228.04504="","-",1228.04504/1875200.41724*100)</f>
        <v>6.5488735428476968E-2</v>
      </c>
      <c r="G26" s="28">
        <f>IF(OR(980597.75708="",640.5145="",760.25265=""),"-",(760.25265-640.5145)/980597.75708*100)</f>
        <v>1.2210730560566787E-2</v>
      </c>
      <c r="H26" s="28">
        <f>IF(OR(1104691.54098="",1228.04504="",760.25265=""),"-",(1228.04504-760.25265)/1104691.54098*100)</f>
        <v>4.2345973753452421E-2</v>
      </c>
      <c r="I26" s="20"/>
      <c r="J26" s="21"/>
      <c r="K26" s="17"/>
    </row>
    <row r="27" spans="1:11" s="7" customFormat="1" ht="14.25" customHeight="1" x14ac:dyDescent="0.25">
      <c r="A27" s="20" t="s">
        <v>228</v>
      </c>
      <c r="B27" s="21" t="s">
        <v>141</v>
      </c>
      <c r="C27" s="17">
        <f>IF(2073.72384="","-",2073.72384)</f>
        <v>2073.7238400000001</v>
      </c>
      <c r="D27" s="28">
        <f>IF(OR(1926.15372="",2073.72384=""),"-",2073.72384/1926.15372*100)</f>
        <v>107.66138852095357</v>
      </c>
      <c r="E27" s="138">
        <f>IF(1926.15372="","-",1926.15372/1104691.54098*100)</f>
        <v>0.17436122650955216</v>
      </c>
      <c r="F27" s="138">
        <f>IF(2073.72384="","-",2073.72384/1875200.41724*100)</f>
        <v>0.11058678426768885</v>
      </c>
      <c r="G27" s="28">
        <f>IF(OR(980597.75708="",672.47869="",1926.15372=""),"-",(1926.15372-672.47869)/980597.75708*100)</f>
        <v>0.12784804176313461</v>
      </c>
      <c r="H27" s="28">
        <f>IF(OR(1104691.54098="",2073.72384="",1926.15372=""),"-",(2073.72384-1926.15372)/1104691.54098*100)</f>
        <v>1.3358490992796675E-2</v>
      </c>
      <c r="I27" s="20"/>
      <c r="J27" s="21"/>
      <c r="K27" s="17"/>
    </row>
    <row r="28" spans="1:11" s="7" customFormat="1" ht="38.25" x14ac:dyDescent="0.25">
      <c r="A28" s="20" t="s">
        <v>229</v>
      </c>
      <c r="B28" s="21" t="s">
        <v>142</v>
      </c>
      <c r="C28" s="17">
        <f>IF(28.98124="","-",28.98124)</f>
        <v>28.98124</v>
      </c>
      <c r="D28" s="28">
        <f>IF(OR(80.65056="",28.98124=""),"-",28.98124/80.65056*100)</f>
        <v>35.934332012077789</v>
      </c>
      <c r="E28" s="138">
        <f>IF(80.65056="","-",80.65056/1104691.54098*100)</f>
        <v>7.3007312003541573E-3</v>
      </c>
      <c r="F28" s="138">
        <f>IF(28.98124="","-",28.98124/1875200.41724*100)</f>
        <v>1.5455009359829294E-3</v>
      </c>
      <c r="G28" s="28">
        <f>IF(OR(980597.75708="",12.29931="",80.65056=""),"-",(80.65056-12.29931)/980597.75708*100)</f>
        <v>6.9703657291175815E-3</v>
      </c>
      <c r="H28" s="28">
        <f>IF(OR(1104691.54098="",28.98124="",80.65056=""),"-",(28.98124-80.65056)/1104691.54098*100)</f>
        <v>-4.6772622115095423E-3</v>
      </c>
      <c r="I28" s="20"/>
      <c r="J28" s="21"/>
      <c r="K28" s="17"/>
    </row>
    <row r="29" spans="1:11" s="7" customFormat="1" ht="38.25" x14ac:dyDescent="0.25">
      <c r="A29" s="20" t="s">
        <v>230</v>
      </c>
      <c r="B29" s="21" t="s">
        <v>143</v>
      </c>
      <c r="C29" s="17">
        <f>IF(3167.51716="","-",3167.51716)</f>
        <v>3167.5171599999999</v>
      </c>
      <c r="D29" s="28">
        <f>IF(OR(3014.46547="",3167.51716=""),"-",3167.51716/3014.46547*100)</f>
        <v>105.0772414387616</v>
      </c>
      <c r="E29" s="138">
        <f>IF(3014.46547="","-",3014.46547/1104691.54098*100)</f>
        <v>0.27287847857744896</v>
      </c>
      <c r="F29" s="138">
        <f>IF(3167.51716="","-",3167.51716/1875200.41724*100)</f>
        <v>0.16891619321747414</v>
      </c>
      <c r="G29" s="28">
        <f>IF(OR(980597.75708="",3039.46029="",3014.46547=""),"-",(3014.46547-3039.46029)/980597.75708*100)</f>
        <v>-2.5489370967387132E-3</v>
      </c>
      <c r="H29" s="28">
        <f>IF(OR(1104691.54098="",3167.51716="",3014.46547=""),"-",(3167.51716-3014.46547)/1104691.54098*100)</f>
        <v>1.3854699191796445E-2</v>
      </c>
      <c r="I29" s="20"/>
      <c r="J29" s="21"/>
      <c r="K29" s="17"/>
    </row>
    <row r="30" spans="1:11" s="7" customFormat="1" ht="25.5" x14ac:dyDescent="0.25">
      <c r="A30" s="20" t="s">
        <v>231</v>
      </c>
      <c r="B30" s="21" t="s">
        <v>144</v>
      </c>
      <c r="C30" s="17">
        <f>IF(34461.34792="","-",34461.34792)</f>
        <v>34461.34792</v>
      </c>
      <c r="D30" s="28">
        <f>IF(OR(32576.44534="",34461.34792=""),"-",34461.34792/32576.44534*100)</f>
        <v>105.78609041080847</v>
      </c>
      <c r="E30" s="138">
        <f>IF(32576.44534="","-",32576.44534/1104691.54098*100)</f>
        <v>2.9489177866882734</v>
      </c>
      <c r="F30" s="138">
        <f>IF(34461.34792="","-",34461.34792/1875200.41724*100)</f>
        <v>1.8377421209580191</v>
      </c>
      <c r="G30" s="28">
        <f>IF(OR(980597.75708="",3776.25095="",32576.44534=""),"-",(32576.44534-3776.25095)/980597.75708*100)</f>
        <v>2.9370039021668282</v>
      </c>
      <c r="H30" s="28">
        <f>IF(OR(1104691.54098="",34461.34792="",32576.44534=""),"-",(34461.34792-32576.44534)/1104691.54098*100)</f>
        <v>0.1706270492781955</v>
      </c>
      <c r="I30" s="20"/>
      <c r="J30" s="21"/>
      <c r="K30" s="17"/>
    </row>
    <row r="31" spans="1:11" s="7" customFormat="1" ht="25.5" x14ac:dyDescent="0.25">
      <c r="A31" s="20" t="s">
        <v>232</v>
      </c>
      <c r="B31" s="21" t="s">
        <v>145</v>
      </c>
      <c r="C31" s="17">
        <f>IF(1686.67606="","-",1686.67606)</f>
        <v>1686.67606</v>
      </c>
      <c r="D31" s="28">
        <f>IF(OR(1630.61345="",1686.67606=""),"-",1686.67606/1630.61345*100)</f>
        <v>103.43812998721431</v>
      </c>
      <c r="E31" s="138">
        <f>IF(1630.61345="","-",1630.61345/1104691.54098*100)</f>
        <v>0.14760803260550373</v>
      </c>
      <c r="F31" s="138">
        <f>IF(1686.67606="","-",1686.67606/1875200.41724*100)</f>
        <v>8.994644223056017E-2</v>
      </c>
      <c r="G31" s="28">
        <f>IF(OR(980597.75708="",2376.1679="",1630.61345=""),"-",(1630.61345-2376.1679)/980597.75708*100)</f>
        <v>-7.6030609352003176E-2</v>
      </c>
      <c r="H31" s="28">
        <f>IF(OR(1104691.54098="",1686.67606="",1630.61345=""),"-",(1686.67606-1630.61345)/1104691.54098*100)</f>
        <v>5.0749560325469116E-3</v>
      </c>
      <c r="I31" s="20"/>
      <c r="J31" s="21"/>
      <c r="K31" s="17"/>
    </row>
    <row r="32" spans="1:11" s="7" customFormat="1" ht="25.5" x14ac:dyDescent="0.25">
      <c r="A32" s="18" t="s">
        <v>233</v>
      </c>
      <c r="B32" s="19" t="s">
        <v>146</v>
      </c>
      <c r="C32" s="16">
        <f>IF(122700.81981="","-",122700.81981)</f>
        <v>122700.81981</v>
      </c>
      <c r="D32" s="26" t="s">
        <v>404</v>
      </c>
      <c r="E32" s="137">
        <f>IF(12996.6795="","-",12996.6795/1104691.54098*100)</f>
        <v>1.1764985082143666</v>
      </c>
      <c r="F32" s="137">
        <f>IF(122700.81981="","-",122700.81981/1875200.41724*100)</f>
        <v>6.5433443103962343</v>
      </c>
      <c r="G32" s="26">
        <f>IF(980597.75708="","-",(12996.6795-2080.10591)/980597.75708*100)</f>
        <v>1.1132570425723904</v>
      </c>
      <c r="H32" s="26">
        <f>IF(1104691.54098="","-",(122700.81981-12996.6795)/1104691.54098*100)</f>
        <v>9.9307486515809344</v>
      </c>
      <c r="I32" s="20"/>
      <c r="J32" s="21"/>
      <c r="K32" s="17"/>
    </row>
    <row r="33" spans="1:11" s="7" customFormat="1" x14ac:dyDescent="0.25">
      <c r="A33" s="20" t="s">
        <v>234</v>
      </c>
      <c r="B33" s="21" t="s">
        <v>190</v>
      </c>
      <c r="C33" s="17">
        <f>IF(64.80719="","-",64.80719)</f>
        <v>64.807190000000006</v>
      </c>
      <c r="D33" s="28">
        <f>IF(OR(373.6635="",64.80719=""),"-",64.80719/373.6635*100)</f>
        <v>17.343730388437727</v>
      </c>
      <c r="E33" s="138">
        <f>IF(373.6635="","-",373.6635/1104691.54098*100)</f>
        <v>3.3825143593343134E-2</v>
      </c>
      <c r="F33" s="138">
        <f>IF(64.80719="","-",64.80719/1875200.41724*100)</f>
        <v>3.4560140561074528E-3</v>
      </c>
      <c r="G33" s="28">
        <f>IF(OR(980597.75708="",47.09147="",373.6635=""),"-",(373.6635-47.09147)/980597.75708*100)</f>
        <v>3.3303362937771572E-2</v>
      </c>
      <c r="H33" s="28">
        <f>IF(OR(1104691.54098="",64.80719="",373.6635=""),"-",(64.80719-373.6635)/1104691.54098*100)</f>
        <v>-2.7958601885011782E-2</v>
      </c>
      <c r="I33" s="18"/>
      <c r="J33" s="19"/>
      <c r="K33" s="16"/>
    </row>
    <row r="34" spans="1:11" s="7" customFormat="1" ht="25.5" x14ac:dyDescent="0.25">
      <c r="A34" s="20" t="s">
        <v>235</v>
      </c>
      <c r="B34" s="21" t="s">
        <v>147</v>
      </c>
      <c r="C34" s="17">
        <f>IF(121346.65508="","-",121346.65508)</f>
        <v>121346.65508</v>
      </c>
      <c r="D34" s="28" t="s">
        <v>394</v>
      </c>
      <c r="E34" s="138">
        <f>IF(12620.70323="","-",12620.70323/1104691.54098*100)</f>
        <v>1.1424640057263271</v>
      </c>
      <c r="F34" s="138">
        <f>IF(121346.65508="","-",121346.65508/1875200.41724*100)</f>
        <v>6.4711299104019595</v>
      </c>
      <c r="G34" s="28">
        <f>IF(OR(980597.75708="",2029.75898="",12620.70323=""),"-",(12620.70323-2029.75898)/980597.75708*100)</f>
        <v>1.0800498138540977</v>
      </c>
      <c r="H34" s="28">
        <f>IF(OR(1104691.54098="",121346.65508="",12620.70323=""),"-",(121346.65508-12620.70323)/1104691.54098*100)</f>
        <v>9.8422000908549041</v>
      </c>
      <c r="I34" s="20"/>
      <c r="J34" s="21"/>
      <c r="K34" s="17"/>
    </row>
    <row r="35" spans="1:11" s="7" customFormat="1" ht="25.5" x14ac:dyDescent="0.25">
      <c r="A35" s="92" t="s">
        <v>280</v>
      </c>
      <c r="B35" s="21" t="s">
        <v>403</v>
      </c>
      <c r="C35" s="17">
        <f>IF(1286.43288="","-",1286.43288)</f>
        <v>1286.4328800000001</v>
      </c>
      <c r="D35" s="28" t="str">
        <f>IF(OR(""="",1286.43288=""),"-",1286.43288/""*100)</f>
        <v>-</v>
      </c>
      <c r="E35" s="138" t="str">
        <f>IF(""="","-",""/1104691.54098*100)</f>
        <v>-</v>
      </c>
      <c r="F35" s="138">
        <f>IF(1286.43288="","-",1286.43288/1875200.41724*100)</f>
        <v>6.8602420742494646E-2</v>
      </c>
      <c r="G35" s="28" t="str">
        <f>IF(OR(980597.75708="",""="",""=""),"-",(""-"")/980597.75708*100)</f>
        <v>-</v>
      </c>
      <c r="H35" s="28" t="str">
        <f>IF(OR(1104691.54098="",1286.43288="",""=""),"-",(1286.43288-"")/1104691.54098*100)</f>
        <v>-</v>
      </c>
      <c r="I35" s="20"/>
      <c r="J35" s="21"/>
      <c r="K35" s="17"/>
    </row>
    <row r="36" spans="1:11" s="7" customFormat="1" x14ac:dyDescent="0.25">
      <c r="A36" s="20" t="s">
        <v>288</v>
      </c>
      <c r="B36" s="21" t="s">
        <v>289</v>
      </c>
      <c r="C36" s="17">
        <f>IF(2.92466="","-",2.92466)</f>
        <v>2.9246599999999998</v>
      </c>
      <c r="D36" s="28">
        <f>IF(OR(2.31277="",2.92466=""),"-",2.92466/2.31277*100)</f>
        <v>126.45701907236774</v>
      </c>
      <c r="E36" s="138">
        <f>IF(2.31277="","-",2.31277/1104691.54098*100)</f>
        <v>2.093588946963677E-4</v>
      </c>
      <c r="F36" s="138">
        <f>IF(2.92466="","-",2.92466/1875200.41724*100)</f>
        <v>1.5596519567250518E-4</v>
      </c>
      <c r="G36" s="28">
        <f>IF(OR(980597.75708="",3.25546="",2.31277=""),"-",(2.31277-3.25546)/980597.75708*100)</f>
        <v>-9.6134219479261207E-5</v>
      </c>
      <c r="H36" s="28">
        <f>IF(OR(1104691.54098="",2.92466="",2.31277=""),"-",(2.92466-2.31277)/1104691.54098*100)</f>
        <v>5.5390122699516336E-5</v>
      </c>
      <c r="I36" s="20"/>
      <c r="J36" s="21"/>
      <c r="K36" s="17"/>
    </row>
    <row r="37" spans="1:11" s="7" customFormat="1" ht="25.5" x14ac:dyDescent="0.25">
      <c r="A37" s="18" t="s">
        <v>236</v>
      </c>
      <c r="B37" s="19" t="s">
        <v>148</v>
      </c>
      <c r="C37" s="16">
        <f>IF(183468.68185="","-",183468.68185)</f>
        <v>183468.68184999999</v>
      </c>
      <c r="D37" s="26" t="s">
        <v>362</v>
      </c>
      <c r="E37" s="137">
        <f>IF(32468.78615="","-",32468.78615/1104691.54098*100)</f>
        <v>2.9391721530877399</v>
      </c>
      <c r="F37" s="137">
        <f>IF(183468.68185="","-",183468.68185/1875200.41724*100)</f>
        <v>9.7839505667365962</v>
      </c>
      <c r="G37" s="26">
        <f>IF(980597.75708="","-",(32468.78615-50557.79472)/980597.75708*100)</f>
        <v>-1.8446920196783851</v>
      </c>
      <c r="H37" s="26">
        <f>IF(1104691.54098="","-",(183468.68185-32468.78615)/1104691.54098*100)</f>
        <v>13.668964602195119</v>
      </c>
      <c r="I37" s="20"/>
      <c r="J37" s="21"/>
      <c r="K37" s="17"/>
    </row>
    <row r="38" spans="1:11" s="7" customFormat="1" x14ac:dyDescent="0.25">
      <c r="A38" s="20" t="s">
        <v>237</v>
      </c>
      <c r="B38" s="21" t="s">
        <v>194</v>
      </c>
      <c r="C38" s="17">
        <f>IF(1.59594="","-",1.59594)</f>
        <v>1.5959399999999999</v>
      </c>
      <c r="D38" s="28">
        <f>IF(OR(4.81502="",1.59594=""),"-",1.59594/4.81502*100)</f>
        <v>33.145033665488413</v>
      </c>
      <c r="E38" s="138">
        <f>IF(4.81502="","-",4.81502/1104691.54098*100)</f>
        <v>4.3587008874246226E-4</v>
      </c>
      <c r="F38" s="138">
        <f>IF(1.59594="","-",1.59594/1875200.41724*100)</f>
        <v>8.5107702906176417E-5</v>
      </c>
      <c r="G38" s="28">
        <f>IF(OR(980597.75708="",1.9874="",4.81502=""),"-",(4.81502-1.9874)/980597.75708*100)</f>
        <v>2.8835676806155639E-4</v>
      </c>
      <c r="H38" s="28">
        <f>IF(OR(1104691.54098="",1.59594="",4.81502=""),"-",(1.59594-4.81502)/1104691.54098*100)</f>
        <v>-2.9140080109097891E-4</v>
      </c>
      <c r="I38" s="18"/>
      <c r="J38" s="19"/>
      <c r="K38" s="16"/>
    </row>
    <row r="39" spans="1:11" s="7" customFormat="1" ht="25.5" x14ac:dyDescent="0.25">
      <c r="A39" s="20" t="s">
        <v>238</v>
      </c>
      <c r="B39" s="21" t="s">
        <v>149</v>
      </c>
      <c r="C39" s="17">
        <f>IF(183467.08591="","-",183467.08591)</f>
        <v>183467.08590999999</v>
      </c>
      <c r="D39" s="28" t="s">
        <v>362</v>
      </c>
      <c r="E39" s="138">
        <f>IF(32460.4088="","-",32460.4088/1104691.54098*100)</f>
        <v>2.938413810175784</v>
      </c>
      <c r="F39" s="138">
        <f>IF(183467.08591="","-",183467.08591/1875200.41724*100)</f>
        <v>9.783865459033688</v>
      </c>
      <c r="G39" s="28">
        <f>IF(OR(980597.75708="",50536.87917="",32460.4088=""),"-",(32460.4088-50536.87917)/980597.75708*100)</f>
        <v>-1.8434133914223574</v>
      </c>
      <c r="H39" s="28">
        <f>IF(OR(1104691.54098="",183467.08591="",32460.4088=""),"-",(183467.08591-32460.4088)/1104691.54098*100)</f>
        <v>13.669578475819424</v>
      </c>
      <c r="I39" s="20"/>
      <c r="J39" s="21"/>
      <c r="K39" s="17"/>
    </row>
    <row r="40" spans="1:11" s="7" customFormat="1" ht="25.5" x14ac:dyDescent="0.25">
      <c r="A40" s="18" t="s">
        <v>240</v>
      </c>
      <c r="B40" s="19" t="s">
        <v>150</v>
      </c>
      <c r="C40" s="16">
        <f>IF(58972.13319="","-",58972.13319)</f>
        <v>58972.13319</v>
      </c>
      <c r="D40" s="26">
        <f>IF(53881.41063="","-",58972.13319/53881.41063*100)</f>
        <v>109.44801277560762</v>
      </c>
      <c r="E40" s="137">
        <f>IF(53881.41063="","-",53881.41063/1104691.54098*100)</f>
        <v>4.8775073068994832</v>
      </c>
      <c r="F40" s="137">
        <f>IF(58972.13319="","-",58972.13319/1875200.41724*100)</f>
        <v>3.1448442869268187</v>
      </c>
      <c r="G40" s="26">
        <f>IF(980597.75708="","-",(53881.41063-48829.73693)/980597.75708*100)</f>
        <v>0.51516268148957933</v>
      </c>
      <c r="H40" s="26">
        <f>IF(1104691.54098="","-",(58972.13319-53881.41063)/1104691.54098*100)</f>
        <v>0.4608275134870583</v>
      </c>
      <c r="I40" s="18"/>
      <c r="J40" s="19"/>
      <c r="K40" s="16"/>
    </row>
    <row r="41" spans="1:11" s="7" customFormat="1" x14ac:dyDescent="0.25">
      <c r="A41" s="20" t="s">
        <v>241</v>
      </c>
      <c r="B41" s="21" t="s">
        <v>23</v>
      </c>
      <c r="C41" s="17">
        <f>IF(21285.87547="","-",21285.87547)</f>
        <v>21285.875469999999</v>
      </c>
      <c r="D41" s="28">
        <f>IF(OR(13468.21963="",21285.87547=""),"-",21285.87547/13468.21963*100)</f>
        <v>158.04520608341164</v>
      </c>
      <c r="E41" s="138">
        <f>IF(13468.21963="","-",13468.21963/1104691.54098*100)</f>
        <v>1.2191837386617443</v>
      </c>
      <c r="F41" s="138">
        <f>IF(21285.87547="","-",21285.87547/1875200.41724*100)</f>
        <v>1.1351253590978536</v>
      </c>
      <c r="G41" s="28">
        <f>IF(OR(980597.75708="",19739.67483="",13468.21963=""),"-",(13468.21963-19739.67483)/980597.75708*100)</f>
        <v>-0.63955430804522606</v>
      </c>
      <c r="H41" s="28">
        <f>IF(OR(1104691.54098="",21285.87547="",13468.21963=""),"-",(21285.87547-13468.21963)/1104691.54098*100)</f>
        <v>0.70767771364165211</v>
      </c>
      <c r="I41" s="20"/>
      <c r="J41" s="21"/>
      <c r="K41" s="17"/>
    </row>
    <row r="42" spans="1:11" s="7" customFormat="1" x14ac:dyDescent="0.25">
      <c r="A42" s="20" t="s">
        <v>242</v>
      </c>
      <c r="B42" s="21" t="s">
        <v>24</v>
      </c>
      <c r="C42" s="17">
        <f>IF(2058.7449="","-",2058.7449)</f>
        <v>2058.7449000000001</v>
      </c>
      <c r="D42" s="28" t="s">
        <v>375</v>
      </c>
      <c r="E42" s="138">
        <f>IF(344.40726="","-",344.40726/1104691.54098*100)</f>
        <v>3.1176780777597661E-2</v>
      </c>
      <c r="F42" s="138">
        <f>IF(2058.7449="","-",2058.7449/1875200.41724*100)</f>
        <v>0.10978799284986021</v>
      </c>
      <c r="G42" s="28">
        <f>IF(OR(980597.75708="",565.33694="",344.40726=""),"-",(344.40726-565.33694)/980597.75708*100)</f>
        <v>-2.2530102522147207E-2</v>
      </c>
      <c r="H42" s="28">
        <f>IF(OR(1104691.54098="",2058.7449="",344.40726=""),"-",(2058.7449-344.40726)/1104691.54098*100)</f>
        <v>0.15518699803559349</v>
      </c>
      <c r="I42" s="20"/>
      <c r="J42" s="21"/>
      <c r="K42" s="17"/>
    </row>
    <row r="43" spans="1:11" s="7" customFormat="1" x14ac:dyDescent="0.25">
      <c r="A43" s="20" t="s">
        <v>243</v>
      </c>
      <c r="B43" s="21" t="s">
        <v>151</v>
      </c>
      <c r="C43" s="17">
        <f>IF(1068.41476="","-",1068.41476)</f>
        <v>1068.4147599999999</v>
      </c>
      <c r="D43" s="28">
        <f>IF(OR(799.82652="",1068.41476=""),"-",1068.41476/799.82652*100)</f>
        <v>133.58081199908199</v>
      </c>
      <c r="E43" s="138">
        <f>IF(799.82652="","-",799.82652/1104691.54098*100)</f>
        <v>7.2402701598534333E-2</v>
      </c>
      <c r="F43" s="138">
        <f>IF(1068.41476="","-",1068.41476/1875200.41724*100)</f>
        <v>5.6976030411327351E-2</v>
      </c>
      <c r="G43" s="28">
        <f>IF(OR(980597.75708="",349.45977="",799.82652=""),"-",(799.82652-349.45977)/980597.75708*100)</f>
        <v>4.5927776883876531E-2</v>
      </c>
      <c r="H43" s="28">
        <f>IF(OR(1104691.54098="",1068.41476="",799.82652=""),"-",(1068.41476-799.82652)/1104691.54098*100)</f>
        <v>2.4313415106060145E-2</v>
      </c>
      <c r="I43" s="20"/>
      <c r="J43" s="21"/>
      <c r="K43" s="17"/>
    </row>
    <row r="44" spans="1:11" s="7" customFormat="1" ht="16.5" customHeight="1" x14ac:dyDescent="0.25">
      <c r="A44" s="20" t="s">
        <v>244</v>
      </c>
      <c r="B44" s="21" t="s">
        <v>152</v>
      </c>
      <c r="C44" s="17">
        <f>IF(23850.22828="","-",23850.22828)</f>
        <v>23850.228279999999</v>
      </c>
      <c r="D44" s="28">
        <f>IF(OR(29564.09566="",23850.22828=""),"-",23850.22828/29564.09566*100)</f>
        <v>80.672950575887839</v>
      </c>
      <c r="E44" s="138">
        <f>IF(29564.09566="","-",29564.09566/1104691.54098*100)</f>
        <v>2.6762308357836195</v>
      </c>
      <c r="F44" s="138">
        <f>IF(23850.22828="","-",23850.22828/1875200.41724*100)</f>
        <v>1.2718762251079156</v>
      </c>
      <c r="G44" s="28">
        <f>IF(OR(980597.75708="",21044.08628="",29564.09566=""),"-",(29564.09566-21044.08628)/980597.75708*100)</f>
        <v>0.86885874646202288</v>
      </c>
      <c r="H44" s="28">
        <f>IF(OR(1104691.54098="",23850.22828="",29564.09566=""),"-",(23850.22828-29564.09566)/1104691.54098*100)</f>
        <v>-0.51723645633523019</v>
      </c>
      <c r="I44" s="20"/>
      <c r="J44" s="21"/>
      <c r="K44" s="17"/>
    </row>
    <row r="45" spans="1:11" s="7" customFormat="1" ht="42" customHeight="1" x14ac:dyDescent="0.25">
      <c r="A45" s="20" t="s">
        <v>245</v>
      </c>
      <c r="B45" s="21" t="s">
        <v>153</v>
      </c>
      <c r="C45" s="17">
        <f>IF(5108.91548="","-",5108.91548)</f>
        <v>5108.9154799999997</v>
      </c>
      <c r="D45" s="28">
        <f>IF(OR(4057.57531="",5108.91548=""),"-",5108.91548/4057.57531*100)</f>
        <v>125.91055223076069</v>
      </c>
      <c r="E45" s="138">
        <f>IF(4057.57531="","-",4057.57531/1104691.54098*100)</f>
        <v>0.36730391783397037</v>
      </c>
      <c r="F45" s="138">
        <f>IF(5108.91548="","-",5108.91548/1875200.41724*100)</f>
        <v>0.27244637069351335</v>
      </c>
      <c r="G45" s="28">
        <f>IF(OR(980597.75708="",4576.58416="",4057.57531=""),"-",(4057.57531-4576.58416)/980597.75708*100)</f>
        <v>-5.2927803092829011E-2</v>
      </c>
      <c r="H45" s="28">
        <f>IF(OR(1104691.54098="",5108.91548="",4057.57531=""),"-",(5108.91548-4057.57531)/1104691.54098*100)</f>
        <v>9.5170473476001161E-2</v>
      </c>
      <c r="I45" s="20"/>
      <c r="J45" s="21"/>
      <c r="K45" s="17"/>
    </row>
    <row r="46" spans="1:11" x14ac:dyDescent="0.25">
      <c r="A46" s="20" t="s">
        <v>246</v>
      </c>
      <c r="B46" s="21" t="s">
        <v>154</v>
      </c>
      <c r="C46" s="17">
        <f>IF(71.21796="","-",71.21796)</f>
        <v>71.217960000000005</v>
      </c>
      <c r="D46" s="28">
        <f>IF(OR(62.93374="",71.21796=""),"-",71.21796/62.93374*100)</f>
        <v>113.16340010938491</v>
      </c>
      <c r="E46" s="138">
        <f>IF(62.93374="","-",62.93374/1104691.54098*100)</f>
        <v>5.6969513810316563E-3</v>
      </c>
      <c r="F46" s="138">
        <f>IF(71.21796="","-",71.21796/1875200.41724*100)</f>
        <v>3.7978852471045009E-3</v>
      </c>
      <c r="G46" s="28">
        <f>IF(OR(980597.75708="",0.12792="",62.93374=""),"-",(62.93374-0.12792)/980597.75708*100)</f>
        <v>6.4048504645800568E-3</v>
      </c>
      <c r="H46" s="28">
        <f>IF(OR(1104691.54098="",71.21796="",62.93374=""),"-",(71.21796-62.93374)/1104691.54098*100)</f>
        <v>7.4991250432232526E-4</v>
      </c>
      <c r="I46" s="20"/>
      <c r="J46" s="21"/>
      <c r="K46" s="17"/>
    </row>
    <row r="47" spans="1:11" x14ac:dyDescent="0.25">
      <c r="A47" s="20" t="s">
        <v>247</v>
      </c>
      <c r="B47" s="21" t="s">
        <v>25</v>
      </c>
      <c r="C47" s="17">
        <f>IF(1227.42565="","-",1227.42565)</f>
        <v>1227.4256499999999</v>
      </c>
      <c r="D47" s="28">
        <f>IF(OR(768.71472="",1227.42565=""),"-",1227.42565/768.71472*100)</f>
        <v>159.67245300050971</v>
      </c>
      <c r="E47" s="138">
        <f>IF(768.71472="","-",768.71472/1104691.54098*100)</f>
        <v>6.9586367912082822E-2</v>
      </c>
      <c r="F47" s="138">
        <f>IF(1227.42565="","-",1227.42565/1875200.41724*100)</f>
        <v>6.545570482575816E-2</v>
      </c>
      <c r="G47" s="28">
        <f>IF(OR(980597.75708="",786.76373="",768.71472=""),"-",(768.71472-786.76373)/980597.75708*100)</f>
        <v>-1.8406130209542651E-3</v>
      </c>
      <c r="H47" s="28">
        <f>IF(OR(1104691.54098="",1227.42565="",768.71472=""),"-",(1227.42565-768.71472)/1104691.54098*100)</f>
        <v>4.1523892687099391E-2</v>
      </c>
      <c r="I47" s="20"/>
      <c r="J47" s="21"/>
      <c r="K47" s="17"/>
    </row>
    <row r="48" spans="1:11" x14ac:dyDescent="0.25">
      <c r="A48" s="20" t="s">
        <v>248</v>
      </c>
      <c r="B48" s="21" t="s">
        <v>26</v>
      </c>
      <c r="C48" s="17">
        <f>IF(2327.62585="","-",2327.62585)</f>
        <v>2327.6258499999999</v>
      </c>
      <c r="D48" s="28">
        <f>IF(OR(1744.66393="",2327.62585=""),"-",2327.62585/1744.66393*100)</f>
        <v>133.41399509531902</v>
      </c>
      <c r="E48" s="138">
        <f>IF(1744.66393="","-",1744.66393/1104691.54098*100)</f>
        <v>0.15793222499488538</v>
      </c>
      <c r="F48" s="138">
        <f>IF(2327.62585="","-",2327.62585/1875200.41724*100)</f>
        <v>0.12412677752204743</v>
      </c>
      <c r="G48" s="28">
        <f>IF(OR(980597.75708="",786.92507="",1744.66393=""),"-",(1744.66393-786.92507)/980597.75708*100)</f>
        <v>9.7668881361908405E-2</v>
      </c>
      <c r="H48" s="28">
        <f>IF(OR(1104691.54098="",2327.62585="",1744.66393=""),"-",(2327.62585-1744.66393)/1104691.54098*100)</f>
        <v>5.2771465913719187E-2</v>
      </c>
      <c r="I48" s="20"/>
      <c r="J48" s="21"/>
      <c r="K48" s="17"/>
    </row>
    <row r="49" spans="1:11" x14ac:dyDescent="0.25">
      <c r="A49" s="20" t="s">
        <v>249</v>
      </c>
      <c r="B49" s="21" t="s">
        <v>155</v>
      </c>
      <c r="C49" s="17">
        <f>IF(1973.68484="","-",1973.68484)</f>
        <v>1973.6848399999999</v>
      </c>
      <c r="D49" s="28">
        <f>IF(OR(3070.97386="",1973.68484=""),"-",1973.68484/3070.97386*100)</f>
        <v>64.269021163208464</v>
      </c>
      <c r="E49" s="138">
        <f>IF(3070.97386="","-",3070.97386/1104691.54098*100)</f>
        <v>0.2779937879560172</v>
      </c>
      <c r="F49" s="138">
        <f>IF(1973.68484="","-",1973.68484/1875200.41724*100)</f>
        <v>0.10525194117143774</v>
      </c>
      <c r="G49" s="28">
        <f>IF(OR(980597.75708="",980.77823="",3070.97386=""),"-",(3070.97386-980.77823)/980597.75708*100)</f>
        <v>0.21315525299834803</v>
      </c>
      <c r="H49" s="28">
        <f>IF(OR(1104691.54098="",1973.68484="",3070.97386=""),"-",(1973.68484-3070.97386)/1104691.54098*100)</f>
        <v>-9.9329901542159635E-2</v>
      </c>
      <c r="I49" s="20"/>
      <c r="J49" s="21"/>
      <c r="K49" s="17"/>
    </row>
    <row r="50" spans="1:11" ht="25.5" x14ac:dyDescent="0.25">
      <c r="A50" s="18" t="s">
        <v>250</v>
      </c>
      <c r="B50" s="19" t="s">
        <v>317</v>
      </c>
      <c r="C50" s="16">
        <f>IF(118511.66803="","-",118511.66803)</f>
        <v>118511.66803</v>
      </c>
      <c r="D50" s="26">
        <f>IF(90529.71047="","-",118511.66803/90529.71047*100)</f>
        <v>130.90914288218423</v>
      </c>
      <c r="E50" s="137">
        <f>IF(90529.71047="","-",90529.71047/1104691.54098*100)</f>
        <v>8.1950216066367982</v>
      </c>
      <c r="F50" s="137">
        <f>IF(118511.66803="","-",118511.66803/1875200.41724*100)</f>
        <v>6.3199467609137221</v>
      </c>
      <c r="G50" s="26">
        <f>IF(980597.75708="","-",(90529.71047-60627.4492)/980597.75708*100)</f>
        <v>3.049391154946369</v>
      </c>
      <c r="H50" s="26">
        <f>IF(1104691.54098="","-",(118511.66803-90529.71047)/1104691.54098*100)</f>
        <v>2.5330109376212375</v>
      </c>
      <c r="I50" s="18"/>
      <c r="J50" s="19"/>
      <c r="K50" s="16"/>
    </row>
    <row r="51" spans="1:11" x14ac:dyDescent="0.25">
      <c r="A51" s="20" t="s">
        <v>251</v>
      </c>
      <c r="B51" s="21" t="s">
        <v>156</v>
      </c>
      <c r="C51" s="17">
        <f>IF(1277.23606="","-",1277.23606)</f>
        <v>1277.23606</v>
      </c>
      <c r="D51" s="28" t="s">
        <v>314</v>
      </c>
      <c r="E51" s="138">
        <f>IF(458.22082="","-",458.22082/1104691.54098*100)</f>
        <v>4.1479526456181658E-2</v>
      </c>
      <c r="F51" s="138">
        <f>IF(1277.23606="","-",1277.23606/1875200.41724*100)</f>
        <v>6.8111976099060945E-2</v>
      </c>
      <c r="G51" s="28">
        <f>IF(OR(980597.75708="",217.29162="",458.22082=""),"-",(458.22082-217.29162)/980597.75708*100)</f>
        <v>2.4569625849179287E-2</v>
      </c>
      <c r="H51" s="28">
        <f>IF(OR(1104691.54098="",1277.23606="",458.22082=""),"-",(1277.23606-458.22082)/1104691.54098*100)</f>
        <v>7.4139722231730917E-2</v>
      </c>
      <c r="I51" s="20"/>
      <c r="J51" s="21"/>
      <c r="K51" s="17"/>
    </row>
    <row r="52" spans="1:11" x14ac:dyDescent="0.25">
      <c r="A52" s="20" t="s">
        <v>252</v>
      </c>
      <c r="B52" s="21" t="s">
        <v>27</v>
      </c>
      <c r="C52" s="17">
        <f>IF(305.09892="","-",305.09892)</f>
        <v>305.09892000000002</v>
      </c>
      <c r="D52" s="28">
        <f>IF(OR(714.9639="",305.09892=""),"-",305.09892/714.9639*100)</f>
        <v>42.673332178030257</v>
      </c>
      <c r="E52" s="138">
        <f>IF(714.9639="","-",714.9639/1104691.54098*100)</f>
        <v>6.4720682061685492E-2</v>
      </c>
      <c r="F52" s="138">
        <f>IF(305.09892="","-",305.09892/1875200.41724*100)</f>
        <v>1.6270203291073156E-2</v>
      </c>
      <c r="G52" s="28">
        <f>IF(OR(980597.75708="",523.95432="",714.9639=""),"-",(714.9639-523.95432)/980597.75708*100)</f>
        <v>1.9478892198242788E-2</v>
      </c>
      <c r="H52" s="28">
        <f>IF(OR(1104691.54098="",305.09892="",714.9639=""),"-",(305.09892-714.9639)/1104691.54098*100)</f>
        <v>-3.7102210417615605E-2</v>
      </c>
      <c r="I52" s="20"/>
      <c r="J52" s="21"/>
      <c r="K52" s="17"/>
    </row>
    <row r="53" spans="1:11" x14ac:dyDescent="0.25">
      <c r="A53" s="20" t="s">
        <v>253</v>
      </c>
      <c r="B53" s="21" t="s">
        <v>157</v>
      </c>
      <c r="C53" s="17">
        <f>IF(12284.70605="","-",12284.70605)</f>
        <v>12284.706050000001</v>
      </c>
      <c r="D53" s="28">
        <f>IF(OR(9812.23376="",12284.70605=""),"-",12284.70605/9812.23376*100)</f>
        <v>125.19785352117418</v>
      </c>
      <c r="E53" s="138">
        <f>IF(9812.23376="","-",9812.23376/1104691.54098*100)</f>
        <v>0.8882329044807673</v>
      </c>
      <c r="F53" s="138">
        <f>IF(12284.70605="","-",12284.70605/1875200.41724*100)</f>
        <v>0.65511429802693599</v>
      </c>
      <c r="G53" s="28">
        <f>IF(OR(980597.75708="",6843.35183="",9812.23376=""),"-",(9812.23376-6843.35183)/980597.75708*100)</f>
        <v>0.30276246387108446</v>
      </c>
      <c r="H53" s="28">
        <f>IF(OR(1104691.54098="",12284.70605="",9812.23376=""),"-",(12284.70605-9812.23376)/1104691.54098*100)</f>
        <v>0.22381562619793469</v>
      </c>
      <c r="I53" s="20"/>
      <c r="J53" s="21"/>
      <c r="K53" s="17"/>
    </row>
    <row r="54" spans="1:11" ht="26.25" customHeight="1" x14ac:dyDescent="0.25">
      <c r="A54" s="20" t="s">
        <v>254</v>
      </c>
      <c r="B54" s="21" t="s">
        <v>158</v>
      </c>
      <c r="C54" s="17">
        <f>IF(7789.38435="","-",7789.38435)</f>
        <v>7789.3843500000003</v>
      </c>
      <c r="D54" s="28" t="s">
        <v>101</v>
      </c>
      <c r="E54" s="138">
        <f>IF(4105.79341="","-",4105.79341/1104691.54098*100)</f>
        <v>0.37166876523356429</v>
      </c>
      <c r="F54" s="138">
        <f>IF(7789.38435="","-",7789.38435/1875200.41724*100)</f>
        <v>0.4153894313582091</v>
      </c>
      <c r="G54" s="28">
        <f>IF(OR(980597.75708="",3517.53637="",4105.79341=""),"-",(4105.79341-3517.53637)/980597.75708*100)</f>
        <v>5.9989637519842778E-2</v>
      </c>
      <c r="H54" s="28">
        <f>IF(OR(1104691.54098="",7789.38435="",4105.79341=""),"-",(7789.38435-4105.79341)/1104691.54098*100)</f>
        <v>0.33344972812339929</v>
      </c>
      <c r="I54" s="20"/>
      <c r="J54" s="21"/>
      <c r="K54" s="17"/>
    </row>
    <row r="55" spans="1:11" ht="14.25" customHeight="1" x14ac:dyDescent="0.25">
      <c r="A55" s="20" t="s">
        <v>255</v>
      </c>
      <c r="B55" s="21" t="s">
        <v>159</v>
      </c>
      <c r="C55" s="17">
        <f>IF(38543.27664="","-",38543.27664)</f>
        <v>38543.276639999996</v>
      </c>
      <c r="D55" s="28">
        <f>IF(OR(33214.73012="",38543.27664=""),"-",38543.27664/33214.73012*100)</f>
        <v>116.04272110822136</v>
      </c>
      <c r="E55" s="138">
        <f>IF(33214.73012="","-",33214.73012/1104691.54098*100)</f>
        <v>3.0066972442401765</v>
      </c>
      <c r="F55" s="138">
        <f>IF(38543.27664="","-",38543.27664/1875200.41724*100)</f>
        <v>2.0554217184278167</v>
      </c>
      <c r="G55" s="28">
        <f>IF(OR(980597.75708="",21651.62443="",33214.73012=""),"-",(33214.73012-21651.62443)/980597.75708*100)</f>
        <v>1.1791894899323789</v>
      </c>
      <c r="H55" s="28">
        <f>IF(OR(1104691.54098="",38543.27664="",33214.73012=""),"-",(38543.27664-33214.73012)/1104691.54098*100)</f>
        <v>0.48235605346202859</v>
      </c>
      <c r="I55" s="20"/>
      <c r="J55" s="21"/>
      <c r="K55" s="17"/>
    </row>
    <row r="56" spans="1:11" ht="15.75" customHeight="1" x14ac:dyDescent="0.25">
      <c r="A56" s="20" t="s">
        <v>256</v>
      </c>
      <c r="B56" s="21" t="s">
        <v>28</v>
      </c>
      <c r="C56" s="17">
        <f>IF(35225.13385="","-",35225.13385)</f>
        <v>35225.133849999998</v>
      </c>
      <c r="D56" s="28">
        <f>IF(OR(22499.0997="",35225.13385=""),"-",35225.13385/22499.0997*100)</f>
        <v>156.56241502854445</v>
      </c>
      <c r="E56" s="138">
        <f>IF(22499.0997="","-",22499.0997/1104691.54098*100)</f>
        <v>2.0366861576617552</v>
      </c>
      <c r="F56" s="138">
        <f>IF(35225.13385="","-",35225.13385/1875200.41724*100)</f>
        <v>1.8784730168653574</v>
      </c>
      <c r="G56" s="28">
        <f>IF(OR(980597.75708="",17257.04039="",22499.0997=""),"-",(22499.0997-17257.04039)/980597.75708*100)</f>
        <v>0.5345779420921456</v>
      </c>
      <c r="H56" s="28">
        <f>IF(OR(1104691.54098="",35225.13385="",22499.0997=""),"-",(35225.13385-22499.0997)/1104691.54098*100)</f>
        <v>1.1519988773255572</v>
      </c>
      <c r="I56" s="20"/>
      <c r="J56" s="21"/>
      <c r="K56" s="17"/>
    </row>
    <row r="57" spans="1:11" x14ac:dyDescent="0.25">
      <c r="A57" s="20" t="s">
        <v>257</v>
      </c>
      <c r="B57" s="21" t="s">
        <v>160</v>
      </c>
      <c r="C57" s="17">
        <f>IF(4150.23242="","-",4150.23242)</f>
        <v>4150.2324200000003</v>
      </c>
      <c r="D57" s="28">
        <f>IF(OR(2828.11617="",4150.23242=""),"-",4150.23242/2828.11617*100)</f>
        <v>146.74900783867025</v>
      </c>
      <c r="E57" s="138">
        <f>IF(2828.11617="","-",2828.11617/1104691.54098*100)</f>
        <v>0.25600957960546217</v>
      </c>
      <c r="F57" s="138">
        <f>IF(4150.23242="","-",4150.23242/1875200.41724*100)</f>
        <v>0.22132207212861491</v>
      </c>
      <c r="G57" s="28">
        <f>IF(OR(980597.75708="",640.5326="",2828.11617=""),"-",(2828.11617-640.5326)/980597.75708*100)</f>
        <v>0.22308674012411905</v>
      </c>
      <c r="H57" s="28">
        <f>IF(OR(1104691.54098="",4150.23242="",2828.11617=""),"-",(4150.23242-2828.11617)/1104691.54098*100)</f>
        <v>0.11968193843750422</v>
      </c>
      <c r="I57" s="20"/>
      <c r="J57" s="21"/>
      <c r="K57" s="17"/>
    </row>
    <row r="58" spans="1:11" x14ac:dyDescent="0.25">
      <c r="A58" s="20" t="s">
        <v>258</v>
      </c>
      <c r="B58" s="21" t="s">
        <v>29</v>
      </c>
      <c r="C58" s="17">
        <f>IF(1145.45496="","-",1145.45496)</f>
        <v>1145.45496</v>
      </c>
      <c r="D58" s="28" t="s">
        <v>197</v>
      </c>
      <c r="E58" s="138">
        <f>IF(530.97775="","-",530.97775/1104691.54098*100)</f>
        <v>4.8065702533483343E-2</v>
      </c>
      <c r="F58" s="138">
        <f>IF(1145.45496="","-",1145.45496/1875200.41724*100)</f>
        <v>6.1084401937470209E-2</v>
      </c>
      <c r="G58" s="28">
        <f>IF(OR(980597.75708="",753.45003="",530.97775=""),"-",(530.97775-753.45003)/980597.75708*100)</f>
        <v>-2.2687414731854216E-2</v>
      </c>
      <c r="H58" s="28">
        <f>IF(OR(1104691.54098="",1145.45496="",530.97775=""),"-",(1145.45496-530.97775)/1104691.54098*100)</f>
        <v>5.5624324728229708E-2</v>
      </c>
      <c r="I58" s="20"/>
      <c r="J58" s="21"/>
      <c r="K58" s="17"/>
    </row>
    <row r="59" spans="1:11" x14ac:dyDescent="0.25">
      <c r="A59" s="20" t="s">
        <v>259</v>
      </c>
      <c r="B59" s="21" t="s">
        <v>30</v>
      </c>
      <c r="C59" s="17">
        <f>IF(17791.14478="","-",17791.14478)</f>
        <v>17791.144779999999</v>
      </c>
      <c r="D59" s="28">
        <f>IF(OR(16365.57484="",17791.14478=""),"-",17791.14478/16365.57484*100)</f>
        <v>108.71078439918705</v>
      </c>
      <c r="E59" s="138">
        <f>IF(16365.57484="","-",16365.57484/1104691.54098*100)</f>
        <v>1.4814610443637215</v>
      </c>
      <c r="F59" s="138">
        <f>IF(17791.14478="","-",17791.14478/1875200.41724*100)</f>
        <v>0.94875964277918423</v>
      </c>
      <c r="G59" s="28">
        <f>IF(OR(980597.75708="",9222.66761="",16365.57484=""),"-",(16365.57484-9222.66761)/980597.75708*100)</f>
        <v>0.72842377809123005</v>
      </c>
      <c r="H59" s="28">
        <f>IF(OR(1104691.54098="",17791.14478="",16365.57484=""),"-",(17791.14478-16365.57484)/1104691.54098*100)</f>
        <v>0.12904687753246849</v>
      </c>
      <c r="I59" s="20"/>
      <c r="J59" s="21"/>
      <c r="K59" s="17"/>
    </row>
    <row r="60" spans="1:11" ht="25.5" x14ac:dyDescent="0.25">
      <c r="A60" s="18" t="s">
        <v>260</v>
      </c>
      <c r="B60" s="19" t="s">
        <v>161</v>
      </c>
      <c r="C60" s="16">
        <f>IF(288539.13104="","-",288539.13104)</f>
        <v>288539.13104000001</v>
      </c>
      <c r="D60" s="26">
        <f>IF(287784.40157="","-",288539.13104/287784.40157*100)</f>
        <v>100.26225516945415</v>
      </c>
      <c r="E60" s="137">
        <f>IF(287784.40157="","-",287784.40157/1104691.54098*100)</f>
        <v>26.051109372549291</v>
      </c>
      <c r="F60" s="137">
        <f>IF(288539.13104="","-",288539.13104/1875200.41724*100)</f>
        <v>15.387108939783845</v>
      </c>
      <c r="G60" s="26">
        <f>IF(980597.75708="","-",(287784.40157-191770.85652)/980597.75708*100)</f>
        <v>9.791328233903652</v>
      </c>
      <c r="H60" s="26">
        <f>IF(1104691.54098="","-",(288539.13104-287784.40157)/1104691.54098*100)</f>
        <v>6.8320381029665575E-2</v>
      </c>
      <c r="I60" s="18"/>
      <c r="J60" s="19"/>
      <c r="K60" s="16"/>
    </row>
    <row r="61" spans="1:11" ht="25.5" x14ac:dyDescent="0.25">
      <c r="A61" s="20" t="s">
        <v>261</v>
      </c>
      <c r="B61" s="21" t="s">
        <v>162</v>
      </c>
      <c r="C61" s="17">
        <f>IF(1096.28174="","-",1096.28174)</f>
        <v>1096.2817399999999</v>
      </c>
      <c r="D61" s="28">
        <f>IF(OR(777.76164="",1096.28174=""),"-",1096.28174/777.76164*100)</f>
        <v>140.95343401096508</v>
      </c>
      <c r="E61" s="138">
        <f>IF(777.76164="","-",777.76164/1104691.54098*100)</f>
        <v>7.0405322313777108E-2</v>
      </c>
      <c r="F61" s="138">
        <f>IF(1096.28174="","-",1096.28174/1875200.41724*100)</f>
        <v>5.8462110498756929E-2</v>
      </c>
      <c r="G61" s="28">
        <f>IF(OR(980597.75708="",805.06489="",777.76164=""),"-",(777.76164-805.06489)/980597.75708*100)</f>
        <v>-2.784347588281548E-3</v>
      </c>
      <c r="H61" s="28">
        <f>IF(OR(1104691.54098="",1096.28174="",777.76164=""),"-",(1096.28174-777.76164)/1104691.54098*100)</f>
        <v>2.883339721397998E-2</v>
      </c>
      <c r="I61" s="20"/>
      <c r="J61" s="21"/>
      <c r="K61" s="17"/>
    </row>
    <row r="62" spans="1:11" ht="25.5" x14ac:dyDescent="0.25">
      <c r="A62" s="20" t="s">
        <v>262</v>
      </c>
      <c r="B62" s="21" t="s">
        <v>163</v>
      </c>
      <c r="C62" s="17">
        <f>IF(4126.50251="","-",4126.50251)</f>
        <v>4126.5025100000003</v>
      </c>
      <c r="D62" s="28">
        <f>IF(OR(6307.93572="",4126.50251=""),"-",4126.50251/6307.93572*100)</f>
        <v>65.417637293234804</v>
      </c>
      <c r="E62" s="138">
        <f>IF(6307.93572="","-",6307.93572/1104691.54098*100)</f>
        <v>0.57101330878337941</v>
      </c>
      <c r="F62" s="138">
        <f>IF(4126.50251="","-",4126.50251/1875200.41724*100)</f>
        <v>0.2200566121926083</v>
      </c>
      <c r="G62" s="28">
        <f>IF(OR(980597.75708="",3314.01181="",6307.93572=""),"-",(6307.93572-3314.01181)/980597.75708*100)</f>
        <v>0.30531621027925188</v>
      </c>
      <c r="H62" s="28">
        <f>IF(OR(1104691.54098="",4126.50251="",6307.93572=""),"-",(4126.50251-6307.93572)/1104691.54098*100)</f>
        <v>-0.19746989354736932</v>
      </c>
      <c r="I62" s="20"/>
      <c r="J62" s="21"/>
      <c r="K62" s="17"/>
    </row>
    <row r="63" spans="1:11" ht="25.5" x14ac:dyDescent="0.25">
      <c r="A63" s="20" t="s">
        <v>263</v>
      </c>
      <c r="B63" s="21" t="s">
        <v>164</v>
      </c>
      <c r="C63" s="17">
        <f>IF(1516.77602="","-",1516.77602)</f>
        <v>1516.77602</v>
      </c>
      <c r="D63" s="28">
        <f>IF(OR(2063.45752="",1516.77602=""),"-",1516.77602/2063.45752*100)</f>
        <v>73.506529952698045</v>
      </c>
      <c r="E63" s="138">
        <f>IF(2063.45752="","-",2063.45752/1104691.54098*100)</f>
        <v>0.18679037934602577</v>
      </c>
      <c r="F63" s="138">
        <f>IF(1516.77602="","-",1516.77602/1875200.41724*100)</f>
        <v>8.0886075219226736E-2</v>
      </c>
      <c r="G63" s="28">
        <f>IF(OR(980597.75708="",1478.65343="",2063.45752=""),"-",(2063.45752-1478.65343)/980597.75708*100)</f>
        <v>5.9637510465189635E-2</v>
      </c>
      <c r="H63" s="28">
        <f>IF(OR(1104691.54098="",1516.77602="",2063.45752=""),"-",(1516.77602-2063.45752)/1104691.54098*100)</f>
        <v>-4.9487253203281054E-2</v>
      </c>
      <c r="I63" s="20"/>
      <c r="J63" s="21"/>
      <c r="K63" s="17"/>
    </row>
    <row r="64" spans="1:11" ht="26.25" customHeight="1" x14ac:dyDescent="0.25">
      <c r="A64" s="20" t="s">
        <v>264</v>
      </c>
      <c r="B64" s="21" t="s">
        <v>165</v>
      </c>
      <c r="C64" s="17">
        <f>IF(11562.9707="","-",11562.9707)</f>
        <v>11562.9707</v>
      </c>
      <c r="D64" s="28">
        <f>IF(OR(9871.04414="",11562.9707=""),"-",11562.9707/9871.04414*100)</f>
        <v>117.1402998102691</v>
      </c>
      <c r="E64" s="138">
        <f>IF(9871.04414="","-",9871.04414/1104691.54098*100)</f>
        <v>0.8935565969160173</v>
      </c>
      <c r="F64" s="138">
        <f>IF(11562.9707="","-",11562.9707/1875200.41724*100)</f>
        <v>0.61662586002507791</v>
      </c>
      <c r="G64" s="28">
        <f>IF(OR(980597.75708="",8057.26692="",9871.04414=""),"-",(9871.04414-8057.26692)/980597.75708*100)</f>
        <v>0.1849664867071511</v>
      </c>
      <c r="H64" s="28">
        <f>IF(OR(1104691.54098="",11562.9707="",9871.04414=""),"-",(11562.9707-9871.04414)/1104691.54098*100)</f>
        <v>0.15315827968584322</v>
      </c>
      <c r="I64" s="20"/>
      <c r="J64" s="21"/>
      <c r="K64" s="17"/>
    </row>
    <row r="65" spans="1:11" ht="28.5" customHeight="1" x14ac:dyDescent="0.25">
      <c r="A65" s="20" t="s">
        <v>265</v>
      </c>
      <c r="B65" s="21" t="s">
        <v>166</v>
      </c>
      <c r="C65" s="17">
        <f>IF(1374.45717="","-",1374.45717)</f>
        <v>1374.4571699999999</v>
      </c>
      <c r="D65" s="28" t="s">
        <v>100</v>
      </c>
      <c r="E65" s="138">
        <f>IF(852.45727="","-",852.45727/1104691.54098*100)</f>
        <v>7.7166995344579492E-2</v>
      </c>
      <c r="F65" s="138">
        <f>IF(1374.45717="","-",1374.45717/1875200.41724*100)</f>
        <v>7.3296547791034755E-2</v>
      </c>
      <c r="G65" s="28">
        <f>IF(OR(980597.75708="",529.2491="",852.45727=""),"-",(852.45727-529.2491)/980597.75708*100)</f>
        <v>3.2960321157825344E-2</v>
      </c>
      <c r="H65" s="28">
        <f>IF(OR(1104691.54098="",1374.45717="",852.45727=""),"-",(1374.45717-852.45727)/1104691.54098*100)</f>
        <v>4.7253000555876487E-2</v>
      </c>
      <c r="I65" s="20"/>
      <c r="J65" s="21"/>
      <c r="K65" s="17"/>
    </row>
    <row r="66" spans="1:11" ht="39.75" customHeight="1" x14ac:dyDescent="0.25">
      <c r="A66" s="20" t="s">
        <v>266</v>
      </c>
      <c r="B66" s="21" t="s">
        <v>167</v>
      </c>
      <c r="C66" s="17">
        <f>IF(813.77315="","-",813.77315)</f>
        <v>813.77314999999999</v>
      </c>
      <c r="D66" s="28">
        <f>IF(OR(1253.57811="",813.77315=""),"-",813.77315/1253.57811*100)</f>
        <v>64.916030641281694</v>
      </c>
      <c r="E66" s="138">
        <f>IF(1253.57811="","-",1253.57811/1104691.54098*100)</f>
        <v>0.1134776599165337</v>
      </c>
      <c r="F66" s="138">
        <f>IF(813.77315="","-",813.77315/1875200.41724*100)</f>
        <v>4.3396596039464733E-2</v>
      </c>
      <c r="G66" s="28">
        <f>IF(OR(980597.75708="",911.90034="",1253.57811=""),"-",(1253.57811-911.90034)/980597.75708*100)</f>
        <v>3.4843825363973867E-2</v>
      </c>
      <c r="H66" s="28">
        <f>IF(OR(1104691.54098="",813.77315="",1253.57811=""),"-",(813.77315-1253.57811)/1104691.54098*100)</f>
        <v>-3.981246743410724E-2</v>
      </c>
      <c r="I66" s="20"/>
      <c r="J66" s="21"/>
      <c r="K66" s="17"/>
    </row>
    <row r="67" spans="1:11" ht="51" x14ac:dyDescent="0.25">
      <c r="A67" s="20" t="s">
        <v>267</v>
      </c>
      <c r="B67" s="21" t="s">
        <v>168</v>
      </c>
      <c r="C67" s="17">
        <f>IF(229153.16416="","-",229153.16416)</f>
        <v>229153.16415999999</v>
      </c>
      <c r="D67" s="28">
        <f>IF(OR(244742.59411="",229153.16416=""),"-",229153.16416/244742.59411*100)</f>
        <v>93.630275103240379</v>
      </c>
      <c r="E67" s="138">
        <f>IF(244742.59411="","-",244742.59411/1104691.54098*100)</f>
        <v>22.154835538333405</v>
      </c>
      <c r="F67" s="138">
        <f>IF(229153.16416="","-",229153.16416/1875200.41724*100)</f>
        <v>12.220195881636876</v>
      </c>
      <c r="G67" s="28">
        <f>IF(OR(980597.75708="",166959.20555="",244742.59411=""),"-",(244742.59411-166959.20555)/980597.75708*100)</f>
        <v>7.9322421449975016</v>
      </c>
      <c r="H67" s="28">
        <f>IF(OR(1104691.54098="",229153.16416="",244742.59411=""),"-",(229153.16416-244742.59411)/1104691.54098*100)</f>
        <v>-1.4112020751213716</v>
      </c>
      <c r="I67" s="20"/>
      <c r="J67" s="21"/>
      <c r="K67" s="17"/>
    </row>
    <row r="68" spans="1:11" ht="25.5" x14ac:dyDescent="0.25">
      <c r="A68" s="20" t="s">
        <v>268</v>
      </c>
      <c r="B68" s="21" t="s">
        <v>169</v>
      </c>
      <c r="C68" s="17">
        <f>IF(38487.36392="","-",38487.36392)</f>
        <v>38487.363920000003</v>
      </c>
      <c r="D68" s="28" t="s">
        <v>198</v>
      </c>
      <c r="E68" s="138">
        <f>IF(21588.80481="","-",21588.80481/1104691.54098*100)</f>
        <v>1.9542835270421297</v>
      </c>
      <c r="F68" s="138">
        <f>IF(38487.36392="","-",38487.36392/1875200.41724*100)</f>
        <v>2.0524400254052497</v>
      </c>
      <c r="G68" s="28">
        <f>IF(OR(980597.75708="",9577.18689="",21588.80481=""),"-",(21588.80481-9577.18689)/980597.75708*100)</f>
        <v>1.22492814543732</v>
      </c>
      <c r="H68" s="28">
        <f>IF(OR(1104691.54098="",38487.36392="",21588.80481=""),"-",(38487.36392-21588.80481)/1104691.54098*100)</f>
        <v>1.5297083831210347</v>
      </c>
      <c r="I68" s="20"/>
      <c r="J68" s="21"/>
      <c r="K68" s="17"/>
    </row>
    <row r="69" spans="1:11" x14ac:dyDescent="0.25">
      <c r="A69" s="20" t="s">
        <v>269</v>
      </c>
      <c r="B69" s="21" t="s">
        <v>31</v>
      </c>
      <c r="C69" s="17">
        <f>IF(407.84167="","-",407.84167)</f>
        <v>407.84167000000002</v>
      </c>
      <c r="D69" s="28">
        <f>IF(OR(326.76825="",407.84167=""),"-",407.84167/326.76825*100)</f>
        <v>124.81067851604311</v>
      </c>
      <c r="E69" s="138">
        <f>IF(326.76825="","-",326.76825/1104691.54098*100)</f>
        <v>2.9580044553442996E-2</v>
      </c>
      <c r="F69" s="138">
        <f>IF(407.84167="","-",407.84167/1875200.41724*100)</f>
        <v>2.174923097554974E-2</v>
      </c>
      <c r="G69" s="28">
        <f>IF(OR(980597.75708="",138.31759="",326.76825=""),"-",(326.76825-138.31759)/980597.75708*100)</f>
        <v>1.9217937083719609E-2</v>
      </c>
      <c r="H69" s="28">
        <f>IF(OR(1104691.54098="",407.84167="",326.76825=""),"-",(407.84167-326.76825)/1104691.54098*100)</f>
        <v>7.3390097590570582E-3</v>
      </c>
      <c r="I69" s="20"/>
      <c r="J69" s="21"/>
      <c r="K69" s="17"/>
    </row>
    <row r="70" spans="1:11" x14ac:dyDescent="0.25">
      <c r="A70" s="18" t="s">
        <v>270</v>
      </c>
      <c r="B70" s="19" t="s">
        <v>32</v>
      </c>
      <c r="C70" s="16">
        <f>IF(256824.62774="","-",256824.62774)</f>
        <v>256824.62774</v>
      </c>
      <c r="D70" s="26">
        <f>IF(237574.11148="","-",256824.62774/237574.11148*100)</f>
        <v>108.10295201782564</v>
      </c>
      <c r="E70" s="137">
        <f>IF(237574.11148="","-",237574.11148/1104691.54098*100)</f>
        <v>21.505922935667808</v>
      </c>
      <c r="F70" s="137">
        <f>IF(256824.62774="","-",256824.62774/1875200.41724*100)</f>
        <v>13.695849541138937</v>
      </c>
      <c r="G70" s="26">
        <f>IF(980597.75708="","-",(237574.11148-178301.88886)/980597.75708*100)</f>
        <v>6.0444991019048784</v>
      </c>
      <c r="H70" s="26">
        <f>IF(1104691.54098="","-",(256824.62774-237574.11148)/1104691.54098*100)</f>
        <v>1.7426146164677228</v>
      </c>
      <c r="I70" s="18"/>
      <c r="J70" s="19"/>
      <c r="K70" s="16"/>
    </row>
    <row r="71" spans="1:11" ht="38.25" x14ac:dyDescent="0.25">
      <c r="A71" s="20" t="s">
        <v>271</v>
      </c>
      <c r="B71" s="21" t="s">
        <v>195</v>
      </c>
      <c r="C71" s="17">
        <f>IF(6947.09784="","-",6947.09784)</f>
        <v>6947.0978400000004</v>
      </c>
      <c r="D71" s="28">
        <f>IF(OR(7155.02647="",6947.09784=""),"-",6947.09784/7155.02647*100)</f>
        <v>97.093950233841696</v>
      </c>
      <c r="E71" s="138">
        <f>IF(7155.02647="","-",7155.02647/1104691.54098*100)</f>
        <v>0.64769451060090433</v>
      </c>
      <c r="F71" s="138">
        <f>IF(6947.09784="","-",6947.09784/1875200.41724*100)</f>
        <v>0.37047228531577631</v>
      </c>
      <c r="G71" s="28">
        <f>IF(OR(980597.75708="",4051.68481="",7155.02647=""),"-",(7155.02647-4051.68481)/980597.75708*100)</f>
        <v>0.31647448075356138</v>
      </c>
      <c r="H71" s="28">
        <f>IF(OR(1104691.54098="",6947.09784="",7155.02647=""),"-",(6947.09784-7155.02647)/1104691.54098*100)</f>
        <v>-1.8822324810737721E-2</v>
      </c>
      <c r="I71" s="20"/>
      <c r="J71" s="21"/>
      <c r="K71" s="17"/>
    </row>
    <row r="72" spans="1:11" x14ac:dyDescent="0.25">
      <c r="A72" s="20" t="s">
        <v>272</v>
      </c>
      <c r="B72" s="21" t="s">
        <v>170</v>
      </c>
      <c r="C72" s="17">
        <f>IF(62941.26217="","-",62941.26217)</f>
        <v>62941.262170000002</v>
      </c>
      <c r="D72" s="28">
        <f>IF(OR(67717.5413="",62941.26217=""),"-",62941.26217/67717.5413*100)</f>
        <v>92.946762333203608</v>
      </c>
      <c r="E72" s="138">
        <f>IF(67717.5413="","-",67717.5413/1104691.54098*100)</f>
        <v>6.129995459178228</v>
      </c>
      <c r="F72" s="138">
        <f>IF(62941.26217="","-",62941.26217/1875200.41724*100)</f>
        <v>3.3565085412384685</v>
      </c>
      <c r="G72" s="28">
        <f>IF(OR(980597.75708="",41390.42412="",67717.5413=""),"-",(67717.5413-41390.42412)/980597.75708*100)</f>
        <v>2.684802916375848</v>
      </c>
      <c r="H72" s="28">
        <f>IF(OR(1104691.54098="",62941.26217="",67717.5413=""),"-",(62941.26217-67717.5413)/1104691.54098*100)</f>
        <v>-0.43236314869966658</v>
      </c>
      <c r="I72" s="20"/>
      <c r="J72" s="21"/>
      <c r="K72" s="17"/>
    </row>
    <row r="73" spans="1:11" x14ac:dyDescent="0.25">
      <c r="A73" s="20" t="s">
        <v>273</v>
      </c>
      <c r="B73" s="21" t="s">
        <v>171</v>
      </c>
      <c r="C73" s="17">
        <f>IF(6425.06499="","-",6425.06499)</f>
        <v>6425.0649899999999</v>
      </c>
      <c r="D73" s="28">
        <f>IF(OR(6396.44472="",6425.06499=""),"-",6425.06499/6396.44472*100)</f>
        <v>100.4474402774171</v>
      </c>
      <c r="E73" s="138">
        <f>IF(6396.44472="","-",6396.44472/1104691.54098*100)</f>
        <v>0.57902540960217286</v>
      </c>
      <c r="F73" s="138">
        <f>IF(6425.06499="","-",6425.06499/1875200.41724*100)</f>
        <v>0.34263350898015926</v>
      </c>
      <c r="G73" s="28">
        <f>IF(OR(980597.75708="",4774.03943="",6396.44472=""),"-",(6396.44472-4774.03943)/980597.75708*100)</f>
        <v>0.16545064255818404</v>
      </c>
      <c r="H73" s="28">
        <f>IF(OR(1104691.54098="",6425.06499="",6396.44472=""),"-",(6425.06499-6396.44472)/1104691.54098*100)</f>
        <v>2.5907928990394607E-3</v>
      </c>
      <c r="I73" s="20"/>
      <c r="J73" s="21"/>
      <c r="K73" s="17"/>
    </row>
    <row r="74" spans="1:11" x14ac:dyDescent="0.25">
      <c r="A74" s="20" t="s">
        <v>274</v>
      </c>
      <c r="B74" s="21" t="s">
        <v>172</v>
      </c>
      <c r="C74" s="17">
        <f>IF(119264.40421="","-",119264.40421)</f>
        <v>119264.40420999999</v>
      </c>
      <c r="D74" s="28">
        <f>IF(OR(105400.92067="",119264.40421=""),"-",119264.40421/105400.92067*100)</f>
        <v>113.1530952973411</v>
      </c>
      <c r="E74" s="138">
        <f>IF(105400.92067="","-",105400.92067/1104691.54098*100)</f>
        <v>9.541208270364427</v>
      </c>
      <c r="F74" s="138">
        <f>IF(119264.40421="","-",119264.40421/1875200.41724*100)</f>
        <v>6.3600883998062683</v>
      </c>
      <c r="G74" s="28">
        <f>IF(OR(980597.75708="",84245.68681="",105400.92067=""),"-",(105400.92067-84245.68681)/980597.75708*100)</f>
        <v>2.1573814244686367</v>
      </c>
      <c r="H74" s="28">
        <f>IF(OR(1104691.54098="",119264.40421="",105400.92067=""),"-",(119264.40421-105400.92067)/1104691.54098*100)</f>
        <v>1.254964216318823</v>
      </c>
      <c r="I74" s="20"/>
      <c r="J74" s="21"/>
      <c r="K74" s="17"/>
    </row>
    <row r="75" spans="1:11" x14ac:dyDescent="0.25">
      <c r="A75" s="20" t="s">
        <v>275</v>
      </c>
      <c r="B75" s="21" t="s">
        <v>173</v>
      </c>
      <c r="C75" s="17">
        <f>IF(17112.94213="","-",17112.94213)</f>
        <v>17112.942129999999</v>
      </c>
      <c r="D75" s="28">
        <f>IF(OR(14500.67286="",17112.94213=""),"-",17112.94213/14500.67286*100)</f>
        <v>118.01481417600921</v>
      </c>
      <c r="E75" s="138">
        <f>IF(14500.67286="","-",14500.67286/1104691.54098*100)</f>
        <v>1.3126445095375749</v>
      </c>
      <c r="F75" s="138">
        <f>IF(17112.94213="","-",17112.94213/1875200.41724*100)</f>
        <v>0.91259270063450382</v>
      </c>
      <c r="G75" s="28">
        <f>IF(OR(980597.75708="",12627.2013="",14500.67286=""),"-",(14500.67286-12627.2013)/980597.75708*100)</f>
        <v>0.19105403275434543</v>
      </c>
      <c r="H75" s="28">
        <f>IF(OR(1104691.54098="",17112.94213="",14500.67286=""),"-",(17112.94213-14500.67286)/1104691.54098*100)</f>
        <v>0.23647046918478151</v>
      </c>
      <c r="I75" s="20"/>
      <c r="J75" s="21"/>
      <c r="K75" s="17"/>
    </row>
    <row r="76" spans="1:11" ht="25.5" x14ac:dyDescent="0.25">
      <c r="A76" s="20" t="s">
        <v>276</v>
      </c>
      <c r="B76" s="21" t="s">
        <v>196</v>
      </c>
      <c r="C76" s="17">
        <f>IF(9318.04563="","-",9318.04563)</f>
        <v>9318.0456300000005</v>
      </c>
      <c r="D76" s="28">
        <f>IF(OR(10636.79837="",9318.04563=""),"-",9318.04563/10636.79837*100)</f>
        <v>87.6019767026946</v>
      </c>
      <c r="E76" s="138">
        <f>IF(10636.79837="","-",10636.79837/1104691.54098*100)</f>
        <v>0.96287497237136666</v>
      </c>
      <c r="F76" s="138">
        <f>IF(9318.04563="","-",9318.04563/1875200.41724*100)</f>
        <v>0.49690931936303095</v>
      </c>
      <c r="G76" s="28">
        <f>IF(OR(980597.75708="",6979.50401="",10636.79837=""),"-",(10636.79837-6979.50401)/980597.75708*100)</f>
        <v>0.3729658092315653</v>
      </c>
      <c r="H76" s="28">
        <f>IF(OR(1104691.54098="",9318.04563="",10636.79837=""),"-",(9318.04563-10636.79837)/1104691.54098*100)</f>
        <v>-0.11937746339852487</v>
      </c>
      <c r="I76" s="20"/>
      <c r="J76" s="21"/>
      <c r="K76" s="17"/>
    </row>
    <row r="77" spans="1:11" ht="15.75" customHeight="1" x14ac:dyDescent="0.25">
      <c r="A77" s="20" t="s">
        <v>277</v>
      </c>
      <c r="B77" s="21" t="s">
        <v>174</v>
      </c>
      <c r="C77" s="17">
        <f>IF(1848.21961="","-",1848.21961)</f>
        <v>1848.2196100000001</v>
      </c>
      <c r="D77" s="28">
        <f>IF(OR(1350.61728="",1848.21961=""),"-",1848.21961/1350.61728*100)</f>
        <v>136.84258578418309</v>
      </c>
      <c r="E77" s="138">
        <f>IF(1350.61728="","-",1350.61728/1104691.54098*100)</f>
        <v>0.12226193737319949</v>
      </c>
      <c r="F77" s="138">
        <f>IF(1848.21961="","-",1848.21961/1875200.41724*100)</f>
        <v>9.8561177408454756E-2</v>
      </c>
      <c r="G77" s="28">
        <f>IF(OR(980597.75708="",1242.47283="",1350.61728=""),"-",(1350.61728-1242.47283)/980597.75708*100)</f>
        <v>1.1028421105309267E-2</v>
      </c>
      <c r="H77" s="28">
        <f>IF(OR(1104691.54098="",1848.21961="",1350.61728=""),"-",(1848.21961-1350.61728)/1104691.54098*100)</f>
        <v>4.5044459158125209E-2</v>
      </c>
      <c r="I77" s="20"/>
      <c r="J77" s="21"/>
      <c r="K77" s="17"/>
    </row>
    <row r="78" spans="1:11" x14ac:dyDescent="0.25">
      <c r="A78" s="20" t="s">
        <v>278</v>
      </c>
      <c r="B78" s="21" t="s">
        <v>33</v>
      </c>
      <c r="C78" s="17">
        <f>IF(32967.59116="","-",32967.59116)</f>
        <v>32967.591160000004</v>
      </c>
      <c r="D78" s="28">
        <f>IF(OR(24416.08981="",32967.59116=""),"-",32967.59116/24416.08981*100)</f>
        <v>135.0240411816375</v>
      </c>
      <c r="E78" s="138">
        <f>IF(24416.08981="","-",24416.08981/1104691.54098*100)</f>
        <v>2.2102178666399368</v>
      </c>
      <c r="F78" s="138">
        <f>IF(32967.59116="","-",32967.59116/1875200.41724*100)</f>
        <v>1.7580836083922757</v>
      </c>
      <c r="G78" s="28">
        <f>IF(OR(980597.75708="",22990.87555="",24416.08981=""),"-",(24416.08981-22990.87555)/980597.75708*100)</f>
        <v>0.14534137465743024</v>
      </c>
      <c r="H78" s="28">
        <f>IF(OR(1104691.54098="",32967.59116="",24416.08981=""),"-",(32967.59116-24416.08981)/1104691.54098*100)</f>
        <v>0.77410761581588172</v>
      </c>
      <c r="I78" s="20"/>
      <c r="J78" s="21"/>
      <c r="K78" s="17"/>
    </row>
    <row r="79" spans="1:11" ht="25.5" x14ac:dyDescent="0.25">
      <c r="A79" s="58" t="s">
        <v>281</v>
      </c>
      <c r="B79" s="59" t="s">
        <v>175</v>
      </c>
      <c r="C79" s="16">
        <f>IF(1914.71395="","-",1914.71395)</f>
        <v>1914.7139500000001</v>
      </c>
      <c r="D79" s="26" t="str">
        <f>IF(""="","-",1914.71395/""*100)</f>
        <v>-</v>
      </c>
      <c r="E79" s="137" t="str">
        <f>IF(""="","-",""/1104691.54098*100)</f>
        <v>-</v>
      </c>
      <c r="F79" s="137">
        <f>IF(1914.71395="","-",1914.71395/1875200.41724*100)</f>
        <v>0.10210716318089122</v>
      </c>
      <c r="G79" s="26" t="s">
        <v>285</v>
      </c>
      <c r="H79" s="26" t="s">
        <v>285</v>
      </c>
      <c r="I79" s="20"/>
      <c r="J79" s="21"/>
      <c r="K79" s="17"/>
    </row>
    <row r="80" spans="1:11" x14ac:dyDescent="0.25">
      <c r="A80" s="79" t="s">
        <v>328</v>
      </c>
      <c r="B80" s="88" t="s">
        <v>329</v>
      </c>
      <c r="C80" s="17">
        <f>IF(692.83976="","-",692.83976)</f>
        <v>692.83975999999996</v>
      </c>
      <c r="D80" s="28" t="str">
        <f>IF(OR(""="",692.83976=""),"-",692.83976/""*100)</f>
        <v>-</v>
      </c>
      <c r="E80" s="138" t="str">
        <f>IF(""="","-",""/1104691.54098*100)</f>
        <v>-</v>
      </c>
      <c r="F80" s="138">
        <f>IF(692.83976="","-",692.83976/1875200.41724*100)</f>
        <v>3.6947504577657414E-2</v>
      </c>
      <c r="G80" s="28" t="str">
        <f>IF(OR(980597.75708="",187.21487="",""=""),"-",(""-187.21487)/980597.75708*100)</f>
        <v>-</v>
      </c>
      <c r="H80" s="28" t="str">
        <f>IF(OR(1104691.54098="",692.83976="",""=""),"-",(692.83976-"")/1104691.54098*100)</f>
        <v>-</v>
      </c>
      <c r="I80" s="20"/>
      <c r="J80" s="21"/>
      <c r="K80" s="17"/>
    </row>
    <row r="81" spans="1:11" ht="25.5" x14ac:dyDescent="0.25">
      <c r="A81" s="69" t="s">
        <v>330</v>
      </c>
      <c r="B81" s="70" t="s">
        <v>337</v>
      </c>
      <c r="C81" s="65">
        <f>IF(1221.87419="","-",1221.87419)</f>
        <v>1221.87419</v>
      </c>
      <c r="D81" s="29" t="str">
        <f>IF(OR(""="",1221.87419=""),"-",1221.87419/""*100)</f>
        <v>-</v>
      </c>
      <c r="E81" s="139" t="str">
        <f>IF(""="","-",""/1104691.54098*100)</f>
        <v>-</v>
      </c>
      <c r="F81" s="139">
        <f>IF(1221.87419="","-",1221.87419/1875200.41724*100)</f>
        <v>6.5159658603233805E-2</v>
      </c>
      <c r="G81" s="29" t="str">
        <f>IF(OR(980597.75708="",""="",""=""),"-",(""-"")/980597.75708*100)</f>
        <v>-</v>
      </c>
      <c r="H81" s="29" t="str">
        <f>IF(OR(1104691.54098="",1221.87419="",""=""),"-",(1221.87419-"")/1104691.54098*100)</f>
        <v>-</v>
      </c>
      <c r="I81" s="20"/>
      <c r="J81" s="21"/>
      <c r="K81" s="17"/>
    </row>
    <row r="82" spans="1:11" x14ac:dyDescent="0.25">
      <c r="A82" s="47" t="s">
        <v>284</v>
      </c>
      <c r="B82" s="48"/>
      <c r="C82" s="33"/>
      <c r="D82" s="91"/>
      <c r="E82" s="91"/>
      <c r="F82" s="91"/>
      <c r="G82" s="91"/>
      <c r="H82" s="91"/>
      <c r="I82" s="1"/>
      <c r="J82" s="1"/>
      <c r="K82" s="1"/>
    </row>
    <row r="83" spans="1:11" x14ac:dyDescent="0.25">
      <c r="A83" s="73" t="s">
        <v>305</v>
      </c>
      <c r="B83" s="73"/>
      <c r="C83" s="1"/>
      <c r="D83" s="1"/>
      <c r="E83" s="1"/>
      <c r="F83" s="1"/>
      <c r="G83" s="1"/>
      <c r="H83" s="1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4"/>
  <sheetViews>
    <sheetView zoomScaleNormal="100" workbookViewId="0">
      <selection activeCell="K21" sqref="K21"/>
    </sheetView>
  </sheetViews>
  <sheetFormatPr defaultRowHeight="15.75" x14ac:dyDescent="0.25"/>
  <cols>
    <col min="1" max="1" width="5.25" customWidth="1"/>
    <col min="2" max="2" width="26.125" customWidth="1"/>
    <col min="3" max="4" width="11.125" customWidth="1"/>
    <col min="5" max="6" width="7.125" customWidth="1"/>
    <col min="7" max="7" width="9.75" customWidth="1"/>
    <col min="8" max="8" width="9.625" customWidth="1"/>
    <col min="9" max="9" width="11.375" bestFit="1" customWidth="1"/>
  </cols>
  <sheetData>
    <row r="1" spans="1:14" x14ac:dyDescent="0.25">
      <c r="B1" s="107" t="s">
        <v>129</v>
      </c>
      <c r="C1" s="107"/>
      <c r="D1" s="107"/>
      <c r="E1" s="107"/>
      <c r="F1" s="107"/>
      <c r="G1" s="107"/>
      <c r="H1" s="107"/>
    </row>
    <row r="2" spans="1:14" x14ac:dyDescent="0.25">
      <c r="B2" s="107" t="s">
        <v>283</v>
      </c>
      <c r="C2" s="107"/>
      <c r="D2" s="107"/>
      <c r="E2" s="107"/>
      <c r="F2" s="107"/>
      <c r="G2" s="107"/>
      <c r="H2" s="107"/>
    </row>
    <row r="3" spans="1:14" x14ac:dyDescent="0.25">
      <c r="B3" s="5"/>
    </row>
    <row r="4" spans="1:14" ht="57.75" customHeight="1" x14ac:dyDescent="0.25">
      <c r="A4" s="115" t="s">
        <v>209</v>
      </c>
      <c r="B4" s="118"/>
      <c r="C4" s="121" t="s">
        <v>365</v>
      </c>
      <c r="D4" s="113"/>
      <c r="E4" s="121" t="s">
        <v>0</v>
      </c>
      <c r="F4" s="113"/>
      <c r="G4" s="110" t="s">
        <v>113</v>
      </c>
      <c r="H4" s="122"/>
    </row>
    <row r="5" spans="1:14" ht="19.5" customHeight="1" x14ac:dyDescent="0.25">
      <c r="A5" s="116"/>
      <c r="B5" s="119"/>
      <c r="C5" s="123" t="s">
        <v>105</v>
      </c>
      <c r="D5" s="108" t="s">
        <v>366</v>
      </c>
      <c r="E5" s="125" t="s">
        <v>367</v>
      </c>
      <c r="F5" s="125"/>
      <c r="G5" s="125" t="s">
        <v>371</v>
      </c>
      <c r="H5" s="121"/>
    </row>
    <row r="6" spans="1:14" ht="33" customHeight="1" x14ac:dyDescent="0.25">
      <c r="A6" s="117"/>
      <c r="B6" s="120"/>
      <c r="C6" s="124"/>
      <c r="D6" s="109"/>
      <c r="E6" s="64" t="s">
        <v>319</v>
      </c>
      <c r="F6" s="64" t="s">
        <v>320</v>
      </c>
      <c r="G6" s="64" t="s">
        <v>319</v>
      </c>
      <c r="H6" s="63" t="s">
        <v>320</v>
      </c>
    </row>
    <row r="7" spans="1:14" x14ac:dyDescent="0.25">
      <c r="A7" s="82"/>
      <c r="B7" s="32" t="s">
        <v>117</v>
      </c>
      <c r="C7" s="23">
        <v>3581025.7817600002</v>
      </c>
      <c r="D7" s="24">
        <f>IF(2676462.27457="","-",3581025.78176/2676462.27457*100)</f>
        <v>133.79698327096082</v>
      </c>
      <c r="E7" s="127">
        <v>100</v>
      </c>
      <c r="F7" s="127">
        <v>100</v>
      </c>
      <c r="G7" s="24">
        <f>IF(1980077.64559="","-",(2676462.27457-1980077.64559)/1980077.64559*100)</f>
        <v>35.169561685168127</v>
      </c>
      <c r="H7" s="24">
        <f>IF(2676462.27457="","-",(3581025.78176-2676462.27457)/2676462.27457*100)</f>
        <v>33.796983270960816</v>
      </c>
      <c r="I7" s="13"/>
      <c r="J7" s="13"/>
      <c r="K7" s="13"/>
      <c r="L7" s="13"/>
      <c r="M7" s="13"/>
      <c r="N7" s="13"/>
    </row>
    <row r="8" spans="1:14" ht="12" customHeight="1" x14ac:dyDescent="0.25">
      <c r="A8" s="18" t="s">
        <v>210</v>
      </c>
      <c r="B8" s="19" t="s">
        <v>176</v>
      </c>
      <c r="C8" s="16">
        <v>392495.86236999999</v>
      </c>
      <c r="D8" s="26">
        <f>IF(319584.64445="","-",392495.86237/319584.64445*100)</f>
        <v>122.81436833283369</v>
      </c>
      <c r="E8" s="137">
        <f>IF(319584.64445="","-",319584.64445/2676462.27457*100)</f>
        <v>11.940562267082374</v>
      </c>
      <c r="F8" s="137">
        <f>IF(392495.86237="","-",392495.86237/3581025.78176*100)</f>
        <v>10.960431068918369</v>
      </c>
      <c r="G8" s="26">
        <f>IF(1980077.64559="","-",(319584.64445-271298.23095)/1980077.64559*100)</f>
        <v>2.4386121224863491</v>
      </c>
      <c r="H8" s="26">
        <f>IF(2676462.27457="","-",(392495.86237-319584.64445)/2676462.27457*100)</f>
        <v>2.7241638566235302</v>
      </c>
    </row>
    <row r="9" spans="1:14" x14ac:dyDescent="0.25">
      <c r="A9" s="20" t="s">
        <v>211</v>
      </c>
      <c r="B9" s="21" t="s">
        <v>21</v>
      </c>
      <c r="C9" s="17">
        <v>4218.8613800000003</v>
      </c>
      <c r="D9" s="28" t="s">
        <v>18</v>
      </c>
      <c r="E9" s="138">
        <f>IF(2071.68156="","-",2071.68156/2676462.27457*100)</f>
        <v>7.7403727288957808E-2</v>
      </c>
      <c r="F9" s="138">
        <f>IF(4218.86138="","-",4218.86138/3581025.78176*100)</f>
        <v>0.11781153326202855</v>
      </c>
      <c r="G9" s="28">
        <f>IF(OR(1980077.64559="",3176.2409="",2071.68156=""),"-",(2071.68156-3176.2409)/1980077.64559*100)</f>
        <v>-5.5783637700271914E-2</v>
      </c>
      <c r="H9" s="28">
        <f>IF(OR(2676462.27457="",4218.86138="",2071.68156=""),"-",(4218.86138-2071.68156)/2676462.27457*100)</f>
        <v>8.0224550160900965E-2</v>
      </c>
    </row>
    <row r="10" spans="1:14" ht="14.25" customHeight="1" x14ac:dyDescent="0.25">
      <c r="A10" s="20" t="s">
        <v>212</v>
      </c>
      <c r="B10" s="21" t="s">
        <v>177</v>
      </c>
      <c r="C10" s="17">
        <v>37855.945670000001</v>
      </c>
      <c r="D10" s="28" t="s">
        <v>99</v>
      </c>
      <c r="E10" s="138">
        <f>IF(21958.34901="","-",21958.34901/2676462.27457*100)</f>
        <v>0.8204243795488515</v>
      </c>
      <c r="F10" s="138">
        <f>IF(37855.94567="","-",37855.94567/3581025.78176*100)</f>
        <v>1.0571257504712681</v>
      </c>
      <c r="G10" s="28">
        <f>IF(OR(1980077.64559="",14679.95537="",21958.34901=""),"-",(21958.34901-14679.95537)/1980077.64559*100)</f>
        <v>0.36758122370657198</v>
      </c>
      <c r="H10" s="28">
        <f>IF(OR(2676462.27457="",37855.94567="",21958.34901=""),"-",(37855.94567-21958.34901)/2676462.27457*100)</f>
        <v>0.59397798396221024</v>
      </c>
    </row>
    <row r="11" spans="1:14" s="7" customFormat="1" x14ac:dyDescent="0.25">
      <c r="A11" s="20" t="s">
        <v>213</v>
      </c>
      <c r="B11" s="21" t="s">
        <v>178</v>
      </c>
      <c r="C11" s="17">
        <v>49065.70953</v>
      </c>
      <c r="D11" s="28">
        <f>IF(OR(36464.31252="",49065.70953=""),"-",49065.70953/36464.31252*100)</f>
        <v>134.558164240964</v>
      </c>
      <c r="E11" s="138">
        <f>IF(36464.31252="","-",36464.31252/2676462.27457*100)</f>
        <v>1.3624071172779131</v>
      </c>
      <c r="F11" s="138">
        <f>IF(49065.70953="","-",49065.70953/3581025.78176*100)</f>
        <v>1.3701579525039114</v>
      </c>
      <c r="G11" s="28">
        <f>IF(OR(1980077.64559="",32770.64762="",36464.31252=""),"-",(36464.31252-32770.64762)/1980077.64559*100)</f>
        <v>0.18654141711192349</v>
      </c>
      <c r="H11" s="28">
        <f>IF(OR(2676462.27457="",49065.70953="",36464.31252=""),"-",(49065.70953-36464.31252)/2676462.27457*100)</f>
        <v>0.47082288921948434</v>
      </c>
    </row>
    <row r="12" spans="1:14" s="7" customFormat="1" x14ac:dyDescent="0.25">
      <c r="A12" s="20" t="s">
        <v>214</v>
      </c>
      <c r="B12" s="21" t="s">
        <v>179</v>
      </c>
      <c r="C12" s="17">
        <v>32218.994559999999</v>
      </c>
      <c r="D12" s="28">
        <f>IF(OR(28585.69448="",32218.99456=""),"-",32218.99456/28585.69448*100)</f>
        <v>112.71020398871904</v>
      </c>
      <c r="E12" s="138">
        <f>IF(28585.69448="","-",28585.69448/2676462.27457*100)</f>
        <v>1.0680402541669516</v>
      </c>
      <c r="F12" s="138">
        <f>IF(32218.99456="","-",32218.99456/3581025.78176*100)</f>
        <v>0.89971411890156872</v>
      </c>
      <c r="G12" s="28">
        <f>IF(OR(1980077.64559="",22030.14428="",28585.69448=""),"-",(28585.69448-22030.14428)/1980077.64559*100)</f>
        <v>0.33107541083555098</v>
      </c>
      <c r="H12" s="28">
        <f>IF(OR(2676462.27457="",32218.99456="",28585.69448=""),"-",(32218.99456-28585.69448)/2676462.27457*100)</f>
        <v>0.13575009498625293</v>
      </c>
    </row>
    <row r="13" spans="1:14" s="7" customFormat="1" ht="15" customHeight="1" x14ac:dyDescent="0.25">
      <c r="A13" s="20" t="s">
        <v>215</v>
      </c>
      <c r="B13" s="21" t="s">
        <v>180</v>
      </c>
      <c r="C13" s="17">
        <v>66726.708939999997</v>
      </c>
      <c r="D13" s="28">
        <f>IF(OR(48942.5227="",66726.70894=""),"-",66726.70894/48942.5227*100)</f>
        <v>136.33688101655616</v>
      </c>
      <c r="E13" s="138">
        <f>IF(48942.5227="","-",48942.5227/2676462.27457*100)</f>
        <v>1.8286274073436397</v>
      </c>
      <c r="F13" s="138">
        <f>IF(66726.70894="","-",66726.70894/3581025.78176*100)</f>
        <v>1.8633406461319919</v>
      </c>
      <c r="G13" s="28">
        <f>IF(OR(1980077.64559="",45101.08169="",48942.5227=""),"-",(48942.5227-45101.08169)/1980077.64559*100)</f>
        <v>0.19400456434400962</v>
      </c>
      <c r="H13" s="28">
        <f>IF(OR(2676462.27457="",66726.70894="",48942.5227=""),"-",(66726.70894-48942.5227)/2676462.27457*100)</f>
        <v>0.66446616524259439</v>
      </c>
    </row>
    <row r="14" spans="1:14" s="7" customFormat="1" ht="14.25" customHeight="1" x14ac:dyDescent="0.25">
      <c r="A14" s="20" t="s">
        <v>216</v>
      </c>
      <c r="B14" s="21" t="s">
        <v>181</v>
      </c>
      <c r="C14" s="17">
        <v>94654.572209999998</v>
      </c>
      <c r="D14" s="28">
        <f>IF(OR(87995.32269="",94654.57221=""),"-",94654.57221/87995.32269*100)</f>
        <v>107.56773123437478</v>
      </c>
      <c r="E14" s="138">
        <f>IF(87995.32269="","-",87995.32269/2676462.27457*100)</f>
        <v>3.2877475436913195</v>
      </c>
      <c r="F14" s="138">
        <f>IF(94654.57221="","-",94654.57221/3581025.78176*100)</f>
        <v>2.6432250974601819</v>
      </c>
      <c r="G14" s="28">
        <f>IF(OR(1980077.64559="",79631.40685="",87995.32269=""),"-",(87995.32269-79631.40685)/1980077.64559*100)</f>
        <v>0.42240342739225362</v>
      </c>
      <c r="H14" s="28">
        <f>IF(OR(2676462.27457="",94654.57221="",87995.32269=""),"-",(94654.57221-87995.32269)/2676462.27457*100)</f>
        <v>0.24880789777131726</v>
      </c>
    </row>
    <row r="15" spans="1:14" s="7" customFormat="1" ht="25.5" x14ac:dyDescent="0.25">
      <c r="A15" s="20" t="s">
        <v>217</v>
      </c>
      <c r="B15" s="21" t="s">
        <v>139</v>
      </c>
      <c r="C15" s="17">
        <v>8841.5663800000002</v>
      </c>
      <c r="D15" s="28">
        <f>IF(OR(8442.57686="",8841.56638=""),"-",8841.56638/8442.57686*100)</f>
        <v>104.72592108566248</v>
      </c>
      <c r="E15" s="138">
        <f>IF(8442.57686="","-",8442.57686/2676462.27457*100)</f>
        <v>0.31543791744108862</v>
      </c>
      <c r="F15" s="138">
        <f>IF(8841.56638="","-",8841.56638/3581025.78176*100)</f>
        <v>0.24690038326544952</v>
      </c>
      <c r="G15" s="28">
        <f>IF(OR(1980077.64559="",7761.51157="",8442.57686=""),"-",(8442.57686-7761.51157)/1980077.64559*100)</f>
        <v>3.43958880358484E-2</v>
      </c>
      <c r="H15" s="28">
        <f>IF(OR(2676462.27457="",8841.56638="",8442.57686=""),"-",(8841.56638-8442.57686)/2676462.27457*100)</f>
        <v>1.4907347052523003E-2</v>
      </c>
    </row>
    <row r="16" spans="1:14" s="7" customFormat="1" ht="25.5" x14ac:dyDescent="0.25">
      <c r="A16" s="20" t="s">
        <v>218</v>
      </c>
      <c r="B16" s="21" t="s">
        <v>182</v>
      </c>
      <c r="C16" s="17">
        <v>27092.93765</v>
      </c>
      <c r="D16" s="28">
        <f>IF(OR(24662.56572="",27092.93765=""),"-",27092.93765/24662.56572*100)</f>
        <v>109.85449753116765</v>
      </c>
      <c r="E16" s="138">
        <f>IF(24662.56572="","-",24662.56572/2676462.27457*100)</f>
        <v>0.92146136167610593</v>
      </c>
      <c r="F16" s="138">
        <f>IF(27092.93765="","-",27092.93765/3581025.78176*100)</f>
        <v>0.75656918718648214</v>
      </c>
      <c r="G16" s="28">
        <f>IF(OR(1980077.64559="",19847.57323="",24662.56572=""),"-",(24662.56572-19847.57323)/1980077.64559*100)</f>
        <v>0.2431719029162254</v>
      </c>
      <c r="H16" s="28">
        <f>IF(OR(2676462.27457="",27092.93765="",24662.56572=""),"-",(27092.93765-24662.56572)/2676462.27457*100)</f>
        <v>9.0805387137035745E-2</v>
      </c>
    </row>
    <row r="17" spans="1:8" s="7" customFormat="1" ht="25.5" x14ac:dyDescent="0.25">
      <c r="A17" s="20" t="s">
        <v>219</v>
      </c>
      <c r="B17" s="21" t="s">
        <v>140</v>
      </c>
      <c r="C17" s="17">
        <v>23048.722539999999</v>
      </c>
      <c r="D17" s="28">
        <f>IF(OR(20065.01386="",23048.72254=""),"-",23048.72254/20065.01386*100)</f>
        <v>114.87020492892897</v>
      </c>
      <c r="E17" s="138">
        <f>IF(20065.01386="","-",20065.01386/2676462.27457*100)</f>
        <v>0.74968416519988657</v>
      </c>
      <c r="F17" s="138">
        <f>IF(23048.72254="","-",23048.72254/3581025.78176*100)</f>
        <v>0.64363464394473113</v>
      </c>
      <c r="G17" s="28">
        <f>IF(OR(1980077.64559="",14911.63105="",20065.01386=""),"-",(20065.01386-14911.63105)/1980077.64559*100)</f>
        <v>0.26026165294464776</v>
      </c>
      <c r="H17" s="28">
        <f>IF(OR(2676462.27457="",23048.72254="",20065.01386=""),"-",(23048.72254-20065.01386)/2676462.27457*100)</f>
        <v>0.11147957168495348</v>
      </c>
    </row>
    <row r="18" spans="1:8" s="7" customFormat="1" ht="25.5" x14ac:dyDescent="0.25">
      <c r="A18" s="20" t="s">
        <v>220</v>
      </c>
      <c r="B18" s="21" t="s">
        <v>183</v>
      </c>
      <c r="C18" s="17">
        <v>48771.843509999999</v>
      </c>
      <c r="D18" s="28">
        <f>IF(OR(40396.60505="",48771.84351=""),"-",48771.84351/40396.60505*100)</f>
        <v>120.73253049268307</v>
      </c>
      <c r="E18" s="138">
        <f>IF(40396.60505="","-",40396.60505/2676462.27457*100)</f>
        <v>1.5093283934476569</v>
      </c>
      <c r="F18" s="138">
        <f>IF(48771.84351="","-",48771.84351/3581025.78176*100)</f>
        <v>1.3619517557907568</v>
      </c>
      <c r="G18" s="28">
        <f>IF(OR(1980077.64559="",31388.03839="",40396.60505=""),"-",(40396.60505-31388.03839)/1980077.64559*100)</f>
        <v>0.45496027289958774</v>
      </c>
      <c r="H18" s="28">
        <f>IF(OR(2676462.27457="",48771.84351="",40396.60505=""),"-",(48771.84351-40396.60505)/2676462.27457*100)</f>
        <v>0.31292196940625905</v>
      </c>
    </row>
    <row r="19" spans="1:8" s="7" customFormat="1" x14ac:dyDescent="0.25">
      <c r="A19" s="18" t="s">
        <v>221</v>
      </c>
      <c r="B19" s="19" t="s">
        <v>184</v>
      </c>
      <c r="C19" s="16">
        <v>43327.736499999999</v>
      </c>
      <c r="D19" s="26">
        <f>IF(44373.46464="","-",43327.7365/44373.46464*100)</f>
        <v>97.64334800429954</v>
      </c>
      <c r="E19" s="137">
        <f>IF(44373.46464="","-",44373.46464/2676462.27457*100)</f>
        <v>1.6579148176907903</v>
      </c>
      <c r="F19" s="137">
        <f>IF(43327.7365="","-",43327.7365/3581025.78176*100)</f>
        <v>1.2099252879074585</v>
      </c>
      <c r="G19" s="26">
        <f>IF(1980077.64559="","-",(44373.46464-38718.75195)/1980077.64559*100)</f>
        <v>0.28558035098240181</v>
      </c>
      <c r="H19" s="26">
        <f>IF(2676462.27457="","-",(43327.7365-44373.46464)/2676462.27457*100)</f>
        <v>-3.9071282638123705E-2</v>
      </c>
    </row>
    <row r="20" spans="1:8" s="7" customFormat="1" x14ac:dyDescent="0.25">
      <c r="A20" s="20" t="s">
        <v>222</v>
      </c>
      <c r="B20" s="21" t="s">
        <v>185</v>
      </c>
      <c r="C20" s="17">
        <v>29416.85958</v>
      </c>
      <c r="D20" s="28">
        <f>IF(OR(27593.72854="",29416.85958=""),"-",29416.85958/27593.72854*100)</f>
        <v>106.60704854495174</v>
      </c>
      <c r="E20" s="138">
        <f>IF(27593.72854="","-",27593.72854/2676462.27457*100)</f>
        <v>1.0309776753506905</v>
      </c>
      <c r="F20" s="138">
        <f>IF(29416.85958="","-",29416.85958/3581025.78176*100)</f>
        <v>0.82146461301214713</v>
      </c>
      <c r="G20" s="28">
        <f>IF(OR(1980077.64559="",19253.06046="",27593.72854=""),"-",(27593.72854-19253.06046)/1980077.64559*100)</f>
        <v>0.42122934414093377</v>
      </c>
      <c r="H20" s="28">
        <f>IF(OR(2676462.27457="",29416.85958="",27593.72854=""),"-",(29416.85958-27593.72854)/2676462.27457*100)</f>
        <v>6.8117195498034966E-2</v>
      </c>
    </row>
    <row r="21" spans="1:8" s="7" customFormat="1" x14ac:dyDescent="0.25">
      <c r="A21" s="20" t="s">
        <v>223</v>
      </c>
      <c r="B21" s="21" t="s">
        <v>186</v>
      </c>
      <c r="C21" s="17">
        <v>13910.876920000001</v>
      </c>
      <c r="D21" s="28">
        <f>IF(OR(16779.7361="",13910.87692=""),"-",13910.87692/16779.7361*100)</f>
        <v>82.902834925991485</v>
      </c>
      <c r="E21" s="138">
        <f>IF(16779.7361="","-",16779.7361/2676462.27457*100)</f>
        <v>0.62693714234010001</v>
      </c>
      <c r="F21" s="138">
        <f>IF(13910.87692="","-",13910.87692/3581025.78176*100)</f>
        <v>0.3884606748953115</v>
      </c>
      <c r="G21" s="28">
        <f>IF(OR(1980077.64559="",19465.69149="",16779.7361=""),"-",(16779.7361-19465.69149)/1980077.64559*100)</f>
        <v>-0.1356489931585321</v>
      </c>
      <c r="H21" s="28">
        <f>IF(OR(2676462.27457="",13910.87692="",16779.7361=""),"-",(13910.87692-16779.7361)/2676462.27457*100)</f>
        <v>-0.1071884781361586</v>
      </c>
    </row>
    <row r="22" spans="1:8" s="7" customFormat="1" ht="25.5" x14ac:dyDescent="0.25">
      <c r="A22" s="18" t="s">
        <v>224</v>
      </c>
      <c r="B22" s="19" t="s">
        <v>22</v>
      </c>
      <c r="C22" s="16">
        <v>129041.26298</v>
      </c>
      <c r="D22" s="26">
        <f>IF(93896.9597="","-",129041.26298/93896.9597*100)</f>
        <v>137.42858490017753</v>
      </c>
      <c r="E22" s="137">
        <f>IF(93896.9597="","-",93896.9597/2676462.27457*100)</f>
        <v>3.508248952064362</v>
      </c>
      <c r="F22" s="137">
        <f>IF(129041.26298="","-",129041.26298/3581025.78176*100)</f>
        <v>3.6034720452802462</v>
      </c>
      <c r="G22" s="26">
        <f>IF(1980077.64559="","-",(93896.9597-67180.53564)/1980077.64559*100)</f>
        <v>1.3492614352524221</v>
      </c>
      <c r="H22" s="26">
        <f>IF(2676462.27457="","-",(129041.26298-93896.9597)/2676462.27457*100)</f>
        <v>1.3130879375329985</v>
      </c>
    </row>
    <row r="23" spans="1:8" s="7" customFormat="1" ht="15.75" customHeight="1" x14ac:dyDescent="0.25">
      <c r="A23" s="20" t="s">
        <v>226</v>
      </c>
      <c r="B23" s="21" t="s">
        <v>187</v>
      </c>
      <c r="C23" s="17">
        <v>67371.774950000006</v>
      </c>
      <c r="D23" s="28" t="s">
        <v>198</v>
      </c>
      <c r="E23" s="138">
        <f>IF(38470.44922="","-",38470.44922/2676462.27457*100)</f>
        <v>1.4373619081248086</v>
      </c>
      <c r="F23" s="138">
        <f>IF(67371.77495="","-",67371.77495/3581025.78176*100)</f>
        <v>1.8813540883497399</v>
      </c>
      <c r="G23" s="28">
        <f>IF(OR(1980077.64559="",26805.93794="",38470.44922=""),"-",(38470.44922-26805.93794)/1980077.64559*100)</f>
        <v>0.58909363003915682</v>
      </c>
      <c r="H23" s="28">
        <f>IF(OR(2676462.27457="",67371.77495="",38470.44922=""),"-",(67371.77495-38470.44922)/2676462.27457*100)</f>
        <v>1.0798331067320306</v>
      </c>
    </row>
    <row r="24" spans="1:8" s="7" customFormat="1" ht="25.5" x14ac:dyDescent="0.25">
      <c r="A24" s="20" t="s">
        <v>279</v>
      </c>
      <c r="B24" s="21" t="s">
        <v>188</v>
      </c>
      <c r="C24" s="17">
        <v>1585.6297099999999</v>
      </c>
      <c r="D24" s="28" t="s">
        <v>198</v>
      </c>
      <c r="E24" s="138">
        <f>IF(861.08716="","-",861.08716/2676462.27457*100)</f>
        <v>3.2172587231342246E-2</v>
      </c>
      <c r="F24" s="138">
        <f>IF(1585.62971="","-",1585.62971/3581025.78176*100)</f>
        <v>4.427864546735253E-2</v>
      </c>
      <c r="G24" s="28">
        <f>IF(OR(1980077.64559="",447.79256="",861.08716=""),"-",(861.08716-447.79256)/1980077.64559*100)</f>
        <v>2.0872646126806376E-2</v>
      </c>
      <c r="H24" s="28">
        <f>IF(OR(2676462.27457="",1585.62971="",861.08716=""),"-",(1585.62971-861.08716)/2676462.27457*100)</f>
        <v>2.7070904637219471E-2</v>
      </c>
    </row>
    <row r="25" spans="1:8" s="7" customFormat="1" x14ac:dyDescent="0.25">
      <c r="A25" s="20" t="s">
        <v>227</v>
      </c>
      <c r="B25" s="21" t="s">
        <v>189</v>
      </c>
      <c r="C25" s="17">
        <v>23518.34231</v>
      </c>
      <c r="D25" s="28" t="s">
        <v>99</v>
      </c>
      <c r="E25" s="138">
        <f>IF(14162.7677="","-",14162.7677/2676462.27457*100)</f>
        <v>0.52915999730559948</v>
      </c>
      <c r="F25" s="138">
        <f>IF(23518.34231="","-",23518.34231/3581025.78176*100)</f>
        <v>0.65674875701233348</v>
      </c>
      <c r="G25" s="28">
        <f>IF(OR(1980077.64559="",12117.61419="",14162.7677=""),"-",(14162.7677-12117.61419)/1980077.64559*100)</f>
        <v>0.10328653093755874</v>
      </c>
      <c r="H25" s="28">
        <f>IF(OR(2676462.27457="",23518.34231="",14162.7677=""),"-",(23518.34231-14162.7677)/2676462.27457*100)</f>
        <v>0.34955002724643541</v>
      </c>
    </row>
    <row r="26" spans="1:8" s="7" customFormat="1" x14ac:dyDescent="0.25">
      <c r="A26" s="20" t="s">
        <v>228</v>
      </c>
      <c r="B26" s="21" t="s">
        <v>141</v>
      </c>
      <c r="C26" s="17">
        <v>229.58756</v>
      </c>
      <c r="D26" s="28">
        <f>IF(OR(194.64029="",229.58756=""),"-",229.58756/194.64029*100)</f>
        <v>117.95479753960498</v>
      </c>
      <c r="E26" s="138">
        <f>IF(194.64029="","-",194.64029/2676462.27457*100)</f>
        <v>7.2722971606715764E-3</v>
      </c>
      <c r="F26" s="138">
        <f>IF(229.58756="","-",229.58756/3581025.78176*100)</f>
        <v>6.4112233195696925E-3</v>
      </c>
      <c r="G26" s="28">
        <f>IF(OR(1980077.64559="",133.91558="",194.64029=""),"-",(194.64029-133.91558)/1980077.64559*100)</f>
        <v>3.0667842816793152E-3</v>
      </c>
      <c r="H26" s="28">
        <f>IF(OR(2676462.27457="",229.58756="",194.64029=""),"-",(229.58756-194.64029)/2676462.27457*100)</f>
        <v>1.3057262316770234E-3</v>
      </c>
    </row>
    <row r="27" spans="1:8" s="7" customFormat="1" ht="14.25" customHeight="1" x14ac:dyDescent="0.25">
      <c r="A27" s="20" t="s">
        <v>229</v>
      </c>
      <c r="B27" s="21" t="s">
        <v>142</v>
      </c>
      <c r="C27" s="17">
        <v>3407.7348099999999</v>
      </c>
      <c r="D27" s="28">
        <f>IF(OR(3874.00939="",3407.73481=""),"-",3407.73481/3874.00939*100)</f>
        <v>87.964030722186763</v>
      </c>
      <c r="E27" s="138">
        <f>IF(3874.00939="","-",3874.00939/2676462.27457*100)</f>
        <v>0.1447436575814392</v>
      </c>
      <c r="F27" s="138">
        <f>IF(3407.73481="","-",3407.73481/3581025.78176*100)</f>
        <v>9.5160856628213622E-2</v>
      </c>
      <c r="G27" s="28">
        <f>IF(OR(1980077.64559="",2510.14877="",3874.00939=""),"-",(3874.00939-2510.14877)/1980077.64559*100)</f>
        <v>6.8879148402971505E-2</v>
      </c>
      <c r="H27" s="28">
        <f>IF(OR(2676462.27457="",3407.73481="",3874.00939=""),"-",(3407.73481-3874.00939)/2676462.27457*100)</f>
        <v>-1.7421302158085222E-2</v>
      </c>
    </row>
    <row r="28" spans="1:8" s="7" customFormat="1" ht="38.25" x14ac:dyDescent="0.25">
      <c r="A28" s="20" t="s">
        <v>230</v>
      </c>
      <c r="B28" s="21" t="s">
        <v>143</v>
      </c>
      <c r="C28" s="17">
        <v>7569.9195499999996</v>
      </c>
      <c r="D28" s="28">
        <f>IF(OR(7652.45054="",7569.91955=""),"-",7569.91955/7652.45054*100)</f>
        <v>98.921509004617491</v>
      </c>
      <c r="E28" s="138">
        <f>IF(7652.45054="","-",7652.45054/2676462.27457*100)</f>
        <v>0.28591662257707112</v>
      </c>
      <c r="F28" s="138">
        <f>IF(7569.91955="","-",7569.91955/3581025.78176*100)</f>
        <v>0.21138969701244487</v>
      </c>
      <c r="G28" s="28">
        <f>IF(OR(1980077.64559="",5454.5746="",7652.45054=""),"-",(7652.45054-5454.5746)/1980077.64559*100)</f>
        <v>0.11099948251499517</v>
      </c>
      <c r="H28" s="28">
        <f>IF(OR(2676462.27457="",7569.91955="",7652.45054=""),"-",(7569.91955-7652.45054)/2676462.27457*100)</f>
        <v>-3.083585028795507E-3</v>
      </c>
    </row>
    <row r="29" spans="1:8" s="7" customFormat="1" ht="25.5" x14ac:dyDescent="0.25">
      <c r="A29" s="20" t="s">
        <v>231</v>
      </c>
      <c r="B29" s="21" t="s">
        <v>144</v>
      </c>
      <c r="C29" s="17">
        <v>573.70860000000005</v>
      </c>
      <c r="D29" s="28">
        <f>IF(OR(590.4167="",573.7086=""),"-",573.7086/590.4167*100)</f>
        <v>97.170117308673696</v>
      </c>
      <c r="E29" s="138">
        <f>IF(590.4167="","-",590.4167/2676462.27457*100)</f>
        <v>2.2059593576556437E-2</v>
      </c>
      <c r="F29" s="138">
        <f>IF(573.7086="","-",573.7086/3581025.78176*100)</f>
        <v>1.6020789431960863E-2</v>
      </c>
      <c r="G29" s="28">
        <f>IF(OR(1980077.64559="",563.30575="",590.4167=""),"-",(590.4167-563.30575)/1980077.64559*100)</f>
        <v>1.36918620642888E-3</v>
      </c>
      <c r="H29" s="28">
        <f>IF(OR(2676462.27457="",573.7086="",590.4167=""),"-",(573.7086-590.4167)/2676462.27457*100)</f>
        <v>-6.242606203998996E-4</v>
      </c>
    </row>
    <row r="30" spans="1:8" s="7" customFormat="1" ht="25.5" x14ac:dyDescent="0.25">
      <c r="A30" s="20" t="s">
        <v>232</v>
      </c>
      <c r="B30" s="21" t="s">
        <v>145</v>
      </c>
      <c r="C30" s="17">
        <v>24784.565490000001</v>
      </c>
      <c r="D30" s="28">
        <f>IF(OR(28076.50428="",24784.56549=""),"-",24784.56549/28076.50428*100)</f>
        <v>88.275111612292207</v>
      </c>
      <c r="E30" s="138">
        <f>IF(28076.50428="","-",28076.50428/2676462.27457*100)</f>
        <v>1.0490155062809832</v>
      </c>
      <c r="F30" s="138">
        <f>IF(24784.56549="","-",24784.56549/3581025.78176*100)</f>
        <v>0.69210798805863105</v>
      </c>
      <c r="G30" s="28">
        <f>IF(OR(1980077.64559="",19147.24625="",28076.50428=""),"-",(28076.50428-19147.24625)/1980077.64559*100)</f>
        <v>0.45095494360471738</v>
      </c>
      <c r="H30" s="28">
        <f>IF(OR(2676462.27457="",24784.56549="",28076.50428=""),"-",(24784.56549-28076.50428)/2676462.27457*100)</f>
        <v>-0.12299589728119306</v>
      </c>
    </row>
    <row r="31" spans="1:8" s="7" customFormat="1" ht="25.5" x14ac:dyDescent="0.25">
      <c r="A31" s="18" t="s">
        <v>233</v>
      </c>
      <c r="B31" s="19" t="s">
        <v>146</v>
      </c>
      <c r="C31" s="16">
        <v>884344.49026999995</v>
      </c>
      <c r="D31" s="26" t="s">
        <v>314</v>
      </c>
      <c r="E31" s="137">
        <f>IF(318773.04455="","-",318773.04455/2676462.27457*100)</f>
        <v>11.910238660143792</v>
      </c>
      <c r="F31" s="137">
        <f>IF(884344.49027="","-",884344.49027/3581025.78176*100)</f>
        <v>24.695284093580664</v>
      </c>
      <c r="G31" s="26">
        <f>IF(1980077.64559="","-",(318773.04455-270032.45358)/1980077.64559*100)</f>
        <v>2.4615494790597907</v>
      </c>
      <c r="H31" s="26">
        <f>IF(2676462.27457="","-",(884344.49027-318773.04455)/2676462.27457*100)</f>
        <v>21.131306467260575</v>
      </c>
    </row>
    <row r="32" spans="1:8" s="7" customFormat="1" x14ac:dyDescent="0.25">
      <c r="A32" s="20" t="s">
        <v>234</v>
      </c>
      <c r="B32" s="21" t="s">
        <v>190</v>
      </c>
      <c r="C32" s="17">
        <v>8264.6651199999997</v>
      </c>
      <c r="D32" s="28" t="s">
        <v>197</v>
      </c>
      <c r="E32" s="138">
        <f>IF(3841.9466="","-",3841.9466/2676462.27457*100)</f>
        <v>0.14354570346474421</v>
      </c>
      <c r="F32" s="138">
        <f>IF(8264.66512="","-",8264.66512/3581025.78176*100)</f>
        <v>0.23079043893222373</v>
      </c>
      <c r="G32" s="28">
        <f>IF(OR(1980077.64559="",4893.2484="",3841.9466=""),"-",(3841.9466-4893.2484)/1980077.64559*100)</f>
        <v>-5.3093968428028271E-2</v>
      </c>
      <c r="H32" s="28">
        <f>IF(OR(2676462.27457="",8264.66512="",3841.9466=""),"-",(8264.66512-3841.9466)/2676462.27457*100)</f>
        <v>0.16524494150438018</v>
      </c>
    </row>
    <row r="33" spans="1:8" s="7" customFormat="1" ht="25.5" x14ac:dyDescent="0.25">
      <c r="A33" s="20" t="s">
        <v>235</v>
      </c>
      <c r="B33" s="21" t="s">
        <v>147</v>
      </c>
      <c r="C33" s="17">
        <v>467893.87586999999</v>
      </c>
      <c r="D33" s="28" t="s">
        <v>287</v>
      </c>
      <c r="E33" s="138">
        <f>IF(198110.10984="","-",198110.10984/2676462.27457*100)</f>
        <v>7.4019391837618311</v>
      </c>
      <c r="F33" s="138">
        <f>IF(467893.87587="","-",467893.87587/3581025.78176*100)</f>
        <v>13.065917543884305</v>
      </c>
      <c r="G33" s="28">
        <f>IF(OR(1980077.64559="",151472.70071="",198110.10984=""),"-",(198110.10984-151472.70071)/1980077.64559*100)</f>
        <v>2.3553323393085184</v>
      </c>
      <c r="H33" s="28">
        <f>IF(OR(2676462.27457="",467893.87587="",198110.10984=""),"-",(467893.87587-198110.10984)/2676462.27457*100)</f>
        <v>10.079864326626589</v>
      </c>
    </row>
    <row r="34" spans="1:8" s="7" customFormat="1" ht="25.5" x14ac:dyDescent="0.25">
      <c r="A34" s="20" t="s">
        <v>280</v>
      </c>
      <c r="B34" s="21" t="s">
        <v>191</v>
      </c>
      <c r="C34" s="17">
        <v>403508.11729000002</v>
      </c>
      <c r="D34" s="28" t="s">
        <v>340</v>
      </c>
      <c r="E34" s="138">
        <f>IF(114553.36376="","-",114553.36376/2676462.27457*100)</f>
        <v>4.2800290834812582</v>
      </c>
      <c r="F34" s="138">
        <f>IF(403508.11729="","-",403508.11729/3581025.78176*100)</f>
        <v>11.26794784179644</v>
      </c>
      <c r="G34" s="28">
        <f>IF(OR(1980077.64559="",105556.27147="",114553.36376=""),"-",(114553.36376-105556.27147)/1980077.64559*100)</f>
        <v>0.45438078198792753</v>
      </c>
      <c r="H34" s="28">
        <f>IF(OR(2676462.27457="",403508.11729="",114553.36376=""),"-",(403508.11729-114553.36376)/2676462.27457*100)</f>
        <v>10.796145205387715</v>
      </c>
    </row>
    <row r="35" spans="1:8" s="7" customFormat="1" x14ac:dyDescent="0.25">
      <c r="A35" s="20" t="s">
        <v>288</v>
      </c>
      <c r="B35" s="21" t="s">
        <v>290</v>
      </c>
      <c r="C35" s="17">
        <v>4677.8319899999997</v>
      </c>
      <c r="D35" s="28" t="s">
        <v>91</v>
      </c>
      <c r="E35" s="138">
        <f>IF(2267.62435="","-",2267.62435/2676462.27457*100)</f>
        <v>8.4724689435957637E-2</v>
      </c>
      <c r="F35" s="138">
        <f>IF(4677.83199="","-",4677.83199/3581025.78176*100)</f>
        <v>0.13062826896769622</v>
      </c>
      <c r="G35" s="28">
        <f>IF(OR(1980077.64559="",8110.233="",2267.62435=""),"-",(2267.62435-8110.233)/1980077.64559*100)</f>
        <v>-0.29506967380862931</v>
      </c>
      <c r="H35" s="28">
        <f>IF(OR(2676462.27457="",4677.83199="",2267.62435=""),"-",(4677.83199-2267.62435)/2676462.27457*100)</f>
        <v>9.0051993741896597E-2</v>
      </c>
    </row>
    <row r="36" spans="1:8" s="7" customFormat="1" ht="25.5" x14ac:dyDescent="0.25">
      <c r="A36" s="18" t="s">
        <v>236</v>
      </c>
      <c r="B36" s="19" t="s">
        <v>148</v>
      </c>
      <c r="C36" s="16">
        <v>33133.971819999999</v>
      </c>
      <c r="D36" s="26" t="s">
        <v>361</v>
      </c>
      <c r="E36" s="137">
        <f>IF(5928.43222="","-",5928.43222/2676462.27457*100)</f>
        <v>0.22150255119708201</v>
      </c>
      <c r="F36" s="137">
        <f>IF(33133.97182="","-",33133.97182/3581025.78176*100)</f>
        <v>0.92526482184988168</v>
      </c>
      <c r="G36" s="26">
        <f>IF(1980077.64559="","-",(5928.43222-3897.69416)/1980077.64559*100)</f>
        <v>0.10255850645669526</v>
      </c>
      <c r="H36" s="26">
        <f>IF(2676462.27457="","-",(33133.97182-5928.43222)/2676462.27457*100)</f>
        <v>1.0164738677054896</v>
      </c>
    </row>
    <row r="37" spans="1:8" s="7" customFormat="1" x14ac:dyDescent="0.25">
      <c r="A37" s="20" t="s">
        <v>237</v>
      </c>
      <c r="B37" s="21" t="s">
        <v>194</v>
      </c>
      <c r="C37" s="17">
        <v>915.47905000000003</v>
      </c>
      <c r="D37" s="28">
        <f>IF(OR(654.91192="",915.47905=""),"-",915.47905/654.91192*100)</f>
        <v>139.78659145492421</v>
      </c>
      <c r="E37" s="138">
        <f>IF(654.91192="","-",654.91192/2676462.27457*100)</f>
        <v>2.4469312578120239E-2</v>
      </c>
      <c r="F37" s="138">
        <f>IF(915.47905="","-",915.47905/3581025.78176*100)</f>
        <v>2.5564715413751115E-2</v>
      </c>
      <c r="G37" s="28">
        <f>IF(OR(1980077.64559="",640.43414="",654.91192=""),"-",(654.91192-640.43414)/1980077.64559*100)</f>
        <v>7.3117233721842938E-4</v>
      </c>
      <c r="H37" s="28">
        <f>IF(OR(2676462.27457="",915.47905="",654.91192=""),"-",(915.47905-654.91192)/2676462.27457*100)</f>
        <v>9.7355054272850808E-3</v>
      </c>
    </row>
    <row r="38" spans="1:8" s="7" customFormat="1" ht="25.5" x14ac:dyDescent="0.25">
      <c r="A38" s="20" t="s">
        <v>238</v>
      </c>
      <c r="B38" s="21" t="s">
        <v>149</v>
      </c>
      <c r="C38" s="17">
        <v>31134.618740000002</v>
      </c>
      <c r="D38" s="28" t="s">
        <v>405</v>
      </c>
      <c r="E38" s="138">
        <f>IF(4449.74381="","-",4449.74381/2676462.27457*100)</f>
        <v>0.166254680750727</v>
      </c>
      <c r="F38" s="138">
        <f>IF(31134.61874="","-",31134.61874/3581025.78176*100)</f>
        <v>0.8694329680223073</v>
      </c>
      <c r="G38" s="28">
        <f>IF(OR(1980077.64559="",2585.32237="",4449.74381=""),"-",(4449.74381-2585.32237)/1980077.64559*100)</f>
        <v>9.4159006549688201E-2</v>
      </c>
      <c r="H38" s="28">
        <f>IF(OR(2676462.27457="",31134.61874="",4449.74381=""),"-",(31134.61874-4449.74381)/2676462.27457*100)</f>
        <v>0.99702040202629749</v>
      </c>
    </row>
    <row r="39" spans="1:8" s="7" customFormat="1" ht="63.75" x14ac:dyDescent="0.25">
      <c r="A39" s="20" t="s">
        <v>239</v>
      </c>
      <c r="B39" s="21" t="s">
        <v>192</v>
      </c>
      <c r="C39" s="17">
        <v>1083.8740299999999</v>
      </c>
      <c r="D39" s="28">
        <f>IF(OR(823.77649="",1083.87403=""),"-",1083.87403/823.77649*100)</f>
        <v>131.57379983009713</v>
      </c>
      <c r="E39" s="138">
        <f>IF(823.77649="","-",823.77649/2676462.27457*100)</f>
        <v>3.0778557868234767E-2</v>
      </c>
      <c r="F39" s="138">
        <f>IF(1083.87403="","-",1083.87403/3581025.78176*100)</f>
        <v>3.0267138413823377E-2</v>
      </c>
      <c r="G39" s="28">
        <f>IF(OR(1980077.64559="",671.93765="",823.77649=""),"-",(823.77649-671.93765)/1980077.64559*100)</f>
        <v>7.6683275697886511E-3</v>
      </c>
      <c r="H39" s="28">
        <f>IF(OR(2676462.27457="",1083.87403="",823.77649=""),"-",(1083.87403-823.77649)/2676462.27457*100)</f>
        <v>9.717960251907052E-3</v>
      </c>
    </row>
    <row r="40" spans="1:8" s="7" customFormat="1" ht="25.5" x14ac:dyDescent="0.25">
      <c r="A40" s="18" t="s">
        <v>240</v>
      </c>
      <c r="B40" s="19" t="s">
        <v>150</v>
      </c>
      <c r="C40" s="16">
        <v>499405.68287000002</v>
      </c>
      <c r="D40" s="26">
        <f>IF(415121.532="","-",499405.68287/415121.532*100)</f>
        <v>120.30348810477989</v>
      </c>
      <c r="E40" s="137">
        <f>IF(415121.532="","-",415121.532/2676462.27457*100)</f>
        <v>15.510083439031225</v>
      </c>
      <c r="F40" s="137">
        <f>IF(499405.68287="","-",499405.68287/3581025.78176*100)</f>
        <v>13.945883478798985</v>
      </c>
      <c r="G40" s="26">
        <f>IF(1980077.64559="","-",(415121.532-346143.96327)/1980077.64559*100)</f>
        <v>3.4835789840679143</v>
      </c>
      <c r="H40" s="26">
        <f>IF(2676462.27457="","-",(499405.68287-415121.532)/2676462.27457*100)</f>
        <v>3.1490879460851393</v>
      </c>
    </row>
    <row r="41" spans="1:8" s="7" customFormat="1" x14ac:dyDescent="0.25">
      <c r="A41" s="20" t="s">
        <v>241</v>
      </c>
      <c r="B41" s="21" t="s">
        <v>23</v>
      </c>
      <c r="C41" s="17">
        <v>6645.9629000000004</v>
      </c>
      <c r="D41" s="28">
        <f>IF(OR(4906.59565="",6645.9629=""),"-",6645.9629/4906.59565*100)</f>
        <v>135.44957388123066</v>
      </c>
      <c r="E41" s="138">
        <f>IF(4906.59565="","-",4906.59565/2676462.27457*100)</f>
        <v>0.18332392339766093</v>
      </c>
      <c r="F41" s="138">
        <f>IF(6645.9629="","-",6645.9629/3581025.78176*100)</f>
        <v>0.18558824496185691</v>
      </c>
      <c r="G41" s="28">
        <f>IF(OR(1980077.64559="",4786.70578="",4906.59565=""),"-",(4906.59565-4786.70578)/1980077.64559*100)</f>
        <v>6.0548065004933987E-3</v>
      </c>
      <c r="H41" s="28">
        <f>IF(OR(2676462.27457="",6645.9629="",4906.59565=""),"-",(6645.9629-4906.59565)/2676462.27457*100)</f>
        <v>6.4987549666824532E-2</v>
      </c>
    </row>
    <row r="42" spans="1:8" s="7" customFormat="1" x14ac:dyDescent="0.25">
      <c r="A42" s="20" t="s">
        <v>242</v>
      </c>
      <c r="B42" s="21" t="s">
        <v>24</v>
      </c>
      <c r="C42" s="17">
        <v>12137.326639999999</v>
      </c>
      <c r="D42" s="28" t="s">
        <v>18</v>
      </c>
      <c r="E42" s="138">
        <f>IF(6034.84645="","-",6034.84645/2676462.27457*100)</f>
        <v>0.22547847983284416</v>
      </c>
      <c r="F42" s="138">
        <f>IF(12137.32664="","-",12137.32664/3581025.78176*100)</f>
        <v>0.33893435511750919</v>
      </c>
      <c r="G42" s="28">
        <f>IF(OR(1980077.64559="",7091.15905="",6034.84645=""),"-",(6034.84645-7091.15905)/1980077.64559*100)</f>
        <v>-5.3347029211334426E-2</v>
      </c>
      <c r="H42" s="28">
        <f>IF(OR(2676462.27457="",12137.32664="",6034.84645=""),"-",(12137.32664-6034.84645)/2676462.27457*100)</f>
        <v>0.22800546258326854</v>
      </c>
    </row>
    <row r="43" spans="1:8" s="7" customFormat="1" x14ac:dyDescent="0.25">
      <c r="A43" s="20" t="s">
        <v>243</v>
      </c>
      <c r="B43" s="21" t="s">
        <v>151</v>
      </c>
      <c r="C43" s="17">
        <v>18162.150850000002</v>
      </c>
      <c r="D43" s="28">
        <f>IF(OR(17676.83231="",18162.15085=""),"-",18162.15085/17676.83231*100)</f>
        <v>102.74550627334655</v>
      </c>
      <c r="E43" s="138">
        <f>IF(17676.83231="","-",17676.83231/2676462.27457*100)</f>
        <v>0.66045512682744467</v>
      </c>
      <c r="F43" s="138">
        <f>IF(18162.15085="","-",18162.15085/3581025.78176*100)</f>
        <v>0.50717732730406873</v>
      </c>
      <c r="G43" s="28">
        <f>IF(OR(1980077.64559="",12583.3767="",17676.83231=""),"-",(17676.83231-12583.3767)/1980077.64559*100)</f>
        <v>0.25723514536634812</v>
      </c>
      <c r="H43" s="28">
        <f>IF(OR(2676462.27457="",18162.15085="",17676.83231=""),"-",(18162.15085-17676.83231)/2676462.27457*100)</f>
        <v>1.8132836939686418E-2</v>
      </c>
    </row>
    <row r="44" spans="1:8" s="7" customFormat="1" x14ac:dyDescent="0.25">
      <c r="A44" s="20" t="s">
        <v>244</v>
      </c>
      <c r="B44" s="21" t="s">
        <v>152</v>
      </c>
      <c r="C44" s="17">
        <v>131025.00555</v>
      </c>
      <c r="D44" s="28">
        <f>IF(OR(121619.25871="",131025.00555=""),"-",131025.00555/121619.25871*100)</f>
        <v>107.73376432299091</v>
      </c>
      <c r="E44" s="138">
        <f>IF(121619.25871="","-",121619.25871/2676462.27457*100)</f>
        <v>4.5440303741826265</v>
      </c>
      <c r="F44" s="138">
        <f>IF(131025.00555="","-",131025.00555/3581025.78176*100)</f>
        <v>3.6588679762479654</v>
      </c>
      <c r="G44" s="28">
        <f>IF(OR(1980077.64559="",97492.66202="",121619.25871=""),"-",(121619.25871-97492.66202)/1980077.64559*100)</f>
        <v>1.2184672022197913</v>
      </c>
      <c r="H44" s="28">
        <f>IF(OR(2676462.27457="",131025.00555="",121619.25871=""),"-",(131025.00555-121619.25871)/2676462.27457*100)</f>
        <v>0.35142459990440678</v>
      </c>
    </row>
    <row r="45" spans="1:8" s="7" customFormat="1" ht="38.25" x14ac:dyDescent="0.25">
      <c r="A45" s="20" t="s">
        <v>245</v>
      </c>
      <c r="B45" s="21" t="s">
        <v>153</v>
      </c>
      <c r="C45" s="17">
        <v>58369.914750000004</v>
      </c>
      <c r="D45" s="28">
        <f>IF(OR(54006.55086="",58369.91475=""),"-",58369.91475/54006.55086*100)</f>
        <v>108.07932337932679</v>
      </c>
      <c r="E45" s="138">
        <f>IF(54006.55086="","-",54006.55086/2676462.27457*100)</f>
        <v>2.0178334427925644</v>
      </c>
      <c r="F45" s="138">
        <f>IF(58369.91475="","-",58369.91475/3581025.78176*100)</f>
        <v>1.6299775066492932</v>
      </c>
      <c r="G45" s="28">
        <f>IF(OR(1980077.64559="",42034.36345="",54006.55086=""),"-",(54006.55086-42034.36345)/1980077.64559*100)</f>
        <v>0.6046322191790956</v>
      </c>
      <c r="H45" s="28">
        <f>IF(OR(2676462.27457="",58369.91475="",54006.55086=""),"-",(58369.91475-54006.55086)/2676462.27457*100)</f>
        <v>0.16302728909941455</v>
      </c>
    </row>
    <row r="46" spans="1:8" s="7" customFormat="1" x14ac:dyDescent="0.25">
      <c r="A46" s="20" t="s">
        <v>246</v>
      </c>
      <c r="B46" s="21" t="s">
        <v>154</v>
      </c>
      <c r="C46" s="17">
        <v>79602.521110000001</v>
      </c>
      <c r="D46" s="28" t="s">
        <v>197</v>
      </c>
      <c r="E46" s="138">
        <f>IF(36115.08074="","-",36115.08074/2676462.27457*100)</f>
        <v>1.3493588563956966</v>
      </c>
      <c r="F46" s="138">
        <f>IF(79602.52111="","-",79602.52111/3581025.78176*100)</f>
        <v>2.2228971797817385</v>
      </c>
      <c r="G46" s="28">
        <f>IF(OR(1980077.64559="",45321.85465="",36115.08074=""),"-",(36115.08074-45321.85465)/1980077.64559*100)</f>
        <v>-0.4649703475267849</v>
      </c>
      <c r="H46" s="28">
        <f>IF(OR(2676462.27457="",79602.52111="",36115.08074=""),"-",(79602.52111-36115.08074)/2676462.27457*100)</f>
        <v>1.624810511367536</v>
      </c>
    </row>
    <row r="47" spans="1:8" s="7" customFormat="1" x14ac:dyDescent="0.25">
      <c r="A47" s="20" t="s">
        <v>247</v>
      </c>
      <c r="B47" s="21" t="s">
        <v>25</v>
      </c>
      <c r="C47" s="17">
        <v>29895.53471</v>
      </c>
      <c r="D47" s="28">
        <f>IF(OR(24528.48372="",29895.53471=""),"-",29895.53471/24528.48372*100)</f>
        <v>121.88089182872655</v>
      </c>
      <c r="E47" s="138">
        <f>IF(24528.48372="","-",24528.48372/2676462.27457*100)</f>
        <v>0.91645168897218043</v>
      </c>
      <c r="F47" s="138">
        <f>IF(29895.53471="","-",29895.53471/3581025.78176*100)</f>
        <v>0.83483159664119944</v>
      </c>
      <c r="G47" s="28">
        <f>IF(OR(1980077.64559="",17879.88654="",24528.48372=""),"-",(24528.48372-17879.88654)/1980077.64559*100)</f>
        <v>0.33577456898256791</v>
      </c>
      <c r="H47" s="28">
        <f>IF(OR(2676462.27457="",29895.53471="",24528.48372=""),"-",(29895.53471-24528.48372)/2676462.27457*100)</f>
        <v>0.20052780272654019</v>
      </c>
    </row>
    <row r="48" spans="1:8" s="7" customFormat="1" x14ac:dyDescent="0.25">
      <c r="A48" s="20" t="s">
        <v>248</v>
      </c>
      <c r="B48" s="21" t="s">
        <v>26</v>
      </c>
      <c r="C48" s="17">
        <v>58975.899859999998</v>
      </c>
      <c r="D48" s="28">
        <f>IF(OR(58903.75799="",58975.89986=""),"-",58975.89986/58903.75799*100)</f>
        <v>100.12247413825828</v>
      </c>
      <c r="E48" s="138">
        <f>IF(58903.75799="","-",58903.75799/2676462.27457*100)</f>
        <v>2.2008065852324958</v>
      </c>
      <c r="F48" s="138">
        <f>IF(58975.89986="","-",58975.89986/3581025.78176*100)</f>
        <v>1.6468996163164891</v>
      </c>
      <c r="G48" s="28">
        <f>IF(OR(1980077.64559="",38925.47377="",58903.75799=""),"-",(58903.75799-38925.47377)/1980077.64559*100)</f>
        <v>1.0089646870412048</v>
      </c>
      <c r="H48" s="28">
        <f>IF(OR(2676462.27457="",58975.89986="",58903.75799=""),"-",(58975.89986-58903.75799)/2676462.27457*100)</f>
        <v>2.6954188999951355E-3</v>
      </c>
    </row>
    <row r="49" spans="1:8" s="7" customFormat="1" x14ac:dyDescent="0.25">
      <c r="A49" s="20" t="s">
        <v>249</v>
      </c>
      <c r="B49" s="21" t="s">
        <v>155</v>
      </c>
      <c r="C49" s="17">
        <v>104591.3665</v>
      </c>
      <c r="D49" s="28">
        <f>IF(OR(91330.12557="",104591.3665=""),"-",104591.3665/91330.12557*100)</f>
        <v>114.52011682589433</v>
      </c>
      <c r="E49" s="138">
        <f>IF(91330.12557="","-",91330.12557/2676462.27457*100)</f>
        <v>3.4123449613977126</v>
      </c>
      <c r="F49" s="138">
        <f>IF(104591.3665="","-",104591.3665/3581025.78176*100)</f>
        <v>2.9207096757788631</v>
      </c>
      <c r="G49" s="28">
        <f>IF(OR(1980077.64559="",80028.48131="",91330.12557=""),"-",(91330.12557-80028.48131)/1980077.64559*100)</f>
        <v>0.57076773151653204</v>
      </c>
      <c r="H49" s="28">
        <f>IF(OR(2676462.27457="",104591.3665="",91330.12557=""),"-",(104591.3665-91330.12557)/2676462.27457*100)</f>
        <v>0.49547647489746699</v>
      </c>
    </row>
    <row r="50" spans="1:8" s="7" customFormat="1" ht="25.5" x14ac:dyDescent="0.25">
      <c r="A50" s="18" t="s">
        <v>250</v>
      </c>
      <c r="B50" s="19" t="s">
        <v>317</v>
      </c>
      <c r="C50" s="16">
        <v>524909.85543</v>
      </c>
      <c r="D50" s="26">
        <f>IF(489344.0313="","-",524909.85543/489344.0313*100)</f>
        <v>107.26806129330222</v>
      </c>
      <c r="E50" s="137">
        <f>IF(489344.0313="","-",489344.0313/2676462.27457*100)</f>
        <v>18.283240378518613</v>
      </c>
      <c r="F50" s="137">
        <f>IF(524909.85543="","-",524909.85543/3581025.78176*100)</f>
        <v>14.658086465158529</v>
      </c>
      <c r="G50" s="26">
        <f>IF(1980077.64559="","-",(489344.0313-359049.5138)/1980077.64559*100)</f>
        <v>6.5802731418229978</v>
      </c>
      <c r="H50" s="26">
        <f>IF(2676462.27457="","-",(524909.85543-489344.0313)/2676462.27457*100)</f>
        <v>1.3288371171125146</v>
      </c>
    </row>
    <row r="51" spans="1:8" s="7" customFormat="1" x14ac:dyDescent="0.25">
      <c r="A51" s="20" t="s">
        <v>251</v>
      </c>
      <c r="B51" s="21" t="s">
        <v>156</v>
      </c>
      <c r="C51" s="17">
        <v>23280.325379999998</v>
      </c>
      <c r="D51" s="28">
        <f>IF(OR(24232.80555="",23280.32538=""),"-",23280.32538/24232.80555*100)</f>
        <v>96.069459774128376</v>
      </c>
      <c r="E51" s="138">
        <f>IF(24232.80555="","-",24232.80555/2676462.27457*100)</f>
        <v>0.90540433841509083</v>
      </c>
      <c r="F51" s="138">
        <f>IF(23280.32538="","-",23280.32538/3581025.78176*100)</f>
        <v>0.6501021438767246</v>
      </c>
      <c r="G51" s="28">
        <f>IF(OR(1980077.64559="",15132.62171="",24232.80555=""),"-",(24232.80555-15132.62171)/1980077.64559*100)</f>
        <v>0.45958722175707589</v>
      </c>
      <c r="H51" s="28">
        <f>IF(OR(2676462.27457="",23280.32538="",24232.80555=""),"-",(23280.32538-24232.80555)/2676462.27457*100)</f>
        <v>-3.558728172819204E-2</v>
      </c>
    </row>
    <row r="52" spans="1:8" s="7" customFormat="1" x14ac:dyDescent="0.25">
      <c r="A52" s="20" t="s">
        <v>252</v>
      </c>
      <c r="B52" s="21" t="s">
        <v>27</v>
      </c>
      <c r="C52" s="17">
        <v>33911.73141</v>
      </c>
      <c r="D52" s="28">
        <f>IF(OR(25792.71111="",33911.73141=""),"-",33911.73141/25792.71111*100)</f>
        <v>131.47796393087273</v>
      </c>
      <c r="E52" s="138">
        <f>IF(25792.71111="","-",25792.71111/2676462.27457*100)</f>
        <v>0.96368670521028932</v>
      </c>
      <c r="F52" s="138">
        <f>IF(33911.73141="","-",33911.73141/3581025.78176*100)</f>
        <v>0.94698372691785215</v>
      </c>
      <c r="G52" s="28">
        <f>IF(OR(1980077.64559="",21232.52553="",25792.71111=""),"-",(25792.71111-21232.52553)/1980077.64559*100)</f>
        <v>0.23030337169637666</v>
      </c>
      <c r="H52" s="28">
        <f>IF(OR(2676462.27457="",33911.73141="",25792.71111=""),"-",(33911.73141-25792.71111)/2676462.27457*100)</f>
        <v>0.30334895347271057</v>
      </c>
    </row>
    <row r="53" spans="1:8" s="7" customFormat="1" x14ac:dyDescent="0.25">
      <c r="A53" s="20" t="s">
        <v>253</v>
      </c>
      <c r="B53" s="21" t="s">
        <v>157</v>
      </c>
      <c r="C53" s="17">
        <v>40929.67858</v>
      </c>
      <c r="D53" s="28">
        <f>IF(OR(39858.90133="",40929.67858=""),"-",40929.67858/39858.90133*100)</f>
        <v>102.68641938003964</v>
      </c>
      <c r="E53" s="138">
        <f>IF(39858.90133="","-",39858.90133/2676462.27457*100)</f>
        <v>1.489238301944821</v>
      </c>
      <c r="F53" s="138">
        <f>IF(40929.67858="","-",40929.67858/3581025.78176*100)</f>
        <v>1.1429596175619798</v>
      </c>
      <c r="G53" s="28">
        <f>IF(OR(1980077.64559="",24869.11474="",39858.90133=""),"-",(39858.90133-24869.11474)/1980077.64559*100)</f>
        <v>0.75703024188900025</v>
      </c>
      <c r="H53" s="28">
        <f>IF(OR(2676462.27457="",40929.67858="",39858.90133=""),"-",(40929.67858-39858.90133)/2676462.27457*100)</f>
        <v>4.0007186358418975E-2</v>
      </c>
    </row>
    <row r="54" spans="1:8" s="7" customFormat="1" ht="25.5" x14ac:dyDescent="0.25">
      <c r="A54" s="20" t="s">
        <v>254</v>
      </c>
      <c r="B54" s="21" t="s">
        <v>158</v>
      </c>
      <c r="C54" s="17">
        <v>57052.671649999997</v>
      </c>
      <c r="D54" s="28">
        <f>IF(OR(42062.44489="",57052.67165=""),"-",57052.67165/42062.44489*100)</f>
        <v>135.63803007457562</v>
      </c>
      <c r="E54" s="138">
        <f>IF(42062.44489="","-",42062.44489/2676462.27457*100)</f>
        <v>1.5715687566251142</v>
      </c>
      <c r="F54" s="138">
        <f>IF(57052.67165="","-",57052.67165/3581025.78176*100)</f>
        <v>1.5931935464022207</v>
      </c>
      <c r="G54" s="28">
        <f>IF(OR(1980077.64559="",35698.98041="",42062.44489=""),"-",(42062.44489-35698.98041)/1980077.64559*100)</f>
        <v>0.32137449226663495</v>
      </c>
      <c r="H54" s="28">
        <f>IF(OR(2676462.27457="",57052.67165="",42062.44489=""),"-",(57052.67165-42062.44489)/2676462.27457*100)</f>
        <v>0.5600761461286925</v>
      </c>
    </row>
    <row r="55" spans="1:8" s="7" customFormat="1" ht="27.75" customHeight="1" x14ac:dyDescent="0.25">
      <c r="A55" s="20" t="s">
        <v>255</v>
      </c>
      <c r="B55" s="21" t="s">
        <v>159</v>
      </c>
      <c r="C55" s="17">
        <v>137402.76084</v>
      </c>
      <c r="D55" s="28">
        <f>IF(OR(126395.10499="",137402.76084=""),"-",137402.76084/126395.10499*100)</f>
        <v>108.70892575378681</v>
      </c>
      <c r="E55" s="138">
        <f>IF(126395.10499="","-",126395.10499/2676462.27457*100)</f>
        <v>4.7224691411092889</v>
      </c>
      <c r="F55" s="138">
        <f>IF(137402.76084="","-",137402.76084/3581025.78176*100)</f>
        <v>3.8369665345572965</v>
      </c>
      <c r="G55" s="28">
        <f>IF(OR(1980077.64559="",94256.65415="",126395.10499=""),"-",(126395.10499-94256.65415)/1980077.64559*100)</f>
        <v>1.6230904334271077</v>
      </c>
      <c r="H55" s="28">
        <f>IF(OR(2676462.27457="",137402.76084="",126395.10499=""),"-",(137402.76084-126395.10499)/2676462.27457*100)</f>
        <v>0.41127633124470192</v>
      </c>
    </row>
    <row r="56" spans="1:8" s="7" customFormat="1" ht="16.5" customHeight="1" x14ac:dyDescent="0.25">
      <c r="A56" s="20" t="s">
        <v>256</v>
      </c>
      <c r="B56" s="21" t="s">
        <v>28</v>
      </c>
      <c r="C56" s="17">
        <v>59721.376129999997</v>
      </c>
      <c r="D56" s="28">
        <f>IF(OR(59845.70472="",59721.37613=""),"-",59721.37613/59845.70472*100)</f>
        <v>99.792251439628458</v>
      </c>
      <c r="E56" s="138">
        <f>IF(59845.70472="","-",59845.70472/2676462.27457*100)</f>
        <v>2.2360003086393139</v>
      </c>
      <c r="F56" s="138">
        <f>IF(59721.37613="","-",59721.37613/3581025.78176*100)</f>
        <v>1.6677170109802499</v>
      </c>
      <c r="G56" s="28">
        <f>IF(OR(1980077.64559="",44256.7499="",59845.70472=""),"-",(59845.70472-44256.7499)/1980077.64559*100)</f>
        <v>0.78729007696842035</v>
      </c>
      <c r="H56" s="28">
        <f>IF(OR(2676462.27457="",59721.37613="",59845.70472=""),"-",(59721.37613-59845.70472)/2676462.27457*100)</f>
        <v>-4.6452584511014351E-3</v>
      </c>
    </row>
    <row r="57" spans="1:8" s="7" customFormat="1" ht="16.5" customHeight="1" x14ac:dyDescent="0.25">
      <c r="A57" s="20" t="s">
        <v>257</v>
      </c>
      <c r="B57" s="21" t="s">
        <v>160</v>
      </c>
      <c r="C57" s="17">
        <v>80793.430930000002</v>
      </c>
      <c r="D57" s="28">
        <f>IF(OR(62853.10974="",80793.43093=""),"-",80793.43093/62853.10974*100)</f>
        <v>128.54325150213324</v>
      </c>
      <c r="E57" s="138">
        <f>IF(62853.10974="","-",62853.10974/2676462.27457*100)</f>
        <v>2.3483652408326199</v>
      </c>
      <c r="F57" s="138">
        <f>IF(80793.43093="","-",80793.43093/3581025.78176*100)</f>
        <v>2.256153288298631</v>
      </c>
      <c r="G57" s="28">
        <f>IF(OR(1980077.64559="",47768.16835="",62853.10974=""),"-",(62853.10974-47768.16835)/1980077.64559*100)</f>
        <v>0.76183585141708765</v>
      </c>
      <c r="H57" s="28">
        <f>IF(OR(2676462.27457="",80793.43093="",62853.10974=""),"-",(80793.43093-62853.10974)/2676462.27457*100)</f>
        <v>0.67029979687953167</v>
      </c>
    </row>
    <row r="58" spans="1:8" s="7" customFormat="1" ht="16.5" customHeight="1" x14ac:dyDescent="0.25">
      <c r="A58" s="20" t="s">
        <v>258</v>
      </c>
      <c r="B58" s="21" t="s">
        <v>29</v>
      </c>
      <c r="C58" s="17">
        <v>14116.841839999999</v>
      </c>
      <c r="D58" s="28">
        <f>IF(OR(30427.53847="",14116.84184=""),"-",14116.84184/30427.53847*100)</f>
        <v>46.394951908181739</v>
      </c>
      <c r="E58" s="138">
        <f>IF(30427.53847="","-",30427.53847/2676462.27457*100)</f>
        <v>1.1368566170015784</v>
      </c>
      <c r="F58" s="138">
        <f>IF(14116.84184="","-",14116.84184/3581025.78176*100)</f>
        <v>0.39421223694909735</v>
      </c>
      <c r="G58" s="28">
        <f>IF(OR(1980077.64559="",24683.14935="",30427.53847=""),"-",(30427.53847-24683.14935)/1980077.64559*100)</f>
        <v>0.29010928600672903</v>
      </c>
      <c r="H58" s="28">
        <f>IF(OR(2676462.27457="",14116.84184="",30427.53847=""),"-",(14116.84184-30427.53847)/2676462.27457*100)</f>
        <v>-0.60941253627871417</v>
      </c>
    </row>
    <row r="59" spans="1:8" s="7" customFormat="1" ht="15.75" customHeight="1" x14ac:dyDescent="0.25">
      <c r="A59" s="20" t="s">
        <v>259</v>
      </c>
      <c r="B59" s="21" t="s">
        <v>30</v>
      </c>
      <c r="C59" s="17">
        <v>77701.038669999994</v>
      </c>
      <c r="D59" s="28">
        <f>IF(OR(77875.7105="",77701.03867=""),"-",77701.03867/77875.7105*100)</f>
        <v>99.775704351358684</v>
      </c>
      <c r="E59" s="138">
        <f>IF(77875.7105="","-",77875.7105/2676462.27457*100)</f>
        <v>2.909650968740499</v>
      </c>
      <c r="F59" s="138">
        <f>IF(77701.03867="","-",77701.03867/3581025.78176*100)</f>
        <v>2.1697983596144774</v>
      </c>
      <c r="G59" s="28">
        <f>IF(OR(1980077.64559="",51151.54966="",77875.7105=""),"-",(77875.7105-51151.54966)/1980077.64559*100)</f>
        <v>1.3496521663945686</v>
      </c>
      <c r="H59" s="28">
        <f>IF(OR(2676462.27457="",77701.03867="",77875.7105=""),"-",(77701.03867-77875.7105)/2676462.27457*100)</f>
        <v>-6.5262205135347686E-3</v>
      </c>
    </row>
    <row r="60" spans="1:8" s="7" customFormat="1" ht="25.5" x14ac:dyDescent="0.25">
      <c r="A60" s="18" t="s">
        <v>260</v>
      </c>
      <c r="B60" s="19" t="s">
        <v>161</v>
      </c>
      <c r="C60" s="16">
        <v>755125.16420999996</v>
      </c>
      <c r="D60" s="26">
        <f>IF(679857.75282="","-",755125.16421/679857.75282*100)</f>
        <v>111.07105288978411</v>
      </c>
      <c r="E60" s="137">
        <f>IF(679857.75282="","-",679857.75282/2676462.27457*100)</f>
        <v>25.40135757860536</v>
      </c>
      <c r="F60" s="137">
        <f>IF(755125.16421="","-",755125.16421/3581025.78176*100)</f>
        <v>21.086839643999198</v>
      </c>
      <c r="G60" s="26">
        <f>IF(1980077.64559="","-",(679857.75282-432830.31903)/1980077.64559*100)</f>
        <v>12.475643788018916</v>
      </c>
      <c r="H60" s="26">
        <f>IF(2676462.27457="","-",(755125.16421-679857.75282)/2676462.27457*100)</f>
        <v>2.8121977322505831</v>
      </c>
    </row>
    <row r="61" spans="1:8" s="7" customFormat="1" ht="25.5" x14ac:dyDescent="0.25">
      <c r="A61" s="20" t="s">
        <v>261</v>
      </c>
      <c r="B61" s="21" t="s">
        <v>162</v>
      </c>
      <c r="C61" s="17">
        <v>11442.814479999999</v>
      </c>
      <c r="D61" s="28">
        <f>IF(OR(11750.99763="",11442.81448=""),"-",11442.81448/11750.99763*100)</f>
        <v>97.377387352940843</v>
      </c>
      <c r="E61" s="138">
        <f>IF(11750.99763="","-",11750.99763/2676462.27457*100)</f>
        <v>0.43904962687687848</v>
      </c>
      <c r="F61" s="138">
        <f>IF(11442.81448="","-",11442.81448/3581025.78176*100)</f>
        <v>0.31954013116253221</v>
      </c>
      <c r="G61" s="28">
        <f>IF(OR(1980077.64559="",6345.44979="",11750.99763=""),"-",(11750.99763-6345.44979)/1980077.64559*100)</f>
        <v>0.27299676111384608</v>
      </c>
      <c r="H61" s="28">
        <f>IF(OR(2676462.27457="",11442.81448="",11750.99763=""),"-",(11442.81448-11750.99763)/2676462.27457*100)</f>
        <v>-1.1514571041339017E-2</v>
      </c>
    </row>
    <row r="62" spans="1:8" s="7" customFormat="1" ht="25.5" x14ac:dyDescent="0.25">
      <c r="A62" s="20" t="s">
        <v>262</v>
      </c>
      <c r="B62" s="21" t="s">
        <v>163</v>
      </c>
      <c r="C62" s="17">
        <v>124322.8524</v>
      </c>
      <c r="D62" s="28" t="s">
        <v>99</v>
      </c>
      <c r="E62" s="138">
        <f>IF(75187.00537="","-",75187.00537/2676462.27457*100)</f>
        <v>2.8091935419519238</v>
      </c>
      <c r="F62" s="138">
        <f>IF(124322.8524="","-",124322.8524/3581025.78176*100)</f>
        <v>3.4717106208293727</v>
      </c>
      <c r="G62" s="28">
        <f>IF(OR(1980077.64559="",61944.98728="",75187.00537=""),"-",(75187.00537-61944.98728)/1980077.64559*100)</f>
        <v>0.66876256693733327</v>
      </c>
      <c r="H62" s="28">
        <f>IF(OR(2676462.27457="",124322.8524="",75187.00537=""),"-",(124322.8524-75187.00537)/2676462.27457*100)</f>
        <v>1.8358505366153224</v>
      </c>
    </row>
    <row r="63" spans="1:8" s="7" customFormat="1" ht="27" customHeight="1" x14ac:dyDescent="0.25">
      <c r="A63" s="20" t="s">
        <v>263</v>
      </c>
      <c r="B63" s="21" t="s">
        <v>164</v>
      </c>
      <c r="C63" s="17">
        <v>4887.2227400000002</v>
      </c>
      <c r="D63" s="28">
        <f>IF(OR(6483.14341="",4887.22274=""),"-",4887.22274/6483.14341*100)</f>
        <v>75.383535901143986</v>
      </c>
      <c r="E63" s="138">
        <f>IF(6483.14341="","-",6483.14341/2676462.27457*100)</f>
        <v>0.24222808860780901</v>
      </c>
      <c r="F63" s="138">
        <f>IF(4887.22274="","-",4887.22274/3581025.78176*100)</f>
        <v>0.13647549718555868</v>
      </c>
      <c r="G63" s="28">
        <f>IF(OR(1980077.64559="",5125.04165="",6483.14341=""),"-",(6483.14341-5125.04165)/1980077.64559*100)</f>
        <v>6.8588308293098699E-2</v>
      </c>
      <c r="H63" s="28">
        <f>IF(OR(2676462.27457="",4887.22274="",6483.14341=""),"-",(4887.22274-6483.14341)/2676462.27457*100)</f>
        <v>-5.9627990469486442E-2</v>
      </c>
    </row>
    <row r="64" spans="1:8" s="7" customFormat="1" ht="38.25" x14ac:dyDescent="0.25">
      <c r="A64" s="20" t="s">
        <v>264</v>
      </c>
      <c r="B64" s="21" t="s">
        <v>165</v>
      </c>
      <c r="C64" s="17">
        <v>96664.380739999993</v>
      </c>
      <c r="D64" s="28">
        <f>IF(OR(94929.7535="",96664.38074=""),"-",96664.38074/94929.7535*100)</f>
        <v>101.82727456466006</v>
      </c>
      <c r="E64" s="138">
        <f>IF(94929.7535="","-",94929.7535/2676462.27457*100)</f>
        <v>3.5468369721464286</v>
      </c>
      <c r="F64" s="138">
        <f>IF(96664.38074="","-",96664.38074/3581025.78176*100)</f>
        <v>2.6993489193057818</v>
      </c>
      <c r="G64" s="28">
        <f>IF(OR(1980077.64559="",69514.5114="",94929.7535=""),"-",(94929.7535-69514.5114)/1980077.64559*100)</f>
        <v>1.283547751604815</v>
      </c>
      <c r="H64" s="28">
        <f>IF(OR(2676462.27457="",96664.38074="",94929.7535=""),"-",(96664.38074-94929.7535)/2676462.27457*100)</f>
        <v>6.481044984199047E-2</v>
      </c>
    </row>
    <row r="65" spans="1:8" s="7" customFormat="1" ht="27.75" customHeight="1" x14ac:dyDescent="0.25">
      <c r="A65" s="20" t="s">
        <v>265</v>
      </c>
      <c r="B65" s="21" t="s">
        <v>166</v>
      </c>
      <c r="C65" s="17">
        <v>35925.073490000002</v>
      </c>
      <c r="D65" s="28">
        <f>IF(OR(32091.81777="",35925.07349=""),"-",35925.07349/32091.81777*100)</f>
        <v>111.94465127364457</v>
      </c>
      <c r="E65" s="138">
        <f>IF(32091.81777="","-",32091.81777/2676462.27457*100)</f>
        <v>1.1990386741078152</v>
      </c>
      <c r="F65" s="138">
        <f>IF(35925.07349="","-",35925.07349/3581025.78176*100)</f>
        <v>1.0032062230041687</v>
      </c>
      <c r="G65" s="28">
        <f>IF(OR(1980077.64559="",16069.35376="",32091.81777=""),"-",(32091.81777-16069.35376)/1980077.64559*100)</f>
        <v>0.80918362194962401</v>
      </c>
      <c r="H65" s="28">
        <f>IF(OR(2676462.27457="",35925.07349="",32091.81777=""),"-",(35925.07349-32091.81777)/2676462.27457*100)</f>
        <v>0.14322098825831017</v>
      </c>
    </row>
    <row r="66" spans="1:8" s="7" customFormat="1" ht="38.25" x14ac:dyDescent="0.25">
      <c r="A66" s="20" t="s">
        <v>266</v>
      </c>
      <c r="B66" s="21" t="s">
        <v>167</v>
      </c>
      <c r="C66" s="17">
        <v>68437.918319999997</v>
      </c>
      <c r="D66" s="28">
        <f>IF(OR(71381.03019="",68437.91832=""),"-",68437.91832/71381.03019*100)</f>
        <v>95.876899139496714</v>
      </c>
      <c r="E66" s="138">
        <f>IF(71381.03019="","-",71381.03019/2676462.27457*100)</f>
        <v>2.6669918297827708</v>
      </c>
      <c r="F66" s="138">
        <f>IF(68437.91832="","-",68437.91832/3581025.78176*100)</f>
        <v>1.9111260988007792</v>
      </c>
      <c r="G66" s="28">
        <f>IF(OR(1980077.64559="",49458.51304="",71381.03019=""),"-",(71381.03019-49458.51304)/1980077.64559*100)</f>
        <v>1.1071544188595592</v>
      </c>
      <c r="H66" s="28">
        <f>IF(OR(2676462.27457="",68437.91832="",71381.03019=""),"-",(68437.91832-71381.03019)/2676462.27457*100)</f>
        <v>-0.10996276308332603</v>
      </c>
    </row>
    <row r="67" spans="1:8" s="7" customFormat="1" ht="41.25" customHeight="1" x14ac:dyDescent="0.25">
      <c r="A67" s="20" t="s">
        <v>267</v>
      </c>
      <c r="B67" s="21" t="s">
        <v>168</v>
      </c>
      <c r="C67" s="17">
        <v>217393.23629</v>
      </c>
      <c r="D67" s="28">
        <f>IF(OR(217016.04905="",217393.23629=""),"-",217393.23629/217016.04905*100)</f>
        <v>100.17380615012168</v>
      </c>
      <c r="E67" s="138">
        <f>IF(217016.04905="","-",217016.04905/2676462.27457*100)</f>
        <v>8.1083171286195608</v>
      </c>
      <c r="F67" s="138">
        <f>IF(217393.23629="","-",217393.23629/3581025.78176*100)</f>
        <v>6.0706973235796058</v>
      </c>
      <c r="G67" s="28">
        <f>IF(OR(1980077.64559="",128646.51066="",217016.04905=""),"-",(217016.04905-128646.51066)/1980077.64559*100)</f>
        <v>4.4629329858258506</v>
      </c>
      <c r="H67" s="28">
        <f>IF(OR(2676462.27457="",217393.23629="",217016.04905=""),"-",(217393.23629-217016.04905)/2676462.27457*100)</f>
        <v>1.4092753840911064E-2</v>
      </c>
    </row>
    <row r="68" spans="1:8" s="7" customFormat="1" ht="25.5" x14ac:dyDescent="0.25">
      <c r="A68" s="20" t="s">
        <v>268</v>
      </c>
      <c r="B68" s="21" t="s">
        <v>169</v>
      </c>
      <c r="C68" s="17">
        <v>192509.43273999999</v>
      </c>
      <c r="D68" s="28">
        <f>IF(OR(170150.99066="",192509.43274=""),"-",192509.43274/170150.99066*100)</f>
        <v>113.1403537489107</v>
      </c>
      <c r="E68" s="138">
        <f>IF(170150.99066="","-",170150.99066/2676462.27457*100)</f>
        <v>6.3573095080272131</v>
      </c>
      <c r="F68" s="138">
        <f>IF(192509.43274="","-",192509.43274/3581025.78176*100)</f>
        <v>5.3758181167125132</v>
      </c>
      <c r="G68" s="28">
        <f>IF(OR(1980077.64559="",92270.62342="",170150.99066=""),"-",(170150.99066-92270.62342)/1980077.64559*100)</f>
        <v>3.9331976406811124</v>
      </c>
      <c r="H68" s="28">
        <f>IF(OR(2676462.27457="",192509.43274="",170150.99066=""),"-",(192509.43274-170150.99066)/2676462.27457*100)</f>
        <v>0.83537295826790914</v>
      </c>
    </row>
    <row r="69" spans="1:8" s="7" customFormat="1" x14ac:dyDescent="0.25">
      <c r="A69" s="20" t="s">
        <v>269</v>
      </c>
      <c r="B69" s="21" t="s">
        <v>31</v>
      </c>
      <c r="C69" s="17">
        <v>3542.2330099999999</v>
      </c>
      <c r="D69" s="28" t="s">
        <v>316</v>
      </c>
      <c r="E69" s="138">
        <f>IF(866.96524="","-",866.96524/2676462.27457*100)</f>
        <v>3.239220848495937E-2</v>
      </c>
      <c r="F69" s="138">
        <f>IF(3542.23301="","-",3542.23301/3581025.78176*100)</f>
        <v>9.8916713418887067E-2</v>
      </c>
      <c r="G69" s="28">
        <f>IF(OR(1980077.64559="",3455.32803="",866.96524=""),"-",(866.96524-3455.32803)/1980077.64559*100)</f>
        <v>-0.1307202672463256</v>
      </c>
      <c r="H69" s="28">
        <f>IF(OR(2676462.27457="",3542.23301="",866.96524=""),"-",(3542.23301-866.96524)/2676462.27457*100)</f>
        <v>9.9955370020293227E-2</v>
      </c>
    </row>
    <row r="70" spans="1:8" s="7" customFormat="1" x14ac:dyDescent="0.25">
      <c r="A70" s="18" t="s">
        <v>270</v>
      </c>
      <c r="B70" s="19" t="s">
        <v>32</v>
      </c>
      <c r="C70" s="16">
        <v>307259.14695999998</v>
      </c>
      <c r="D70" s="26">
        <f>IF(309502.95884="","-",307259.14696/309502.95884*100)</f>
        <v>99.275027324969784</v>
      </c>
      <c r="E70" s="137">
        <f>IF(309502.95884="","-",309502.95884/2676462.27457*100)</f>
        <v>11.563882733588116</v>
      </c>
      <c r="F70" s="137">
        <f>IF(307259.14696="","-",307259.14696/3581025.78176*100)</f>
        <v>8.58019924137459</v>
      </c>
      <c r="G70" s="26">
        <f>IF(1980077.64559="","-",(309502.95884-190751.91203)/1980077.64559*100)</f>
        <v>5.9972924331770807</v>
      </c>
      <c r="H70" s="26">
        <f>IF(2676462.27457="","-",(307259.14696-309502.95884)/2676462.27457*100)</f>
        <v>-8.3834989991050199E-2</v>
      </c>
    </row>
    <row r="71" spans="1:8" s="7" customFormat="1" ht="38.25" x14ac:dyDescent="0.25">
      <c r="A71" s="20" t="s">
        <v>271</v>
      </c>
      <c r="B71" s="21" t="s">
        <v>195</v>
      </c>
      <c r="C71" s="17">
        <v>24711.33253</v>
      </c>
      <c r="D71" s="28">
        <f>IF(OR(23124.92951="",24711.33253=""),"-",24711.33253/23124.92951*100)</f>
        <v>106.86014207876389</v>
      </c>
      <c r="E71" s="138">
        <f>IF(23124.92951="","-",23124.92951/2676462.27457*100)</f>
        <v>0.86401103911375887</v>
      </c>
      <c r="F71" s="138">
        <f>IF(24711.33253="","-",24711.33253/3581025.78176*100)</f>
        <v>0.69006296061501382</v>
      </c>
      <c r="G71" s="28">
        <f>IF(OR(1980077.64559="",13304.13546="",23124.92951=""),"-",(23124.92951-13304.13546)/1980077.64559*100)</f>
        <v>0.49598024965701376</v>
      </c>
      <c r="H71" s="28">
        <f>IF(OR(2676462.27457="",24711.33253="",23124.92951=""),"-",(24711.33253-23124.92951)/2676462.27457*100)</f>
        <v>5.9272384859408084E-2</v>
      </c>
    </row>
    <row r="72" spans="1:8" x14ac:dyDescent="0.25">
      <c r="A72" s="20" t="s">
        <v>272</v>
      </c>
      <c r="B72" s="21" t="s">
        <v>170</v>
      </c>
      <c r="C72" s="17">
        <v>29549.72624</v>
      </c>
      <c r="D72" s="28">
        <f>IF(OR(27407.35517="",29549.72624=""),"-",29549.72624/27407.35517*100)</f>
        <v>107.81677420791421</v>
      </c>
      <c r="E72" s="138">
        <f>IF(27407.35517="","-",27407.35517/2676462.27457*100)</f>
        <v>1.0240142530835135</v>
      </c>
      <c r="F72" s="138">
        <f>IF(29549.72624="","-",29549.72624/3581025.78176*100)</f>
        <v>0.82517490911436331</v>
      </c>
      <c r="G72" s="28">
        <f>IF(OR(1980077.64559="",16652.92735="",27407.35517=""),"-",(27407.35517-16652.92735)/1980077.64559*100)</f>
        <v>0.54313162132566373</v>
      </c>
      <c r="H72" s="28">
        <f>IF(OR(2676462.27457="",29549.72624="",27407.35517=""),"-",(29549.72624-27407.35517)/2676462.27457*100)</f>
        <v>8.0044882020397404E-2</v>
      </c>
    </row>
    <row r="73" spans="1:8" x14ac:dyDescent="0.25">
      <c r="A73" s="20" t="s">
        <v>273</v>
      </c>
      <c r="B73" s="21" t="s">
        <v>171</v>
      </c>
      <c r="C73" s="17">
        <v>6572.5763900000002</v>
      </c>
      <c r="D73" s="28">
        <f>IF(OR(4604.87518="",6572.57639=""),"-",6572.57639/4604.87518*100)</f>
        <v>142.73082620232933</v>
      </c>
      <c r="E73" s="138">
        <f>IF(4604.87518="","-",4604.87518/2676462.27457*100)</f>
        <v>0.17205081587558782</v>
      </c>
      <c r="F73" s="138">
        <f>IF(6572.57639="","-",6572.57639/3581025.78176*100)</f>
        <v>0.1835389296407052</v>
      </c>
      <c r="G73" s="28">
        <f>IF(OR(1980077.64559="",2983.04621="",4604.87518=""),"-",(4604.87518-2983.04621)/1980077.64559*100)</f>
        <v>8.1907342048536003E-2</v>
      </c>
      <c r="H73" s="28">
        <f>IF(OR(2676462.27457="",6572.57639="",4604.87518=""),"-",(6572.57639-4604.87518)/2676462.27457*100)</f>
        <v>7.3518735111487085E-2</v>
      </c>
    </row>
    <row r="74" spans="1:8" x14ac:dyDescent="0.25">
      <c r="A74" s="20" t="s">
        <v>274</v>
      </c>
      <c r="B74" s="21" t="s">
        <v>172</v>
      </c>
      <c r="C74" s="17">
        <v>75355.253599999996</v>
      </c>
      <c r="D74" s="28">
        <f>IF(OR(72867.75666="",75355.2536=""),"-",75355.2536/72867.75666*100)</f>
        <v>103.41371417759795</v>
      </c>
      <c r="E74" s="138">
        <f>IF(72867.75666="","-",72867.75666/2676462.27457*100)</f>
        <v>2.7225400242828726</v>
      </c>
      <c r="F74" s="138">
        <f>IF(75355.2536="","-",75355.2536/3581025.78176*100)</f>
        <v>2.1042924064893063</v>
      </c>
      <c r="G74" s="28">
        <f>IF(OR(1980077.64559="",43152.30617="",72867.75666=""),"-",(72867.75666-43152.30617)/1980077.64559*100)</f>
        <v>1.5007214770684276</v>
      </c>
      <c r="H74" s="28">
        <f>IF(OR(2676462.27457="",75355.2536="",72867.75666=""),"-",(75355.2536-72867.75666)/2676462.27457*100)</f>
        <v>9.29397347997232E-2</v>
      </c>
    </row>
    <row r="75" spans="1:8" x14ac:dyDescent="0.25">
      <c r="A75" s="20" t="s">
        <v>275</v>
      </c>
      <c r="B75" s="21" t="s">
        <v>173</v>
      </c>
      <c r="C75" s="17">
        <v>24689.419010000001</v>
      </c>
      <c r="D75" s="28">
        <f>IF(OR(21034.4528="",24689.41901=""),"-",24689.41901/21034.4528*100)</f>
        <v>117.3760936153281</v>
      </c>
      <c r="E75" s="138">
        <f>IF(21034.4528="","-",21034.4528/2676462.27457*100)</f>
        <v>0.78590507326987791</v>
      </c>
      <c r="F75" s="138">
        <f>IF(24689.41901="","-",24689.41901/3581025.78176*100)</f>
        <v>0.68945102645604694</v>
      </c>
      <c r="G75" s="28">
        <f>IF(OR(1980077.64559="",15140.64353="",21034.4528=""),"-",(21034.4528-15140.64353)/1980077.64559*100)</f>
        <v>0.29765546230606693</v>
      </c>
      <c r="H75" s="28">
        <f>IF(OR(2676462.27457="",24689.41901="",21034.4528=""),"-",(24689.41901-21034.4528)/2676462.27457*100)</f>
        <v>0.13655960125898689</v>
      </c>
    </row>
    <row r="76" spans="1:8" ht="25.5" x14ac:dyDescent="0.25">
      <c r="A76" s="20" t="s">
        <v>276</v>
      </c>
      <c r="B76" s="21" t="s">
        <v>196</v>
      </c>
      <c r="C76" s="17">
        <v>27724.408660000001</v>
      </c>
      <c r="D76" s="28">
        <f>IF(OR(40045.73158="",27724.40866=""),"-",27724.40866/40045.73158*100)</f>
        <v>69.231869580443316</v>
      </c>
      <c r="E76" s="138">
        <f>IF(40045.73158="","-",40045.73158/2676462.27457*100)</f>
        <v>1.4962187945067802</v>
      </c>
      <c r="F76" s="138">
        <f>IF(27724.40866="","-",27724.40866/3581025.78176*100)</f>
        <v>0.77420298957953959</v>
      </c>
      <c r="G76" s="28">
        <f>IF(OR(1980077.64559="",20512.68612="",40045.73158=""),"-",(40045.73158-20512.68612)/1980077.64559*100)</f>
        <v>0.98647876276487001</v>
      </c>
      <c r="H76" s="28">
        <f>IF(OR(2676462.27457="",27724.40866="",40045.73158=""),"-",(27724.40866-40045.73158)/2676462.27457*100)</f>
        <v>-0.46035855005576493</v>
      </c>
    </row>
    <row r="77" spans="1:8" ht="25.5" x14ac:dyDescent="0.25">
      <c r="A77" s="20" t="s">
        <v>277</v>
      </c>
      <c r="B77" s="21" t="s">
        <v>174</v>
      </c>
      <c r="C77" s="17">
        <v>5507.4841500000002</v>
      </c>
      <c r="D77" s="28">
        <f>IF(OR(8062.43499="",5507.48415=""),"-",5507.48415/8062.43499*100)</f>
        <v>68.310431734718406</v>
      </c>
      <c r="E77" s="138">
        <f>IF(8062.43499="","-",8062.43499/2676462.27457*100)</f>
        <v>0.3012347704880432</v>
      </c>
      <c r="F77" s="138">
        <f>IF(5507.48415="","-",5507.48415/3581025.78176*100)</f>
        <v>0.15379627195236739</v>
      </c>
      <c r="G77" s="28">
        <f>IF(OR(1980077.64559="",4117.50658="",8062.43499=""),"-",(8062.43499-4117.50658)/1980077.64559*100)</f>
        <v>0.19923099575342848</v>
      </c>
      <c r="H77" s="28">
        <f>IF(OR(2676462.27457="",5507.48415="",8062.43499=""),"-",(5507.48415-8062.43499)/2676462.27457*100)</f>
        <v>-9.5459998232572785E-2</v>
      </c>
    </row>
    <row r="78" spans="1:8" x14ac:dyDescent="0.25">
      <c r="A78" s="20" t="s">
        <v>278</v>
      </c>
      <c r="B78" s="21" t="s">
        <v>33</v>
      </c>
      <c r="C78" s="17">
        <v>113148.94637999999</v>
      </c>
      <c r="D78" s="28">
        <f>IF(OR(112355.42295="",113148.94638=""),"-",113148.94638/112355.42295*100)</f>
        <v>100.7062617977533</v>
      </c>
      <c r="E78" s="138">
        <f>IF(112355.42295="","-",112355.42295/2676462.27457*100)</f>
        <v>4.1979079629676823</v>
      </c>
      <c r="F78" s="138">
        <f>IF(113148.94638="","-",113148.94638/3581025.78176*100)</f>
        <v>3.1596797475272469</v>
      </c>
      <c r="G78" s="28">
        <f>IF(OR(1980077.64559="",74888.66061="",112355.42295=""),"-",(112355.42295-74888.66061)/1980077.64559*100)</f>
        <v>1.8921865222530747</v>
      </c>
      <c r="H78" s="28">
        <f>IF(OR(2676462.27457="",113148.94638="",112355.42295=""),"-",(113148.94638-112355.42295)/2676462.27457*100)</f>
        <v>2.9648220247284765E-2</v>
      </c>
    </row>
    <row r="79" spans="1:8" ht="25.5" x14ac:dyDescent="0.25">
      <c r="A79" s="58" t="s">
        <v>281</v>
      </c>
      <c r="B79" s="59" t="s">
        <v>175</v>
      </c>
      <c r="C79" s="16">
        <v>11982.60835</v>
      </c>
      <c r="D79" s="26" t="s">
        <v>406</v>
      </c>
      <c r="E79" s="137">
        <f>IF(79.45405="","-",79.45405/2676462.27457*100)</f>
        <v>2.9686220782904581E-3</v>
      </c>
      <c r="F79" s="137">
        <f>IF(11982.60835="","-",11982.60835/3581025.78176*100)</f>
        <v>0.33461385313207093</v>
      </c>
      <c r="G79" s="26">
        <f>IF(1980077.64559="","-",(79.45405-174.27118)/1980077.64559*100)</f>
        <v>-4.7885561564302952E-3</v>
      </c>
      <c r="H79" s="26">
        <f>IF(2676462.27457="","-",(11982.60835-79.45405)/2676462.27457*100)</f>
        <v>0.44473461901914385</v>
      </c>
    </row>
    <row r="80" spans="1:8" ht="25.5" x14ac:dyDescent="0.25">
      <c r="A80" s="20" t="s">
        <v>338</v>
      </c>
      <c r="B80" s="21" t="s">
        <v>339</v>
      </c>
      <c r="C80" s="33">
        <v>333.24464999999998</v>
      </c>
      <c r="D80" s="28" t="str">
        <f>IF(OR(""="",333.24465=""),"-",333.24465/""*100)</f>
        <v>-</v>
      </c>
      <c r="E80" s="138" t="str">
        <f>IF(""="","-",""/2676462.27457*100)</f>
        <v>-</v>
      </c>
      <c r="F80" s="138">
        <f>IF(333.24465="","-",333.24465/3581025.78176*100)</f>
        <v>9.305843361904452E-3</v>
      </c>
      <c r="G80" s="28" t="str">
        <f>IF(OR(1980077.64559="",""="",""=""),"-",(""-"")/1980077.64559*100)</f>
        <v>-</v>
      </c>
      <c r="H80" s="28" t="str">
        <f>IF(OR(2676462.27457="",333.24465="",""=""),"-",(333.24465-"")/2676462.27457*100)</f>
        <v>-</v>
      </c>
    </row>
    <row r="81" spans="1:11" x14ac:dyDescent="0.25">
      <c r="A81" s="20" t="s">
        <v>328</v>
      </c>
      <c r="B81" s="21" t="s">
        <v>329</v>
      </c>
      <c r="C81" s="33">
        <v>118.96040000000001</v>
      </c>
      <c r="D81" s="28" t="s">
        <v>363</v>
      </c>
      <c r="E81" s="138">
        <f>IF(1.39899="","-",1.39899/2676462.27457*100)</f>
        <v>5.2270118405639086E-5</v>
      </c>
      <c r="F81" s="138">
        <f>IF(118.9604="","-",118.9604/3581025.78176*100)</f>
        <v>3.3219643546250439E-3</v>
      </c>
      <c r="G81" s="28" t="str">
        <f>IF(OR(1980077.64559="",""="",1.39899=""),"-",(1.39899-"")/1980077.64559*100)</f>
        <v>-</v>
      </c>
      <c r="H81" s="28">
        <f>IF(OR(2676462.27457="",118.9604="",1.39899=""),"-",(118.9604-1.39899)/2676462.27457*100)</f>
        <v>4.3924179734193122E-3</v>
      </c>
    </row>
    <row r="82" spans="1:11" ht="25.5" x14ac:dyDescent="0.25">
      <c r="A82" s="69" t="s">
        <v>330</v>
      </c>
      <c r="B82" s="70" t="s">
        <v>337</v>
      </c>
      <c r="C82" s="65">
        <v>11530.4033</v>
      </c>
      <c r="D82" s="29" t="s">
        <v>407</v>
      </c>
      <c r="E82" s="139">
        <f>IF(78.05506="","-",78.05506/2676462.27457*100)</f>
        <v>2.916351959884819E-3</v>
      </c>
      <c r="F82" s="139">
        <f>IF(11530.4033="","-",11530.4033/3581025.78176*100)</f>
        <v>0.32198604541554138</v>
      </c>
      <c r="G82" s="29">
        <f>IF(OR(1980077.64559="",174.27118="",78.05506=""),"-",(78.05506-174.27118)/1980077.64559*100)</f>
        <v>-4.8592094463715159E-3</v>
      </c>
      <c r="H82" s="29">
        <f>IF(OR(2676462.27457="",11530.4033="",78.05506=""),"-",(11530.4033-78.05506)/2676462.27457*100)</f>
        <v>0.42789126335957534</v>
      </c>
    </row>
    <row r="83" spans="1:11" x14ac:dyDescent="0.25">
      <c r="A83" s="47" t="s">
        <v>284</v>
      </c>
      <c r="B83" s="56"/>
      <c r="C83" s="33"/>
      <c r="D83" s="91"/>
      <c r="E83" s="91"/>
      <c r="F83" s="91"/>
      <c r="G83" s="91"/>
      <c r="H83" s="91"/>
      <c r="I83" s="1"/>
      <c r="J83" s="1"/>
      <c r="K83" s="1"/>
    </row>
    <row r="84" spans="1:11" x14ac:dyDescent="0.25">
      <c r="A84" s="126" t="s">
        <v>305</v>
      </c>
      <c r="B84" s="126"/>
      <c r="C84" s="126"/>
      <c r="D84" s="126"/>
      <c r="E84" s="126"/>
      <c r="F84" s="1"/>
      <c r="G84" s="1"/>
      <c r="H84" s="1"/>
    </row>
  </sheetData>
  <mergeCells count="12">
    <mergeCell ref="A84:E84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6"/>
  <sheetViews>
    <sheetView zoomScale="99" zoomScaleNormal="99" workbookViewId="0">
      <selection activeCell="I24" sqref="I24"/>
    </sheetView>
  </sheetViews>
  <sheetFormatPr defaultRowHeight="15.75" x14ac:dyDescent="0.25"/>
  <cols>
    <col min="1" max="1" width="7" customWidth="1"/>
    <col min="2" max="2" width="38" customWidth="1"/>
    <col min="3" max="3" width="13.5" customWidth="1"/>
    <col min="4" max="4" width="12.5" customWidth="1"/>
    <col min="5" max="5" width="15.5" customWidth="1"/>
  </cols>
  <sheetData>
    <row r="1" spans="1:5" x14ac:dyDescent="0.25">
      <c r="B1" s="107" t="s">
        <v>130</v>
      </c>
      <c r="C1" s="107"/>
      <c r="D1" s="107"/>
      <c r="E1" s="107"/>
    </row>
    <row r="2" spans="1:5" x14ac:dyDescent="0.25">
      <c r="B2" s="107" t="s">
        <v>283</v>
      </c>
      <c r="C2" s="107"/>
      <c r="D2" s="107"/>
      <c r="E2" s="107"/>
    </row>
    <row r="3" spans="1:5" x14ac:dyDescent="0.25">
      <c r="B3" s="5"/>
    </row>
    <row r="4" spans="1:5" ht="24.75" customHeight="1" x14ac:dyDescent="0.25">
      <c r="A4" s="108" t="s">
        <v>282</v>
      </c>
      <c r="B4" s="108"/>
      <c r="C4" s="112" t="s">
        <v>369</v>
      </c>
      <c r="D4" s="113"/>
      <c r="E4" s="110" t="s">
        <v>372</v>
      </c>
    </row>
    <row r="5" spans="1:5" ht="27" customHeight="1" x14ac:dyDescent="0.25">
      <c r="A5" s="109"/>
      <c r="B5" s="109"/>
      <c r="C5" s="62" t="s">
        <v>319</v>
      </c>
      <c r="D5" s="63" t="s">
        <v>320</v>
      </c>
      <c r="E5" s="111"/>
    </row>
    <row r="6" spans="1:5" ht="28.5" x14ac:dyDescent="0.25">
      <c r="A6" s="71"/>
      <c r="B6" s="32" t="s">
        <v>291</v>
      </c>
      <c r="C6" s="80">
        <v>-1571770.7335900001</v>
      </c>
      <c r="D6" s="72">
        <v>-1705825.3645200001</v>
      </c>
      <c r="E6" s="24">
        <f>IF(-1571770.73359="","-",-1705825.36452/-1571770.73359*100)</f>
        <v>108.52889216379621</v>
      </c>
    </row>
    <row r="7" spans="1:5" x14ac:dyDescent="0.25">
      <c r="A7" s="71"/>
      <c r="B7" s="22" t="s">
        <v>120</v>
      </c>
      <c r="C7" s="128"/>
      <c r="D7" s="128"/>
      <c r="E7" s="43"/>
    </row>
    <row r="8" spans="1:5" x14ac:dyDescent="0.25">
      <c r="A8" s="18" t="s">
        <v>210</v>
      </c>
      <c r="B8" s="19" t="s">
        <v>176</v>
      </c>
      <c r="C8" s="26">
        <v>-127204.67357</v>
      </c>
      <c r="D8" s="26">
        <v>123654.35862</v>
      </c>
      <c r="E8" s="26" t="s">
        <v>20</v>
      </c>
    </row>
    <row r="9" spans="1:5" x14ac:dyDescent="0.25">
      <c r="A9" s="20" t="s">
        <v>211</v>
      </c>
      <c r="B9" s="21" t="s">
        <v>21</v>
      </c>
      <c r="C9" s="28">
        <v>2212.1089299999999</v>
      </c>
      <c r="D9" s="28">
        <v>-174.77489</v>
      </c>
      <c r="E9" s="28" t="s">
        <v>20</v>
      </c>
    </row>
    <row r="10" spans="1:5" x14ac:dyDescent="0.25">
      <c r="A10" s="20" t="s">
        <v>212</v>
      </c>
      <c r="B10" s="21" t="s">
        <v>177</v>
      </c>
      <c r="C10" s="28">
        <v>-19561.154050000001</v>
      </c>
      <c r="D10" s="28">
        <v>-36987.855880000003</v>
      </c>
      <c r="E10" s="28" t="s">
        <v>101</v>
      </c>
    </row>
    <row r="11" spans="1:5" x14ac:dyDescent="0.25">
      <c r="A11" s="20" t="s">
        <v>213</v>
      </c>
      <c r="B11" s="21" t="s">
        <v>178</v>
      </c>
      <c r="C11" s="28">
        <v>-32633.248159999999</v>
      </c>
      <c r="D11" s="28">
        <v>-43565.193090000001</v>
      </c>
      <c r="E11" s="28">
        <f>IF(OR(-32633.24816="",-43565.19309="",-32633.24816=0,-43565.19309=0),"-",-43565.19309/-32633.24816*100)</f>
        <v>133.49940795473668</v>
      </c>
    </row>
    <row r="12" spans="1:5" x14ac:dyDescent="0.25">
      <c r="A12" s="20" t="s">
        <v>214</v>
      </c>
      <c r="B12" s="21" t="s">
        <v>179</v>
      </c>
      <c r="C12" s="28">
        <v>-28546.389190000002</v>
      </c>
      <c r="D12" s="28">
        <v>-32163.194240000001</v>
      </c>
      <c r="E12" s="28">
        <f>IF(OR(-28546.38919="",-32163.19424="",-28546.38919=0,-32163.19424=0),"-",-32163.19424/-28546.38919*100)</f>
        <v>112.66992131974082</v>
      </c>
    </row>
    <row r="13" spans="1:5" x14ac:dyDescent="0.25">
      <c r="A13" s="20" t="s">
        <v>215</v>
      </c>
      <c r="B13" s="21" t="s">
        <v>180</v>
      </c>
      <c r="C13" s="28">
        <v>2506.37896</v>
      </c>
      <c r="D13" s="28">
        <v>239562.30269000001</v>
      </c>
      <c r="E13" s="28" t="s">
        <v>408</v>
      </c>
    </row>
    <row r="14" spans="1:5" x14ac:dyDescent="0.25">
      <c r="A14" s="20" t="s">
        <v>216</v>
      </c>
      <c r="B14" s="21" t="s">
        <v>181</v>
      </c>
      <c r="C14" s="28">
        <v>24307.072169999999</v>
      </c>
      <c r="D14" s="28">
        <v>58802.071609999999</v>
      </c>
      <c r="E14" s="28" t="s">
        <v>287</v>
      </c>
    </row>
    <row r="15" spans="1:5" x14ac:dyDescent="0.25">
      <c r="A15" s="20" t="s">
        <v>217</v>
      </c>
      <c r="B15" s="21" t="s">
        <v>139</v>
      </c>
      <c r="C15" s="28">
        <v>-3766.0436399999999</v>
      </c>
      <c r="D15" s="28">
        <v>3658.4307600000002</v>
      </c>
      <c r="E15" s="28" t="s">
        <v>20</v>
      </c>
    </row>
    <row r="16" spans="1:5" ht="15.75" customHeight="1" x14ac:dyDescent="0.25">
      <c r="A16" s="20" t="s">
        <v>218</v>
      </c>
      <c r="B16" s="21" t="s">
        <v>182</v>
      </c>
      <c r="C16" s="28">
        <v>-20525.438450000001</v>
      </c>
      <c r="D16" s="28">
        <v>-22294.689259999999</v>
      </c>
      <c r="E16" s="28">
        <f>IF(OR(-20525.43845="",-22294.68926="",-20525.43845=0,-22294.68926=0),"-",-22294.68926/-20525.43845*100)</f>
        <v>108.61979545192126</v>
      </c>
    </row>
    <row r="17" spans="1:5" ht="25.5" x14ac:dyDescent="0.25">
      <c r="A17" s="20" t="s">
        <v>219</v>
      </c>
      <c r="B17" s="21" t="s">
        <v>140</v>
      </c>
      <c r="C17" s="28">
        <v>-12753.80279</v>
      </c>
      <c r="D17" s="28">
        <v>2507.9433899999999</v>
      </c>
      <c r="E17" s="28" t="s">
        <v>20</v>
      </c>
    </row>
    <row r="18" spans="1:5" x14ac:dyDescent="0.25">
      <c r="A18" s="20" t="s">
        <v>220</v>
      </c>
      <c r="B18" s="21" t="s">
        <v>183</v>
      </c>
      <c r="C18" s="28">
        <v>-38444.157350000001</v>
      </c>
      <c r="D18" s="28">
        <v>-45690.68247</v>
      </c>
      <c r="E18" s="28">
        <f>IF(OR(-38444.15735="",-45690.68247="",-38444.15735=0,-45690.68247=0),"-",-45690.68247/-38444.15735*100)</f>
        <v>118.84948356138179</v>
      </c>
    </row>
    <row r="19" spans="1:5" x14ac:dyDescent="0.25">
      <c r="A19" s="18" t="s">
        <v>221</v>
      </c>
      <c r="B19" s="19" t="s">
        <v>184</v>
      </c>
      <c r="C19" s="26">
        <v>37896.680699999997</v>
      </c>
      <c r="D19" s="26">
        <v>20449.43664</v>
      </c>
      <c r="E19" s="26">
        <f>IF(37896.6807="","-",20449.43664/37896.6807*100)</f>
        <v>53.961023135200335</v>
      </c>
    </row>
    <row r="20" spans="1:5" x14ac:dyDescent="0.25">
      <c r="A20" s="20" t="s">
        <v>222</v>
      </c>
      <c r="B20" s="21" t="s">
        <v>185</v>
      </c>
      <c r="C20" s="28">
        <v>49747.240120000002</v>
      </c>
      <c r="D20" s="28">
        <v>29887.621090000001</v>
      </c>
      <c r="E20" s="28">
        <f>IF(OR(49747.24012="",29887.62109="",49747.24012=0,29887.62109=0),"-",29887.62109/49747.24012*100)</f>
        <v>60.078953159824053</v>
      </c>
    </row>
    <row r="21" spans="1:5" x14ac:dyDescent="0.25">
      <c r="A21" s="20" t="s">
        <v>223</v>
      </c>
      <c r="B21" s="21" t="s">
        <v>186</v>
      </c>
      <c r="C21" s="28">
        <v>-11850.55942</v>
      </c>
      <c r="D21" s="28">
        <v>-9438.1844500000007</v>
      </c>
      <c r="E21" s="28">
        <f>IF(OR(-11850.55942="",-9438.18445="",-11850.55942=0,-9438.18445=0),"-",-9438.18445/-11850.55942*100)</f>
        <v>79.643366321351266</v>
      </c>
    </row>
    <row r="22" spans="1:5" ht="16.5" customHeight="1" x14ac:dyDescent="0.25">
      <c r="A22" s="18" t="s">
        <v>224</v>
      </c>
      <c r="B22" s="19" t="s">
        <v>22</v>
      </c>
      <c r="C22" s="26">
        <v>20909.365259999999</v>
      </c>
      <c r="D22" s="26">
        <v>135299.98452</v>
      </c>
      <c r="E22" s="26" t="s">
        <v>409</v>
      </c>
    </row>
    <row r="23" spans="1:5" x14ac:dyDescent="0.25">
      <c r="A23" s="20" t="s">
        <v>225</v>
      </c>
      <c r="B23" s="21" t="s">
        <v>193</v>
      </c>
      <c r="C23" s="28">
        <v>590.13962000000004</v>
      </c>
      <c r="D23" s="28">
        <v>669.3578</v>
      </c>
      <c r="E23" s="28">
        <f>IF(OR(590.13962="",669.3578="",590.13962=0,669.3578=0),"-",669.3578/590.13962*100)</f>
        <v>113.42363354624452</v>
      </c>
    </row>
    <row r="24" spans="1:5" x14ac:dyDescent="0.25">
      <c r="A24" s="20" t="s">
        <v>226</v>
      </c>
      <c r="B24" s="21" t="s">
        <v>187</v>
      </c>
      <c r="C24" s="28">
        <v>35742.414940000002</v>
      </c>
      <c r="D24" s="28">
        <v>153649.26843</v>
      </c>
      <c r="E24" s="28" t="s">
        <v>335</v>
      </c>
    </row>
    <row r="25" spans="1:5" ht="17.25" customHeight="1" x14ac:dyDescent="0.25">
      <c r="A25" s="20" t="s">
        <v>279</v>
      </c>
      <c r="B25" s="21" t="s">
        <v>188</v>
      </c>
      <c r="C25" s="28">
        <v>-860.98158999999998</v>
      </c>
      <c r="D25" s="28">
        <v>-1581.07465</v>
      </c>
      <c r="E25" s="28" t="s">
        <v>198</v>
      </c>
    </row>
    <row r="26" spans="1:5" x14ac:dyDescent="0.25">
      <c r="A26" s="20" t="s">
        <v>227</v>
      </c>
      <c r="B26" s="21" t="s">
        <v>189</v>
      </c>
      <c r="C26" s="28">
        <v>-13402.51505</v>
      </c>
      <c r="D26" s="28">
        <v>-22290.297269999999</v>
      </c>
      <c r="E26" s="28" t="s">
        <v>99</v>
      </c>
    </row>
    <row r="27" spans="1:5" x14ac:dyDescent="0.25">
      <c r="A27" s="20" t="s">
        <v>228</v>
      </c>
      <c r="B27" s="21" t="s">
        <v>141</v>
      </c>
      <c r="C27" s="28">
        <v>1731.51343</v>
      </c>
      <c r="D27" s="28">
        <v>1844.1362799999999</v>
      </c>
      <c r="E27" s="28">
        <f>IF(OR(1731.51343="",1844.13628="",1731.51343=0,1844.13628=0),"-",1844.13628/1731.51343*100)</f>
        <v>106.50430126897716</v>
      </c>
    </row>
    <row r="28" spans="1:5" ht="38.25" x14ac:dyDescent="0.25">
      <c r="A28" s="20" t="s">
        <v>229</v>
      </c>
      <c r="B28" s="21" t="s">
        <v>142</v>
      </c>
      <c r="C28" s="28">
        <v>-3793.3588300000001</v>
      </c>
      <c r="D28" s="28">
        <v>-3378.7535699999999</v>
      </c>
      <c r="E28" s="28">
        <f>IF(OR(-3793.35883="",-3378.75357="",-3793.35883=0,-3378.75357=0),"-",-3378.75357/-3793.35883*100)</f>
        <v>89.070233569229714</v>
      </c>
    </row>
    <row r="29" spans="1:5" ht="25.5" x14ac:dyDescent="0.25">
      <c r="A29" s="20" t="s">
        <v>230</v>
      </c>
      <c r="B29" s="21" t="s">
        <v>143</v>
      </c>
      <c r="C29" s="28">
        <v>-4637.9850699999997</v>
      </c>
      <c r="D29" s="28">
        <v>-4402.4023900000002</v>
      </c>
      <c r="E29" s="28">
        <f>IF(OR(-4637.98507="",-4402.40239="",-4637.98507=0,-4402.40239=0),"-",-4402.40239/-4637.98507*100)</f>
        <v>94.920581320456904</v>
      </c>
    </row>
    <row r="30" spans="1:5" x14ac:dyDescent="0.25">
      <c r="A30" s="20" t="s">
        <v>231</v>
      </c>
      <c r="B30" s="21" t="s">
        <v>144</v>
      </c>
      <c r="C30" s="28">
        <v>31986.02864</v>
      </c>
      <c r="D30" s="28">
        <v>33887.639320000002</v>
      </c>
      <c r="E30" s="28">
        <f>IF(OR(31986.02864="",33887.63932="",31986.02864=0,33887.63932=0),"-",33887.63932/31986.02864*100)</f>
        <v>105.94512904806803</v>
      </c>
    </row>
    <row r="31" spans="1:5" x14ac:dyDescent="0.25">
      <c r="A31" s="20" t="s">
        <v>232</v>
      </c>
      <c r="B31" s="21" t="s">
        <v>145</v>
      </c>
      <c r="C31" s="28">
        <v>-26445.89083</v>
      </c>
      <c r="D31" s="28">
        <v>-23097.889429999999</v>
      </c>
      <c r="E31" s="28">
        <f>IF(OR(-26445.89083="",-23097.88943="",-26445.89083=0,-23097.88943=0),"-",-23097.88943/-26445.89083*100)</f>
        <v>87.340182936087544</v>
      </c>
    </row>
    <row r="32" spans="1:5" ht="15.75" customHeight="1" x14ac:dyDescent="0.25">
      <c r="A32" s="18" t="s">
        <v>233</v>
      </c>
      <c r="B32" s="19" t="s">
        <v>146</v>
      </c>
      <c r="C32" s="26">
        <v>-305776.36505000002</v>
      </c>
      <c r="D32" s="26">
        <v>-761643.67046000005</v>
      </c>
      <c r="E32" s="26" t="s">
        <v>204</v>
      </c>
    </row>
    <row r="33" spans="1:5" x14ac:dyDescent="0.25">
      <c r="A33" s="20" t="s">
        <v>234</v>
      </c>
      <c r="B33" s="21" t="s">
        <v>190</v>
      </c>
      <c r="C33" s="28">
        <v>-3468.2831000000001</v>
      </c>
      <c r="D33" s="28">
        <v>-8199.8579300000001</v>
      </c>
      <c r="E33" s="28" t="s">
        <v>287</v>
      </c>
    </row>
    <row r="34" spans="1:5" x14ac:dyDescent="0.25">
      <c r="A34" s="20" t="s">
        <v>235</v>
      </c>
      <c r="B34" s="21" t="s">
        <v>147</v>
      </c>
      <c r="C34" s="28">
        <v>-185489.40661000001</v>
      </c>
      <c r="D34" s="28">
        <v>-346547.22078999999</v>
      </c>
      <c r="E34" s="28" t="s">
        <v>101</v>
      </c>
    </row>
    <row r="35" spans="1:5" x14ac:dyDescent="0.25">
      <c r="A35" s="20" t="s">
        <v>280</v>
      </c>
      <c r="B35" s="21" t="s">
        <v>191</v>
      </c>
      <c r="C35" s="28">
        <v>-114553.36375999999</v>
      </c>
      <c r="D35" s="28">
        <v>-402221.68440999999</v>
      </c>
      <c r="E35" s="28" t="s">
        <v>340</v>
      </c>
    </row>
    <row r="36" spans="1:5" x14ac:dyDescent="0.25">
      <c r="A36" s="20" t="s">
        <v>288</v>
      </c>
      <c r="B36" s="21" t="s">
        <v>290</v>
      </c>
      <c r="C36" s="28">
        <v>-2265.31158</v>
      </c>
      <c r="D36" s="28">
        <v>-4674.90733</v>
      </c>
      <c r="E36" s="28" t="s">
        <v>91</v>
      </c>
    </row>
    <row r="37" spans="1:5" ht="25.5" x14ac:dyDescent="0.25">
      <c r="A37" s="18" t="s">
        <v>236</v>
      </c>
      <c r="B37" s="19" t="s">
        <v>148</v>
      </c>
      <c r="C37" s="26">
        <v>26540.353930000001</v>
      </c>
      <c r="D37" s="26">
        <v>150334.71002999999</v>
      </c>
      <c r="E37" s="26" t="s">
        <v>362</v>
      </c>
    </row>
    <row r="38" spans="1:5" x14ac:dyDescent="0.25">
      <c r="A38" s="20" t="s">
        <v>237</v>
      </c>
      <c r="B38" s="21" t="s">
        <v>194</v>
      </c>
      <c r="C38" s="28">
        <v>-650.09690000000001</v>
      </c>
      <c r="D38" s="28">
        <v>-913.88310999999999</v>
      </c>
      <c r="E38" s="28">
        <f>IF(OR(-650.0969="",-913.88311="",-650.0969=0,-913.88311=0),"-",-913.88311/-650.0969*100)</f>
        <v>140.57644483460848</v>
      </c>
    </row>
    <row r="39" spans="1:5" ht="14.25" customHeight="1" x14ac:dyDescent="0.25">
      <c r="A39" s="20" t="s">
        <v>238</v>
      </c>
      <c r="B39" s="21" t="s">
        <v>149</v>
      </c>
      <c r="C39" s="28">
        <v>28010.664990000001</v>
      </c>
      <c r="D39" s="28">
        <v>152332.46716999999</v>
      </c>
      <c r="E39" s="28" t="s">
        <v>354</v>
      </c>
    </row>
    <row r="40" spans="1:5" ht="40.5" customHeight="1" x14ac:dyDescent="0.25">
      <c r="A40" s="20" t="s">
        <v>239</v>
      </c>
      <c r="B40" s="21" t="s">
        <v>192</v>
      </c>
      <c r="C40" s="28">
        <v>-820.21415999999999</v>
      </c>
      <c r="D40" s="28">
        <v>-1083.8740299999999</v>
      </c>
      <c r="E40" s="28">
        <f>IF(OR(-820.21416="",-1083.87403="",-820.21416=0,-1083.87403=0),"-",-1083.87403/-820.21416*100)</f>
        <v>132.14524728517245</v>
      </c>
    </row>
    <row r="41" spans="1:5" ht="15" customHeight="1" x14ac:dyDescent="0.25">
      <c r="A41" s="18" t="s">
        <v>240</v>
      </c>
      <c r="B41" s="19" t="s">
        <v>150</v>
      </c>
      <c r="C41" s="26">
        <v>-361240.12137000001</v>
      </c>
      <c r="D41" s="26">
        <v>-440433.54968</v>
      </c>
      <c r="E41" s="26">
        <f>IF(-361240.12137="","-",-440433.54968/-361240.12137*100)</f>
        <v>121.92265576970232</v>
      </c>
    </row>
    <row r="42" spans="1:5" x14ac:dyDescent="0.25">
      <c r="A42" s="20" t="s">
        <v>241</v>
      </c>
      <c r="B42" s="21" t="s">
        <v>23</v>
      </c>
      <c r="C42" s="28">
        <v>8561.6239800000003</v>
      </c>
      <c r="D42" s="28">
        <v>14639.91257</v>
      </c>
      <c r="E42" s="28" t="s">
        <v>99</v>
      </c>
    </row>
    <row r="43" spans="1:5" x14ac:dyDescent="0.25">
      <c r="A43" s="20" t="s">
        <v>242</v>
      </c>
      <c r="B43" s="21" t="s">
        <v>24</v>
      </c>
      <c r="C43" s="28">
        <v>-5690.4391900000001</v>
      </c>
      <c r="D43" s="28">
        <v>-10078.58174</v>
      </c>
      <c r="E43" s="28" t="s">
        <v>198</v>
      </c>
    </row>
    <row r="44" spans="1:5" x14ac:dyDescent="0.25">
      <c r="A44" s="20" t="s">
        <v>243</v>
      </c>
      <c r="B44" s="21" t="s">
        <v>151</v>
      </c>
      <c r="C44" s="28">
        <v>-16877.005789999999</v>
      </c>
      <c r="D44" s="28">
        <v>-17093.736089999999</v>
      </c>
      <c r="E44" s="28">
        <f>IF(OR(-16877.00579="",-17093.73609="",-16877.00579=0,-17093.73609=0),"-",-17093.73609/-16877.00579*100)</f>
        <v>101.2841750645628</v>
      </c>
    </row>
    <row r="45" spans="1:5" x14ac:dyDescent="0.25">
      <c r="A45" s="20" t="s">
        <v>244</v>
      </c>
      <c r="B45" s="21" t="s">
        <v>152</v>
      </c>
      <c r="C45" s="28">
        <v>-92055.163050000003</v>
      </c>
      <c r="D45" s="28">
        <v>-107174.77727000001</v>
      </c>
      <c r="E45" s="28">
        <f>IF(OR(-92055.16305="",-107174.77727="",-92055.16305=0,-107174.77727=0),"-",-107174.77727/-92055.16305*100)</f>
        <v>116.42451517009181</v>
      </c>
    </row>
    <row r="46" spans="1:5" ht="28.5" customHeight="1" x14ac:dyDescent="0.25">
      <c r="A46" s="20" t="s">
        <v>245</v>
      </c>
      <c r="B46" s="21" t="s">
        <v>153</v>
      </c>
      <c r="C46" s="28">
        <v>-49948.975550000003</v>
      </c>
      <c r="D46" s="28">
        <v>-53260.99927</v>
      </c>
      <c r="E46" s="28">
        <f>IF(OR(-49948.97555="",-53260.99927="",-49948.97555=0,-53260.99927=0),"-",-53260.99927/-49948.97555*100)</f>
        <v>106.63081411286322</v>
      </c>
    </row>
    <row r="47" spans="1:5" x14ac:dyDescent="0.25">
      <c r="A47" s="20" t="s">
        <v>246</v>
      </c>
      <c r="B47" s="21" t="s">
        <v>154</v>
      </c>
      <c r="C47" s="28">
        <v>-36052.146999999997</v>
      </c>
      <c r="D47" s="28">
        <v>-79531.303150000007</v>
      </c>
      <c r="E47" s="28" t="s">
        <v>197</v>
      </c>
    </row>
    <row r="48" spans="1:5" x14ac:dyDescent="0.25">
      <c r="A48" s="20" t="s">
        <v>247</v>
      </c>
      <c r="B48" s="21" t="s">
        <v>25</v>
      </c>
      <c r="C48" s="28">
        <v>-23759.769</v>
      </c>
      <c r="D48" s="28">
        <v>-28668.109059999999</v>
      </c>
      <c r="E48" s="28">
        <f>IF(OR(-23759.769="",-28668.10906="",-23759.769=0,-28668.10906=0),"-",-28668.10906/-23759.769*100)</f>
        <v>120.65819772911091</v>
      </c>
    </row>
    <row r="49" spans="1:5" x14ac:dyDescent="0.25">
      <c r="A49" s="20" t="s">
        <v>248</v>
      </c>
      <c r="B49" s="21" t="s">
        <v>26</v>
      </c>
      <c r="C49" s="28">
        <v>-57159.094060000003</v>
      </c>
      <c r="D49" s="28">
        <v>-56648.274010000001</v>
      </c>
      <c r="E49" s="28">
        <f>IF(OR(-57159.09406="",-56648.27401="",-57159.09406=0,-56648.27401=0),"-",-56648.27401/-57159.09406*100)</f>
        <v>99.106318848469172</v>
      </c>
    </row>
    <row r="50" spans="1:5" x14ac:dyDescent="0.25">
      <c r="A50" s="20" t="s">
        <v>249</v>
      </c>
      <c r="B50" s="21" t="s">
        <v>155</v>
      </c>
      <c r="C50" s="28">
        <v>-88259.151710000006</v>
      </c>
      <c r="D50" s="28">
        <v>-102617.68166</v>
      </c>
      <c r="E50" s="28">
        <f>IF(OR(-88259.15171="",-102617.68166="",-88259.15171=0,-102617.68166=0),"-",-102617.68166/-88259.15171*100)</f>
        <v>116.26860180707259</v>
      </c>
    </row>
    <row r="51" spans="1:5" ht="25.5" x14ac:dyDescent="0.25">
      <c r="A51" s="18" t="s">
        <v>250</v>
      </c>
      <c r="B51" s="19" t="s">
        <v>317</v>
      </c>
      <c r="C51" s="26">
        <v>-398814.32082999998</v>
      </c>
      <c r="D51" s="26">
        <v>-406398.1874</v>
      </c>
      <c r="E51" s="26">
        <f>IF(-398814.32083="","-",-406398.1874/-398814.32083*100)</f>
        <v>101.90160337126729</v>
      </c>
    </row>
    <row r="52" spans="1:5" x14ac:dyDescent="0.25">
      <c r="A52" s="20" t="s">
        <v>251</v>
      </c>
      <c r="B52" s="21" t="s">
        <v>156</v>
      </c>
      <c r="C52" s="28">
        <v>-23774.584729999999</v>
      </c>
      <c r="D52" s="28">
        <v>-22003.089319999999</v>
      </c>
      <c r="E52" s="28">
        <f>IF(OR(-23774.58473="",-22003.08932="",-23774.58473=0,-22003.08932=0),"-",-22003.08932/-23774.58473*100)</f>
        <v>92.548785057159648</v>
      </c>
    </row>
    <row r="53" spans="1:5" x14ac:dyDescent="0.25">
      <c r="A53" s="20" t="s">
        <v>252</v>
      </c>
      <c r="B53" s="21" t="s">
        <v>27</v>
      </c>
      <c r="C53" s="28">
        <v>-25077.747210000001</v>
      </c>
      <c r="D53" s="28">
        <v>-33606.632490000004</v>
      </c>
      <c r="E53" s="28">
        <f>IF(OR(-25077.74721="",-33606.63249="",-25077.74721=0,-33606.63249=0),"-",-33606.63249/-25077.74721*100)</f>
        <v>134.00977451674376</v>
      </c>
    </row>
    <row r="54" spans="1:5" x14ac:dyDescent="0.25">
      <c r="A54" s="20" t="s">
        <v>253</v>
      </c>
      <c r="B54" s="21" t="s">
        <v>157</v>
      </c>
      <c r="C54" s="28">
        <v>-30046.667570000001</v>
      </c>
      <c r="D54" s="28">
        <v>-28644.972529999999</v>
      </c>
      <c r="E54" s="28">
        <f>IF(OR(-30046.66757="",-28644.97253="",-30046.66757=0,-28644.97253=0),"-",-28644.97253/-30046.66757*100)</f>
        <v>95.334940100314085</v>
      </c>
    </row>
    <row r="55" spans="1:5" ht="25.5" x14ac:dyDescent="0.25">
      <c r="A55" s="20" t="s">
        <v>254</v>
      </c>
      <c r="B55" s="21" t="s">
        <v>158</v>
      </c>
      <c r="C55" s="28">
        <v>-37956.65148</v>
      </c>
      <c r="D55" s="28">
        <v>-49263.287300000004</v>
      </c>
      <c r="E55" s="28">
        <f>IF(OR(-37956.65148="",-49263.2873="",-37956.65148=0,-49263.2873=0),"-",-49263.2873/-37956.65148*100)</f>
        <v>129.78828579216915</v>
      </c>
    </row>
    <row r="56" spans="1:5" ht="25.5" x14ac:dyDescent="0.25">
      <c r="A56" s="20" t="s">
        <v>255</v>
      </c>
      <c r="B56" s="21" t="s">
        <v>159</v>
      </c>
      <c r="C56" s="28">
        <v>-93180.37487</v>
      </c>
      <c r="D56" s="28">
        <v>-98859.484200000006</v>
      </c>
      <c r="E56" s="28">
        <f>IF(OR(-93180.37487="",-98859.4842="",-93180.37487=0,-98859.4842=0),"-",-98859.4842/-93180.37487*100)</f>
        <v>106.0947483178976</v>
      </c>
    </row>
    <row r="57" spans="1:5" x14ac:dyDescent="0.25">
      <c r="A57" s="20" t="s">
        <v>256</v>
      </c>
      <c r="B57" s="21" t="s">
        <v>28</v>
      </c>
      <c r="C57" s="28">
        <v>-37346.605020000003</v>
      </c>
      <c r="D57" s="28">
        <v>-24496.242279999999</v>
      </c>
      <c r="E57" s="28">
        <f>IF(OR(-37346.60502="",-24496.24228="",-37346.60502=0,-24496.24228=0),"-",-24496.24228/-37346.60502*100)</f>
        <v>65.591617409083568</v>
      </c>
    </row>
    <row r="58" spans="1:5" x14ac:dyDescent="0.25">
      <c r="A58" s="20" t="s">
        <v>257</v>
      </c>
      <c r="B58" s="21" t="s">
        <v>160</v>
      </c>
      <c r="C58" s="28">
        <v>-60024.993569999999</v>
      </c>
      <c r="D58" s="28">
        <v>-76643.198510000002</v>
      </c>
      <c r="E58" s="28">
        <f>IF(OR(-60024.99357="",-76643.19851="",-60024.99357=0,-76643.19851=0),"-",-76643.19851/-60024.99357*100)</f>
        <v>127.68547558546619</v>
      </c>
    </row>
    <row r="59" spans="1:5" x14ac:dyDescent="0.25">
      <c r="A59" s="20" t="s">
        <v>258</v>
      </c>
      <c r="B59" s="21" t="s">
        <v>29</v>
      </c>
      <c r="C59" s="28">
        <v>-29896.560720000001</v>
      </c>
      <c r="D59" s="28">
        <v>-12971.38688</v>
      </c>
      <c r="E59" s="28">
        <f>IF(OR(-29896.56072="",-12971.38688="",-29896.56072=0,-12971.38688=0),"-",-12971.38688/-29896.56072*100)</f>
        <v>43.387555516787216</v>
      </c>
    </row>
    <row r="60" spans="1:5" x14ac:dyDescent="0.25">
      <c r="A60" s="20" t="s">
        <v>259</v>
      </c>
      <c r="B60" s="21" t="s">
        <v>30</v>
      </c>
      <c r="C60" s="28">
        <v>-61510.13566</v>
      </c>
      <c r="D60" s="28">
        <v>-59909.893889999999</v>
      </c>
      <c r="E60" s="28">
        <f>IF(OR(-61510.13566="",-59909.89389="",-61510.13566=0,-59909.89389=0),"-",-59909.89389/-61510.13566*100)</f>
        <v>97.398409623341735</v>
      </c>
    </row>
    <row r="61" spans="1:5" x14ac:dyDescent="0.25">
      <c r="A61" s="18" t="s">
        <v>260</v>
      </c>
      <c r="B61" s="19" t="s">
        <v>161</v>
      </c>
      <c r="C61" s="26">
        <v>-392073.35125000001</v>
      </c>
      <c r="D61" s="26">
        <v>-466586.03317000001</v>
      </c>
      <c r="E61" s="26">
        <f>IF(-392073.35125="","-",-466586.03317/-392073.35125*100)</f>
        <v>119.00478103968052</v>
      </c>
    </row>
    <row r="62" spans="1:5" ht="16.5" customHeight="1" x14ac:dyDescent="0.25">
      <c r="A62" s="20" t="s">
        <v>261</v>
      </c>
      <c r="B62" s="21" t="s">
        <v>162</v>
      </c>
      <c r="C62" s="28">
        <v>-10973.235989999999</v>
      </c>
      <c r="D62" s="28">
        <v>-10346.532740000001</v>
      </c>
      <c r="E62" s="28">
        <f>IF(OR(-10973.23599="",-10346.53274="",-10973.23599=0,-10346.53274=0),"-",-10346.53274/-10973.23599*100)</f>
        <v>94.288801857800948</v>
      </c>
    </row>
    <row r="63" spans="1:5" ht="25.5" x14ac:dyDescent="0.25">
      <c r="A63" s="20" t="s">
        <v>262</v>
      </c>
      <c r="B63" s="21" t="s">
        <v>163</v>
      </c>
      <c r="C63" s="28">
        <v>-68879.069650000005</v>
      </c>
      <c r="D63" s="28">
        <v>-120196.34989</v>
      </c>
      <c r="E63" s="28" t="s">
        <v>99</v>
      </c>
    </row>
    <row r="64" spans="1:5" x14ac:dyDescent="0.25">
      <c r="A64" s="20" t="s">
        <v>263</v>
      </c>
      <c r="B64" s="21" t="s">
        <v>164</v>
      </c>
      <c r="C64" s="28">
        <v>-4419.6858899999997</v>
      </c>
      <c r="D64" s="28">
        <v>-3370.4467199999999</v>
      </c>
      <c r="E64" s="28">
        <f>IF(OR(-4419.68589="",-3370.44672="",-4419.68589=0,-3370.44672=0),"-",-3370.44672/-4419.68589*100)</f>
        <v>76.259870132988112</v>
      </c>
    </row>
    <row r="65" spans="1:5" ht="25.5" x14ac:dyDescent="0.25">
      <c r="A65" s="20" t="s">
        <v>264</v>
      </c>
      <c r="B65" s="21" t="s">
        <v>165</v>
      </c>
      <c r="C65" s="28">
        <v>-85058.709359999993</v>
      </c>
      <c r="D65" s="28">
        <v>-85101.410040000002</v>
      </c>
      <c r="E65" s="28">
        <f>IF(OR(-85058.70936="",-85101.41004="",-85058.70936=0,-85101.41004=0),"-",-85101.41004/-85058.70936*100)</f>
        <v>100.0502014200795</v>
      </c>
    </row>
    <row r="66" spans="1:5" ht="27.75" customHeight="1" x14ac:dyDescent="0.25">
      <c r="A66" s="20" t="s">
        <v>265</v>
      </c>
      <c r="B66" s="21" t="s">
        <v>166</v>
      </c>
      <c r="C66" s="28">
        <v>-31239.360499999999</v>
      </c>
      <c r="D66" s="28">
        <v>-34550.616320000001</v>
      </c>
      <c r="E66" s="28">
        <f>IF(OR(-31239.3605="",-34550.61632="",-31239.3605=0,-34550.61632=0),"-",-34550.61632/-31239.3605*100)</f>
        <v>110.59962741554841</v>
      </c>
    </row>
    <row r="67" spans="1:5" ht="29.25" customHeight="1" x14ac:dyDescent="0.25">
      <c r="A67" s="20" t="s">
        <v>266</v>
      </c>
      <c r="B67" s="21" t="s">
        <v>167</v>
      </c>
      <c r="C67" s="28">
        <v>-70127.452080000003</v>
      </c>
      <c r="D67" s="28">
        <v>-67624.145170000003</v>
      </c>
      <c r="E67" s="28">
        <f>IF(OR(-70127.45208="",-67624.14517="",-70127.45208=0,-67624.14517=0),"-",-67624.14517/-70127.45208*100)</f>
        <v>96.430346696263442</v>
      </c>
    </row>
    <row r="68" spans="1:5" ht="15" customHeight="1" x14ac:dyDescent="0.25">
      <c r="A68" s="20" t="s">
        <v>267</v>
      </c>
      <c r="B68" s="21" t="s">
        <v>168</v>
      </c>
      <c r="C68" s="28">
        <v>27726.54506</v>
      </c>
      <c r="D68" s="28">
        <v>11759.92787</v>
      </c>
      <c r="E68" s="28">
        <f>IF(OR(27726.54506="",11759.92787="",27726.54506=0,11759.92787=0),"-",11759.92787/27726.54506*100)</f>
        <v>42.413967714158467</v>
      </c>
    </row>
    <row r="69" spans="1:5" x14ac:dyDescent="0.25">
      <c r="A69" s="20" t="s">
        <v>268</v>
      </c>
      <c r="B69" s="21" t="s">
        <v>169</v>
      </c>
      <c r="C69" s="28">
        <v>-148562.18585000001</v>
      </c>
      <c r="D69" s="28">
        <v>-154022.06881999999</v>
      </c>
      <c r="E69" s="28">
        <f>IF(OR(-148562.18585="",-154022.06882="",-148562.18585=0,-154022.06882=0),"-",-154022.06882/-148562.18585*100)</f>
        <v>103.67514986317762</v>
      </c>
    </row>
    <row r="70" spans="1:5" x14ac:dyDescent="0.25">
      <c r="A70" s="20" t="s">
        <v>269</v>
      </c>
      <c r="B70" s="21" t="s">
        <v>31</v>
      </c>
      <c r="C70" s="28">
        <v>-540.19699000000003</v>
      </c>
      <c r="D70" s="28">
        <v>-3134.3913400000001</v>
      </c>
      <c r="E70" s="28" t="s">
        <v>364</v>
      </c>
    </row>
    <row r="71" spans="1:5" x14ac:dyDescent="0.25">
      <c r="A71" s="18" t="s">
        <v>270</v>
      </c>
      <c r="B71" s="19" t="s">
        <v>32</v>
      </c>
      <c r="C71" s="26">
        <v>-71928.84736</v>
      </c>
      <c r="D71" s="26">
        <v>-50434.519220000002</v>
      </c>
      <c r="E71" s="26">
        <f>IF(-71928.84736="","-",-50434.51922/-71928.84736*100)</f>
        <v>70.117235394553106</v>
      </c>
    </row>
    <row r="72" spans="1:5" ht="25.5" x14ac:dyDescent="0.25">
      <c r="A72" s="20" t="s">
        <v>271</v>
      </c>
      <c r="B72" s="21" t="s">
        <v>195</v>
      </c>
      <c r="C72" s="28">
        <v>-15969.903039999999</v>
      </c>
      <c r="D72" s="28">
        <v>-17764.234690000001</v>
      </c>
      <c r="E72" s="28">
        <f>IF(OR(-15969.90304="",-17764.23469="",-15969.90304=0,-17764.23469=0),"-",-17764.23469/-15969.90304*100)</f>
        <v>111.23570785311418</v>
      </c>
    </row>
    <row r="73" spans="1:5" x14ac:dyDescent="0.25">
      <c r="A73" s="20" t="s">
        <v>272</v>
      </c>
      <c r="B73" s="21" t="s">
        <v>170</v>
      </c>
      <c r="C73" s="28">
        <v>40310.186130000002</v>
      </c>
      <c r="D73" s="28">
        <v>33391.535929999998</v>
      </c>
      <c r="E73" s="28">
        <f>IF(OR(40310.18613="",33391.53593="",40310.18613=0,33391.53593=0),"-",33391.53593/40310.18613*100)</f>
        <v>82.836471710432164</v>
      </c>
    </row>
    <row r="74" spans="1:5" x14ac:dyDescent="0.25">
      <c r="A74" s="20" t="s">
        <v>273</v>
      </c>
      <c r="B74" s="21" t="s">
        <v>171</v>
      </c>
      <c r="C74" s="28">
        <v>1791.56954</v>
      </c>
      <c r="D74" s="28">
        <v>-147.51140000000001</v>
      </c>
      <c r="E74" s="28" t="s">
        <v>20</v>
      </c>
    </row>
    <row r="75" spans="1:5" x14ac:dyDescent="0.25">
      <c r="A75" s="20" t="s">
        <v>274</v>
      </c>
      <c r="B75" s="21" t="s">
        <v>172</v>
      </c>
      <c r="C75" s="28">
        <v>32533.16401</v>
      </c>
      <c r="D75" s="28">
        <v>43909.150609999997</v>
      </c>
      <c r="E75" s="28">
        <f>IF(OR(32533.16401="",43909.15061="",32533.16401=0,43909.15061=0),"-",43909.15061/32533.16401*100)</f>
        <v>134.96735391769229</v>
      </c>
    </row>
    <row r="76" spans="1:5" x14ac:dyDescent="0.25">
      <c r="A76" s="20" t="s">
        <v>275</v>
      </c>
      <c r="B76" s="21" t="s">
        <v>173</v>
      </c>
      <c r="C76" s="28">
        <v>-6533.7799400000004</v>
      </c>
      <c r="D76" s="28">
        <v>-7576.4768800000002</v>
      </c>
      <c r="E76" s="28">
        <f>IF(OR(-6533.77994="",-7576.47688="",-6533.77994=0,-7576.47688=0),"-",-7576.47688/-6533.77994*100)</f>
        <v>115.95855614323001</v>
      </c>
    </row>
    <row r="77" spans="1:5" ht="25.5" x14ac:dyDescent="0.25">
      <c r="A77" s="20" t="s">
        <v>276</v>
      </c>
      <c r="B77" s="21" t="s">
        <v>196</v>
      </c>
      <c r="C77" s="28">
        <v>-29408.933209999999</v>
      </c>
      <c r="D77" s="28">
        <v>-18406.36303</v>
      </c>
      <c r="E77" s="28">
        <f>IF(OR(-29408.93321="",-18406.36303="",-29408.93321=0,-18406.36303=0),"-",-18406.36303/-29408.93321*100)</f>
        <v>62.587659669821804</v>
      </c>
    </row>
    <row r="78" spans="1:5" ht="25.5" x14ac:dyDescent="0.25">
      <c r="A78" s="20" t="s">
        <v>277</v>
      </c>
      <c r="B78" s="21" t="s">
        <v>174</v>
      </c>
      <c r="C78" s="28">
        <v>-6711.8177100000003</v>
      </c>
      <c r="D78" s="28">
        <v>-3659.2645400000001</v>
      </c>
      <c r="E78" s="28">
        <f>IF(OR(-6711.81771="",-3659.26454="",-6711.81771=0,-3659.26454=0),"-",-3659.26454/-6711.81771*100)</f>
        <v>54.519724731916178</v>
      </c>
    </row>
    <row r="79" spans="1:5" x14ac:dyDescent="0.25">
      <c r="A79" s="20" t="s">
        <v>278</v>
      </c>
      <c r="B79" s="21" t="s">
        <v>33</v>
      </c>
      <c r="C79" s="28">
        <v>-87939.333140000002</v>
      </c>
      <c r="D79" s="28">
        <v>-80181.355219999998</v>
      </c>
      <c r="E79" s="28">
        <f>IF(OR(-87939.33314="",-80181.35522="",-87939.33314=0,-80181.35522=0),"-",-80181.35522/-87939.33314*100)</f>
        <v>91.178034170842238</v>
      </c>
    </row>
    <row r="80" spans="1:5" x14ac:dyDescent="0.25">
      <c r="A80" s="58" t="s">
        <v>281</v>
      </c>
      <c r="B80" s="59" t="s">
        <v>175</v>
      </c>
      <c r="C80" s="43">
        <v>-79.454049999999995</v>
      </c>
      <c r="D80" s="26">
        <v>-10067.894399999999</v>
      </c>
      <c r="E80" s="26" t="s">
        <v>410</v>
      </c>
    </row>
    <row r="81" spans="1:5" ht="25.5" x14ac:dyDescent="0.25">
      <c r="A81" s="20" t="s">
        <v>338</v>
      </c>
      <c r="B81" s="21" t="s">
        <v>339</v>
      </c>
      <c r="C81" s="129" t="s">
        <v>285</v>
      </c>
      <c r="D81" s="28">
        <v>-333.24464999999998</v>
      </c>
      <c r="E81" s="28" t="str">
        <f>IF(OR(0="",-333.24465="",0=0,-333.24465=0),"-",-333.24465/0*100)</f>
        <v>-</v>
      </c>
    </row>
    <row r="82" spans="1:5" x14ac:dyDescent="0.25">
      <c r="A82" s="20" t="s">
        <v>328</v>
      </c>
      <c r="B82" s="21" t="s">
        <v>329</v>
      </c>
      <c r="C82" s="86">
        <v>-1.39899</v>
      </c>
      <c r="D82" s="28">
        <v>573.87936000000002</v>
      </c>
      <c r="E82" s="28" t="s">
        <v>20</v>
      </c>
    </row>
    <row r="83" spans="1:5" x14ac:dyDescent="0.25">
      <c r="A83" s="69" t="s">
        <v>330</v>
      </c>
      <c r="B83" s="70" t="s">
        <v>337</v>
      </c>
      <c r="C83" s="130">
        <v>-78.055059999999997</v>
      </c>
      <c r="D83" s="29">
        <v>-10308.529109999999</v>
      </c>
      <c r="E83" s="29" t="s">
        <v>411</v>
      </c>
    </row>
    <row r="84" spans="1:5" x14ac:dyDescent="0.25">
      <c r="A84" s="47" t="s">
        <v>284</v>
      </c>
      <c r="B84" s="48"/>
    </row>
    <row r="85" spans="1:5" x14ac:dyDescent="0.25">
      <c r="C85" s="28"/>
      <c r="D85" s="28"/>
      <c r="E85" s="57"/>
    </row>
    <row r="86" spans="1:5" x14ac:dyDescent="0.25">
      <c r="C86" s="28"/>
      <c r="D86" s="28"/>
      <c r="E86" s="57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2022-07-14T07:00:33Z</cp:lastPrinted>
  <dcterms:created xsi:type="dcterms:W3CDTF">2016-09-01T07:59:47Z</dcterms:created>
  <dcterms:modified xsi:type="dcterms:W3CDTF">2022-07-14T07:01:11Z</dcterms:modified>
</cp:coreProperties>
</file>