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ina Cebotari\Desktop\comert\"/>
    </mc:Choice>
  </mc:AlternateContent>
  <xr:revisionPtr revIDLastSave="0" documentId="13_ncr:1_{528775C6-302E-49D2-82B9-0AE7E4F50801}" xr6:coauthVersionLast="47" xr6:coauthVersionMax="47" xr10:uidLastSave="{00000000-0000-0000-0000-000000000000}"/>
  <bookViews>
    <workbookView xWindow="-120" yWindow="-120" windowWidth="20730" windowHeight="11040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6" l="1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AG26" i="8" l="1"/>
  <c r="G45" i="5" l="1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AG25" i="2" l="1"/>
  <c r="AF26" i="8" l="1"/>
  <c r="AE26" i="8"/>
  <c r="AF25" i="2" l="1"/>
  <c r="AE25" i="2"/>
  <c r="AD26" i="8" l="1"/>
  <c r="AC26" i="8"/>
  <c r="AB26" i="8"/>
  <c r="AA26" i="8"/>
  <c r="Z26" i="8"/>
  <c r="X26" i="8"/>
  <c r="AA25" i="2"/>
  <c r="Y26" i="8" l="1"/>
  <c r="W26" i="8"/>
  <c r="V26" i="8"/>
  <c r="U26" i="8"/>
  <c r="T26" i="8"/>
  <c r="S26" i="8"/>
  <c r="R26" i="8"/>
  <c r="Q26" i="8"/>
  <c r="P26" i="8"/>
  <c r="O26" i="8"/>
  <c r="N26" i="8"/>
  <c r="AD25" i="2" l="1"/>
  <c r="AC25" i="2"/>
  <c r="AB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H25" i="2" l="1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<sst xmlns="http://schemas.openxmlformats.org/spreadsheetml/2006/main" count="294" uniqueCount="118">
  <si>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</si>
  <si>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</si>
  <si>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</si>
  <si>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</si>
  <si>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</si>
  <si>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</si>
  <si>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</si>
  <si>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</si>
  <si>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</si>
  <si>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</si>
  <si>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</si>
  <si>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</si>
  <si>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</si>
  <si>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</si>
  <si>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</si>
  <si>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</si>
  <si>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</si>
  <si>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</si>
  <si>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>VII</t>
  </si>
  <si>
    <t>IX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</si>
  <si>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</si>
  <si>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</si>
  <si>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</si>
  <si>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</si>
  <si>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</si>
  <si>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</si>
  <si>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</si>
  <si>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</si>
  <si>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</si>
  <si>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</si>
  <si>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</si>
  <si>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</si>
  <si>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</si>
  <si>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</si>
  <si>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</si>
  <si>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</si>
  <si>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</si>
  <si>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</si>
  <si>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</si>
  <si>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</si>
  <si>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</si>
  <si>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</si>
  <si>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</si>
  <si>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</si>
  <si>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</si>
  <si>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</si>
  <si>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</si>
  <si>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</si>
  <si>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</si>
  <si>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</si>
  <si>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</si>
  <si>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</si>
  <si>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</si>
  <si>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</si>
  <si>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</si>
  <si>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</si>
  <si>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</si>
  <si>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</si>
  <si>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</si>
  <si>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</si>
  <si>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</si>
  <si>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</si>
  <si>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</si>
  <si>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</si>
  <si>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</si>
  <si>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Coreea de Sud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</si>
  <si>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</si>
  <si>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</si>
  <si>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</si>
  <si>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</si>
  <si>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</si>
  <si>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</si>
  <si>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</si>
  <si>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</si>
  <si>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</si>
  <si>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</si>
  <si>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t>India</t>
  </si>
  <si>
    <t>Gaz şi produse industriale obţinute din gaz</t>
  </si>
  <si>
    <t xml:space="preserve">Maşini şi aparate specializate </t>
  </si>
  <si>
    <t xml:space="preserve">Vehicule rutiere </t>
  </si>
  <si>
    <t>Liban</t>
  </si>
  <si>
    <t xml:space="preserve">Maşini şi aparate industriale </t>
  </si>
  <si>
    <t>Portugalia</t>
  </si>
  <si>
    <t>Netherlands</t>
  </si>
  <si>
    <t>Vehicule rutiere</t>
  </si>
  <si>
    <t>Fier şi oţel</t>
  </si>
  <si>
    <t>Iran</t>
  </si>
  <si>
    <t>Japonia</t>
  </si>
  <si>
    <t>Articole prelucrate din metal</t>
  </si>
  <si>
    <t>Belgia</t>
  </si>
  <si>
    <t>Slovacia</t>
  </si>
  <si>
    <t>Articole din minerale nemetalice</t>
  </si>
  <si>
    <t>Regatul Unit</t>
  </si>
  <si>
    <t>Ianuarie-august 2022</t>
  </si>
  <si>
    <t>Ianuarie-august 2021</t>
  </si>
  <si>
    <t>Ianuarie-august 2020</t>
  </si>
  <si>
    <t>Ianuarie-august 2019</t>
  </si>
  <si>
    <t>Ianuarie-august 2018</t>
  </si>
  <si>
    <t>Ianuarie-august 2017</t>
  </si>
  <si>
    <t xml:space="preserve">Petrol, produse petroliere </t>
  </si>
  <si>
    <t xml:space="preserve">Fire, tesături, articole textile </t>
  </si>
  <si>
    <t>Ianuarie - august 2021</t>
  </si>
  <si>
    <t>Ianuarie - august 2022</t>
  </si>
  <si>
    <t>Petrol, produse petroliere</t>
  </si>
  <si>
    <r>
      <rPr>
        <b/>
        <sz val="9"/>
        <color rgb="FF000000"/>
        <rFont val="Arial"/>
        <family val="2"/>
      </rPr>
      <t>Figura 14.</t>
    </r>
    <r>
      <rPr>
        <b/>
        <i/>
        <sz val="9"/>
        <color indexed="8"/>
        <rFont val="Arial"/>
        <family val="2"/>
      </rPr>
      <t xml:space="preserve"> Tendinţele comerţului internaţional cu mărfuri, în ianuarie - august 2017-2022 (milioane dolari SUA)</t>
    </r>
  </si>
  <si>
    <r>
      <t xml:space="preserve">Figura 13. </t>
    </r>
    <r>
      <rPr>
        <b/>
        <i/>
        <sz val="9"/>
        <color indexed="8"/>
        <rFont val="Arial"/>
        <family val="2"/>
      </rPr>
      <t>Evoluţia lunară a balanţei comerciale, în anii 2017-2022 (milioane dolari SUA)</t>
    </r>
  </si>
  <si>
    <r>
      <t xml:space="preserve">Figura 12. </t>
    </r>
    <r>
      <rPr>
        <b/>
        <i/>
        <sz val="9"/>
        <color theme="1"/>
        <rFont val="Arial"/>
        <family val="2"/>
      </rPr>
      <t>Structura importurilor, pe grupe de mărfuri (%)</t>
    </r>
  </si>
  <si>
    <r>
      <t xml:space="preserve">Figura 11. </t>
    </r>
    <r>
      <rPr>
        <b/>
        <i/>
        <sz val="9"/>
        <color rgb="FF000000"/>
        <rFont val="Arial"/>
        <family val="2"/>
      </rPr>
      <t>Structura importurilor, în ianuarie - august 2017-2022, pe principalele ţări de origine a mărfurilor (%)</t>
    </r>
  </si>
  <si>
    <r>
      <t xml:space="preserve">    Figura 10. </t>
    </r>
    <r>
      <rPr>
        <b/>
        <i/>
        <sz val="9"/>
        <color theme="1"/>
        <rFont val="Arial"/>
        <family val="2"/>
      </rPr>
      <t>Structura importurilor de mărfuri, în ianuarie - august 2017-2022, pe grupe de ţări (%)</t>
    </r>
  </si>
  <si>
    <r>
      <t xml:space="preserve">Figura 9. </t>
    </r>
    <r>
      <rPr>
        <b/>
        <i/>
        <sz val="9"/>
        <color rgb="FF000000"/>
        <rFont val="Arial"/>
        <family val="2"/>
      </rPr>
      <t>Structura importurilor de mărfuri, în ianuarie - august 2017-2022, după modul de transport (%)</t>
    </r>
  </si>
  <si>
    <r>
      <t xml:space="preserve">Figura 8. </t>
    </r>
    <r>
      <rPr>
        <b/>
        <i/>
        <sz val="9"/>
        <color indexed="8"/>
        <rFont val="Arial"/>
        <family val="2"/>
      </rPr>
      <t>Evoluţia lunară a indicilor valorici ai importurilor de mărfuri, în anii 2020-2022 (%)</t>
    </r>
  </si>
  <si>
    <r>
      <rPr>
        <b/>
        <sz val="9"/>
        <color indexed="8"/>
        <rFont val="Arial"/>
        <family val="2"/>
      </rPr>
      <t>Figura 7.</t>
    </r>
    <r>
      <rPr>
        <b/>
        <i/>
        <sz val="9"/>
        <color indexed="8"/>
        <rFont val="Arial"/>
        <family val="2"/>
      </rPr>
      <t xml:space="preserve"> Evoluţia lunară a importurilor de mărfuri, în anii 2017-2022 (milioane dolari SUA)</t>
    </r>
  </si>
  <si>
    <r>
      <rPr>
        <b/>
        <sz val="9"/>
        <color theme="1"/>
        <rFont val="Arial"/>
        <family val="2"/>
      </rPr>
      <t xml:space="preserve">Figura 6. </t>
    </r>
    <r>
      <rPr>
        <b/>
        <i/>
        <sz val="9"/>
        <color theme="1"/>
        <rFont val="Arial"/>
        <family val="2"/>
      </rPr>
      <t>Structura exporturilor, pe grupe de mărfuri (%)</t>
    </r>
  </si>
  <si>
    <r>
      <rPr>
        <b/>
        <sz val="9"/>
        <color rgb="FF000000"/>
        <rFont val="Arial"/>
        <family val="2"/>
      </rPr>
      <t>Figura 5.</t>
    </r>
    <r>
      <rPr>
        <b/>
        <i/>
        <sz val="9"/>
        <color indexed="8"/>
        <rFont val="Arial"/>
        <family val="2"/>
      </rPr>
      <t xml:space="preserve"> Structura exporturilor, în ianuarie - august 2017-2022, pe principalele ţări de destinaţie a mărfurilor (%)</t>
    </r>
  </si>
  <si>
    <r>
      <rPr>
        <b/>
        <sz val="9"/>
        <color rgb="FF000000"/>
        <rFont val="Arial"/>
        <family val="2"/>
      </rPr>
      <t>Figura 4.</t>
    </r>
    <r>
      <rPr>
        <b/>
        <i/>
        <sz val="9"/>
        <color indexed="8"/>
        <rFont val="Arial"/>
        <family val="2"/>
      </rPr>
      <t xml:space="preserve"> Structura exporturilor de mărfuri, în ianuarie - august 2017-2022, pe grupe de ţări (%)</t>
    </r>
  </si>
  <si>
    <r>
      <rPr>
        <b/>
        <sz val="9"/>
        <color rgb="FF000000"/>
        <rFont val="Arial"/>
        <family val="2"/>
      </rPr>
      <t>Figura 3.</t>
    </r>
    <r>
      <rPr>
        <b/>
        <i/>
        <sz val="9"/>
        <color indexed="8"/>
        <rFont val="Arial"/>
        <family val="2"/>
      </rPr>
      <t xml:space="preserve"> Structura exporturilor de mărfuri, în ianuarie - august 2017-2022, după modul de transport (%)</t>
    </r>
  </si>
  <si>
    <r>
      <t xml:space="preserve">Figura 2. </t>
    </r>
    <r>
      <rPr>
        <b/>
        <i/>
        <sz val="9"/>
        <color indexed="8"/>
        <rFont val="Arial"/>
        <family val="2"/>
      </rPr>
      <t>Evoluţia lunară a indicilor valorici ai exporturilor de mărfuri, în anii 2020-2022 (%)</t>
    </r>
  </si>
  <si>
    <r>
      <t xml:space="preserve">Figura 1. </t>
    </r>
    <r>
      <rPr>
        <b/>
        <i/>
        <sz val="9"/>
        <color theme="1"/>
        <rFont val="Arial"/>
        <family val="2"/>
      </rPr>
      <t>Evoluţia lunară a exporturilor de mărfuri,  în anii 2017-2022 (milioane dolari SUA)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</si>
</sst>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5" fontId="14" fillId="0" borderId="0" xfId="1" applyNumberFormat="1" applyFont="1" applyFill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164" fontId="12" fillId="0" borderId="0" xfId="0" applyNumberFormat="1" applyFont="1" applyFill="1" applyBorder="1" applyAlignment="1" applyProtection="1">
      <alignment horizontal="center" vertical="top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17" fillId="0" borderId="0" xfId="0" applyNumberFormat="1" applyFont="1" applyFill="1" applyAlignment="1" applyProtection="1">
      <alignment horizontal="center" vertical="top"/>
    </xf>
    <xf numFmtId="166" fontId="17" fillId="0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8" fillId="0" borderId="0" xfId="0" applyNumberFormat="1" applyFont="1" applyFill="1" applyAlignment="1" applyProtection="1">
      <alignment horizontal="center" vertical="center"/>
    </xf>
    <xf numFmtId="166" fontId="18" fillId="0" borderId="0" xfId="0" applyNumberFormat="1" applyFont="1" applyFill="1" applyAlignment="1" applyProtection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 wrapText="1"/>
    </xf>
    <xf numFmtId="165" fontId="2" fillId="0" borderId="8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left" inden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top"/>
    </xf>
    <xf numFmtId="38" fontId="4" fillId="0" borderId="4" xfId="0" applyNumberFormat="1" applyFont="1" applyBorder="1" applyAlignment="1">
      <alignment horizontal="left" vertical="top" wrapText="1" indent="1"/>
    </xf>
    <xf numFmtId="38" fontId="4" fillId="0" borderId="5" xfId="0" applyNumberFormat="1" applyFont="1" applyBorder="1" applyAlignment="1">
      <alignment horizontal="left" vertical="top" wrapText="1" indent="1"/>
    </xf>
    <xf numFmtId="38" fontId="4" fillId="0" borderId="6" xfId="0" applyNumberFormat="1" applyFont="1" applyBorder="1" applyAlignment="1">
      <alignment horizontal="left" vertical="top" wrapText="1" indent="1"/>
    </xf>
    <xf numFmtId="38" fontId="4" fillId="0" borderId="0" xfId="0" applyNumberFormat="1" applyFont="1" applyFill="1" applyBorder="1" applyAlignment="1" applyProtection="1">
      <alignment horizontal="left" vertical="top" wrapText="1" indent="1"/>
    </xf>
    <xf numFmtId="0" fontId="5" fillId="0" borderId="14" xfId="0" applyFont="1" applyBorder="1" applyAlignment="1">
      <alignment horizontal="left" vertical="top" indent="1"/>
    </xf>
    <xf numFmtId="38" fontId="4" fillId="0" borderId="2" xfId="0" applyNumberFormat="1" applyFont="1" applyBorder="1" applyAlignment="1">
      <alignment horizontal="left" vertical="top" wrapText="1" indent="1"/>
    </xf>
    <xf numFmtId="38" fontId="4" fillId="0" borderId="0" xfId="0" applyNumberFormat="1" applyFont="1" applyBorder="1" applyAlignment="1">
      <alignment horizontal="left" vertical="top" wrapText="1" indent="1"/>
    </xf>
    <xf numFmtId="38" fontId="4" fillId="0" borderId="3" xfId="0" applyNumberFormat="1" applyFont="1" applyBorder="1" applyAlignment="1">
      <alignment horizontal="left" vertical="top" wrapText="1" indent="1"/>
    </xf>
    <xf numFmtId="38" fontId="6" fillId="0" borderId="2" xfId="0" applyNumberFormat="1" applyFont="1" applyBorder="1" applyAlignment="1">
      <alignment horizontal="left" wrapText="1" indent="1"/>
    </xf>
    <xf numFmtId="38" fontId="6" fillId="0" borderId="0" xfId="0" applyNumberFormat="1" applyFont="1" applyBorder="1" applyAlignment="1">
      <alignment horizontal="left" wrapText="1" indent="1"/>
    </xf>
    <xf numFmtId="38" fontId="6" fillId="0" borderId="3" xfId="0" applyNumberFormat="1" applyFont="1" applyBorder="1" applyAlignment="1">
      <alignment horizontal="left" wrapText="1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1'!$B$21:$B$26</c:f>
              <c:numCache>
                <c:formatCode>#,##0.0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1'!$C$21:$C$26</c:f>
              <c:numCache>
                <c:formatCode>#,##0.0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1'!$D$21:$D$26</c:f>
              <c:numCache>
                <c:formatCode>#,##0.0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  <c:pt idx="5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1'!$E$21:$E$26</c:f>
              <c:numCache>
                <c:formatCode>#,##0.0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  <c:pt idx="5">
                  <c:v>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1'!$F$21:$F$26</c:f>
              <c:numCache>
                <c:formatCode>#,##0.0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  <c:pt idx="5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1'!$G$21:$G$26</c:f>
              <c:numCache>
                <c:formatCode>#,##0.0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  <c:pt idx="5">
                  <c:v>416.4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1'!$H$21:$H$26</c:f>
              <c:numCache>
                <c:formatCode>#,##0.0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  <c:pt idx="5">
                  <c:v>338.3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1'!$I$21:$I$26</c:f>
              <c:numCache>
                <c:formatCode>#,##0.0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236.3</c:v>
                </c:pt>
                <c:pt idx="5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1'!$J$21:$J$26</c:f>
              <c:numCache>
                <c:formatCode>#,##0.0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1'!$K$21:$K$26</c:f>
              <c:numCache>
                <c:formatCode>#,##0.0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1'!$L$21:$L$26</c:f>
              <c:numCache>
                <c:formatCode>#,##0.0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1'!$M$21:$M$26</c:f>
              <c:numCache>
                <c:formatCode>#,##0.0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834544"/>
        <c:axId val="244835104"/>
      </c:barChart>
      <c:catAx>
        <c:axId val="244834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5104"/>
        <c:crosses val="autoZero"/>
        <c:auto val="0"/>
        <c:lblAlgn val="ctr"/>
        <c:lblOffset val="100"/>
        <c:tickLblSkip val="1"/>
        <c:noMultiLvlLbl val="0"/>
      </c:catAx>
      <c:valAx>
        <c:axId val="244835104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45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06153891338065"/>
          <c:y val="3.3573141486810551E-2"/>
          <c:w val="0.77439838208599854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Ianuarie-august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0.0</c:formatCode>
                <c:ptCount val="7"/>
                <c:pt idx="0">
                  <c:v>7.4</c:v>
                </c:pt>
                <c:pt idx="1">
                  <c:v>4.8</c:v>
                </c:pt>
                <c:pt idx="2">
                  <c:v>76.8</c:v>
                </c:pt>
                <c:pt idx="3">
                  <c:v>1.6</c:v>
                </c:pt>
                <c:pt idx="4">
                  <c:v>0.1</c:v>
                </c:pt>
                <c:pt idx="5">
                  <c:v>8.6999999999999993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Ianuarie-august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0.0</c:formatCode>
                <c:ptCount val="7"/>
                <c:pt idx="0">
                  <c:v>2.8</c:v>
                </c:pt>
                <c:pt idx="1">
                  <c:v>4.8</c:v>
                </c:pt>
                <c:pt idx="2">
                  <c:v>85.9</c:v>
                </c:pt>
                <c:pt idx="3">
                  <c:v>2.4</c:v>
                </c:pt>
                <c:pt idx="4">
                  <c:v>0.2</c:v>
                </c:pt>
                <c:pt idx="5">
                  <c:v>3.3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Ianuarie-august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0.0</c:formatCode>
                <c:ptCount val="7"/>
                <c:pt idx="0">
                  <c:v>1.6</c:v>
                </c:pt>
                <c:pt idx="1">
                  <c:v>5.3</c:v>
                </c:pt>
                <c:pt idx="2">
                  <c:v>86.4</c:v>
                </c:pt>
                <c:pt idx="3">
                  <c:v>2.2999999999999998</c:v>
                </c:pt>
                <c:pt idx="4">
                  <c:v>0.3</c:v>
                </c:pt>
                <c:pt idx="5">
                  <c:v>3.6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Ianuarie-august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0.0</c:formatCode>
                <c:ptCount val="7"/>
                <c:pt idx="0">
                  <c:v>2.1</c:v>
                </c:pt>
                <c:pt idx="1">
                  <c:v>4.8</c:v>
                </c:pt>
                <c:pt idx="2">
                  <c:v>84.7</c:v>
                </c:pt>
                <c:pt idx="3">
                  <c:v>2.7</c:v>
                </c:pt>
                <c:pt idx="4">
                  <c:v>0.2</c:v>
                </c:pt>
                <c:pt idx="5">
                  <c:v>4.8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Ianuarie-august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0.0</c:formatCode>
                <c:ptCount val="7"/>
                <c:pt idx="0">
                  <c:v>3</c:v>
                </c:pt>
                <c:pt idx="1">
                  <c:v>5.6</c:v>
                </c:pt>
                <c:pt idx="2">
                  <c:v>83.4</c:v>
                </c:pt>
                <c:pt idx="3">
                  <c:v>2.6</c:v>
                </c:pt>
                <c:pt idx="4">
                  <c:v>0.3</c:v>
                </c:pt>
                <c:pt idx="5">
                  <c:v>4.5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Ianuarie-august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0.0</c:formatCode>
                <c:ptCount val="7"/>
                <c:pt idx="0">
                  <c:v>2.6</c:v>
                </c:pt>
                <c:pt idx="1">
                  <c:v>5.7</c:v>
                </c:pt>
                <c:pt idx="2">
                  <c:v>83.5</c:v>
                </c:pt>
                <c:pt idx="3">
                  <c:v>2.6</c:v>
                </c:pt>
                <c:pt idx="4">
                  <c:v>0.3</c:v>
                </c:pt>
                <c:pt idx="5">
                  <c:v>4.7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075968"/>
        <c:axId val="248076528"/>
      </c:barChart>
      <c:catAx>
        <c:axId val="2480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6528"/>
        <c:crossesAt val="0"/>
        <c:auto val="1"/>
        <c:lblAlgn val="ctr"/>
        <c:lblOffset val="100"/>
        <c:noMultiLvlLbl val="0"/>
      </c:catAx>
      <c:valAx>
        <c:axId val="248076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596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070598083577782"/>
          <c:y val="0.89800059802651255"/>
          <c:w val="0.82873572826529407"/>
          <c:h val="0.10038107578324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10'!$B$23:$G$23</c:f>
              <c:numCache>
                <c:formatCode>0.0</c:formatCode>
                <c:ptCount val="6"/>
                <c:pt idx="0">
                  <c:v>48.5</c:v>
                </c:pt>
                <c:pt idx="1">
                  <c:v>49.5</c:v>
                </c:pt>
                <c:pt idx="2">
                  <c:v>49</c:v>
                </c:pt>
                <c:pt idx="3">
                  <c:v>45.8</c:v>
                </c:pt>
                <c:pt idx="4">
                  <c:v>46.5</c:v>
                </c:pt>
                <c:pt idx="5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10'!$B$24:$G$24</c:f>
              <c:numCache>
                <c:formatCode>0.0</c:formatCode>
                <c:ptCount val="6"/>
                <c:pt idx="0">
                  <c:v>24.7</c:v>
                </c:pt>
                <c:pt idx="1">
                  <c:v>24</c:v>
                </c:pt>
                <c:pt idx="2">
                  <c:v>24.4</c:v>
                </c:pt>
                <c:pt idx="3">
                  <c:v>25.3</c:v>
                </c:pt>
                <c:pt idx="4">
                  <c:v>23.9</c:v>
                </c:pt>
                <c:pt idx="5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10'!$B$25:$G$25</c:f>
              <c:numCache>
                <c:formatCode>0.0</c:formatCode>
                <c:ptCount val="6"/>
                <c:pt idx="0">
                  <c:v>26.8</c:v>
                </c:pt>
                <c:pt idx="1">
                  <c:v>26.5</c:v>
                </c:pt>
                <c:pt idx="2">
                  <c:v>26.6</c:v>
                </c:pt>
                <c:pt idx="3">
                  <c:v>28.9</c:v>
                </c:pt>
                <c:pt idx="4">
                  <c:v>29.6</c:v>
                </c:pt>
                <c:pt idx="5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52080"/>
        <c:axId val="248552640"/>
      </c:barChart>
      <c:catAx>
        <c:axId val="2485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640"/>
        <c:crosses val="autoZero"/>
        <c:auto val="0"/>
        <c:lblAlgn val="ctr"/>
        <c:lblOffset val="100"/>
        <c:noMultiLvlLbl val="0"/>
      </c:catAx>
      <c:valAx>
        <c:axId val="248552640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08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88875314479330003"/>
          <c:w val="0.93105796047794498"/>
          <c:h val="8.1371100132598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1.6874330448623957E-2"/>
          <c:w val="0.91068898658274244"/>
          <c:h val="0.69062790228144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Ianuarie-august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Spania</c:v>
                </c:pt>
                <c:pt idx="15">
                  <c:v>Belarus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11'!$B$25:$B$48</c:f>
              <c:numCache>
                <c:formatCode>#,##0.0</c:formatCode>
                <c:ptCount val="24"/>
                <c:pt idx="0">
                  <c:v>16.78881397176611</c:v>
                </c:pt>
                <c:pt idx="1">
                  <c:v>13.577028633660703</c:v>
                </c:pt>
                <c:pt idx="2">
                  <c:v>10.130007101359292</c:v>
                </c:pt>
                <c:pt idx="3">
                  <c:v>9.7270213091469824</c:v>
                </c:pt>
                <c:pt idx="4">
                  <c:v>6.9339129647106619</c:v>
                </c:pt>
                <c:pt idx="5">
                  <c:v>6.5280312709426971</c:v>
                </c:pt>
                <c:pt idx="6">
                  <c:v>5.0622767720456761</c:v>
                </c:pt>
                <c:pt idx="7">
                  <c:v>3.3358488728827962</c:v>
                </c:pt>
                <c:pt idx="8">
                  <c:v>2.9326475359971016</c:v>
                </c:pt>
                <c:pt idx="9">
                  <c:v>2.1748674510541224</c:v>
                </c:pt>
                <c:pt idx="10">
                  <c:v>2.0358753593020427</c:v>
                </c:pt>
                <c:pt idx="11">
                  <c:v>1.5381808485679433</c:v>
                </c:pt>
                <c:pt idx="12">
                  <c:v>1.4909632561546748</c:v>
                </c:pt>
                <c:pt idx="13">
                  <c:v>1.476669998882709</c:v>
                </c:pt>
                <c:pt idx="14">
                  <c:v>1.2073069880655418</c:v>
                </c:pt>
                <c:pt idx="15">
                  <c:v>1.1823791573791116</c:v>
                </c:pt>
                <c:pt idx="16">
                  <c:v>1.002420768083969</c:v>
                </c:pt>
                <c:pt idx="17">
                  <c:v>0.93330552389083909</c:v>
                </c:pt>
                <c:pt idx="18">
                  <c:v>0.80509029851496094</c:v>
                </c:pt>
                <c:pt idx="19">
                  <c:v>0.7836191411846487</c:v>
                </c:pt>
                <c:pt idx="20">
                  <c:v>0.75091941406324136</c:v>
                </c:pt>
                <c:pt idx="21">
                  <c:v>0.68020679557038854</c:v>
                </c:pt>
                <c:pt idx="22">
                  <c:v>0.58931039107065808</c:v>
                </c:pt>
                <c:pt idx="23">
                  <c:v>0.58546734120536337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Ianuarie-august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Spania</c:v>
                </c:pt>
                <c:pt idx="15">
                  <c:v>Belarus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11'!$C$25:$C$48</c:f>
              <c:numCache>
                <c:formatCode>#,##0.0</c:formatCode>
                <c:ptCount val="24"/>
                <c:pt idx="0">
                  <c:v>14.599213019198039</c:v>
                </c:pt>
                <c:pt idx="1">
                  <c:v>11.715566407842728</c:v>
                </c:pt>
                <c:pt idx="2">
                  <c:v>10.45213769236279</c:v>
                </c:pt>
                <c:pt idx="3">
                  <c:v>9.8100661792689063</c:v>
                </c:pt>
                <c:pt idx="4">
                  <c:v>5.7749620512955024</c:v>
                </c:pt>
                <c:pt idx="5">
                  <c:v>8.5180130577344659</c:v>
                </c:pt>
                <c:pt idx="6">
                  <c:v>7.0885863291102167</c:v>
                </c:pt>
                <c:pt idx="7">
                  <c:v>3.4933043043328631</c:v>
                </c:pt>
                <c:pt idx="8">
                  <c:v>0.53165218388669067</c:v>
                </c:pt>
                <c:pt idx="9">
                  <c:v>2.5732853997356084</c:v>
                </c:pt>
                <c:pt idx="10">
                  <c:v>2.0971876257119733</c:v>
                </c:pt>
                <c:pt idx="11">
                  <c:v>1.322577632368658</c:v>
                </c:pt>
                <c:pt idx="12">
                  <c:v>1.4674160139141783</c:v>
                </c:pt>
                <c:pt idx="13">
                  <c:v>1.13239090443918</c:v>
                </c:pt>
                <c:pt idx="14">
                  <c:v>1.3996867630675738</c:v>
                </c:pt>
                <c:pt idx="15">
                  <c:v>2.0167274612622825</c:v>
                </c:pt>
                <c:pt idx="16">
                  <c:v>1.0662201805877509</c:v>
                </c:pt>
                <c:pt idx="17">
                  <c:v>1.892483151391755</c:v>
                </c:pt>
                <c:pt idx="18">
                  <c:v>1.0619926448834289</c:v>
                </c:pt>
                <c:pt idx="19">
                  <c:v>0.98447463937080537</c:v>
                </c:pt>
                <c:pt idx="20">
                  <c:v>0.45457542456005501</c:v>
                </c:pt>
                <c:pt idx="21">
                  <c:v>0.67849276275367187</c:v>
                </c:pt>
                <c:pt idx="22">
                  <c:v>0.85187771811555468</c:v>
                </c:pt>
                <c:pt idx="23">
                  <c:v>0.52947597552122894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Ianuarie-august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Spania</c:v>
                </c:pt>
                <c:pt idx="15">
                  <c:v>Belarus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11'!$D$25:$D$48</c:f>
              <c:numCache>
                <c:formatCode>#,##0.0</c:formatCode>
                <c:ptCount val="24"/>
                <c:pt idx="0">
                  <c:v>14.519438321578217</c:v>
                </c:pt>
                <c:pt idx="1">
                  <c:v>11.767492118790871</c:v>
                </c:pt>
                <c:pt idx="2">
                  <c:v>10.105055503520973</c:v>
                </c:pt>
                <c:pt idx="3">
                  <c:v>9.9241966251802278</c:v>
                </c:pt>
                <c:pt idx="4">
                  <c:v>6.4111985745276519</c:v>
                </c:pt>
                <c:pt idx="5">
                  <c:v>8.4463215555396758</c:v>
                </c:pt>
                <c:pt idx="6">
                  <c:v>7.0026901639391239</c:v>
                </c:pt>
                <c:pt idx="7">
                  <c:v>3.3709757120663228</c:v>
                </c:pt>
                <c:pt idx="8">
                  <c:v>0.64458141136881231</c:v>
                </c:pt>
                <c:pt idx="9">
                  <c:v>2.5604855739320764</c:v>
                </c:pt>
                <c:pt idx="10">
                  <c:v>1.9927627337223148</c:v>
                </c:pt>
                <c:pt idx="11">
                  <c:v>1.3246708402001548</c:v>
                </c:pt>
                <c:pt idx="12">
                  <c:v>1.9433547142248149</c:v>
                </c:pt>
                <c:pt idx="13">
                  <c:v>0.89847349900110896</c:v>
                </c:pt>
                <c:pt idx="14">
                  <c:v>1.4481368501112153</c:v>
                </c:pt>
                <c:pt idx="15">
                  <c:v>2.2689764619152704</c:v>
                </c:pt>
                <c:pt idx="16">
                  <c:v>1.0297841502781713</c:v>
                </c:pt>
                <c:pt idx="17">
                  <c:v>1.6669187426624936</c:v>
                </c:pt>
                <c:pt idx="18">
                  <c:v>1.0060797070116194</c:v>
                </c:pt>
                <c:pt idx="19">
                  <c:v>0.84504855997512773</c:v>
                </c:pt>
                <c:pt idx="20">
                  <c:v>0.40102048609641228</c:v>
                </c:pt>
                <c:pt idx="21">
                  <c:v>0.65176145696652854</c:v>
                </c:pt>
                <c:pt idx="22">
                  <c:v>0.74455692662231143</c:v>
                </c:pt>
                <c:pt idx="23">
                  <c:v>0.56892984861357965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Ianuarie-august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Spania</c:v>
                </c:pt>
                <c:pt idx="15">
                  <c:v>Belarus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11'!$E$25:$E$48</c:f>
              <c:numCache>
                <c:formatCode>#,##0.0</c:formatCode>
                <c:ptCount val="24"/>
                <c:pt idx="0">
                  <c:v>12.00386199748146</c:v>
                </c:pt>
                <c:pt idx="1">
                  <c:v>11.509992423402888</c:v>
                </c:pt>
                <c:pt idx="2">
                  <c:v>11.325852351835694</c:v>
                </c:pt>
                <c:pt idx="3">
                  <c:v>9.8347155920201388</c:v>
                </c:pt>
                <c:pt idx="4">
                  <c:v>6.7858627873301973</c:v>
                </c:pt>
                <c:pt idx="5">
                  <c:v>8.2013956789908047</c:v>
                </c:pt>
                <c:pt idx="6">
                  <c:v>6.5771839672634131</c:v>
                </c:pt>
                <c:pt idx="7">
                  <c:v>3.9299996563316313</c:v>
                </c:pt>
                <c:pt idx="8">
                  <c:v>0.77133709136146777</c:v>
                </c:pt>
                <c:pt idx="9">
                  <c:v>2.4522034988149977</c:v>
                </c:pt>
                <c:pt idx="10">
                  <c:v>1.9592294963984225</c:v>
                </c:pt>
                <c:pt idx="11">
                  <c:v>1.2888120876214164</c:v>
                </c:pt>
                <c:pt idx="12">
                  <c:v>1.618289550987325</c:v>
                </c:pt>
                <c:pt idx="13">
                  <c:v>1.1564882735183302</c:v>
                </c:pt>
                <c:pt idx="14">
                  <c:v>1.4959187165198062</c:v>
                </c:pt>
                <c:pt idx="15">
                  <c:v>2.0580589199935293</c:v>
                </c:pt>
                <c:pt idx="16">
                  <c:v>1.0523962837139349</c:v>
                </c:pt>
                <c:pt idx="17">
                  <c:v>1.1026452385715388</c:v>
                </c:pt>
                <c:pt idx="18">
                  <c:v>0.90586501809462161</c:v>
                </c:pt>
                <c:pt idx="19">
                  <c:v>1.0261804642512633</c:v>
                </c:pt>
                <c:pt idx="20">
                  <c:v>0.4833711977288751</c:v>
                </c:pt>
                <c:pt idx="21">
                  <c:v>0.77519159770924473</c:v>
                </c:pt>
                <c:pt idx="22">
                  <c:v>0.74342927350785148</c:v>
                </c:pt>
                <c:pt idx="23">
                  <c:v>0.53493147885247649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Ianuarie-august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Spania</c:v>
                </c:pt>
                <c:pt idx="15">
                  <c:v>Belarus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11'!$F$25:$F$48</c:f>
              <c:numCache>
                <c:formatCode>#,##0.0</c:formatCode>
                <c:ptCount val="24"/>
                <c:pt idx="0">
                  <c:v>12.362629381367038</c:v>
                </c:pt>
                <c:pt idx="1">
                  <c:v>12.176325883806006</c:v>
                </c:pt>
                <c:pt idx="2">
                  <c:v>11.662770265798423</c:v>
                </c:pt>
                <c:pt idx="3">
                  <c:v>9.2590501694345324</c:v>
                </c:pt>
                <c:pt idx="4">
                  <c:v>7.1284741156553073</c:v>
                </c:pt>
                <c:pt idx="5">
                  <c:v>8.0801332155978685</c:v>
                </c:pt>
                <c:pt idx="6">
                  <c:v>6.6376881475542406</c:v>
                </c:pt>
                <c:pt idx="7">
                  <c:v>3.8050840812017088</c:v>
                </c:pt>
                <c:pt idx="8">
                  <c:v>0.66346057082419874</c:v>
                </c:pt>
                <c:pt idx="9">
                  <c:v>2.5783145492973931</c:v>
                </c:pt>
                <c:pt idx="10">
                  <c:v>1.8542762021866868</c:v>
                </c:pt>
                <c:pt idx="11">
                  <c:v>1.5784035402812824</c:v>
                </c:pt>
                <c:pt idx="12">
                  <c:v>1.7053943027334186</c:v>
                </c:pt>
                <c:pt idx="13">
                  <c:v>1.3150720346012466</c:v>
                </c:pt>
                <c:pt idx="14">
                  <c:v>1.397317636472025</c:v>
                </c:pt>
                <c:pt idx="15">
                  <c:v>1.8697490890336728</c:v>
                </c:pt>
                <c:pt idx="16">
                  <c:v>1.0864974950311728</c:v>
                </c:pt>
                <c:pt idx="17">
                  <c:v>1.5160070363253912</c:v>
                </c:pt>
                <c:pt idx="18">
                  <c:v>0.94664776349700241</c:v>
                </c:pt>
                <c:pt idx="19">
                  <c:v>0.95904629975394429</c:v>
                </c:pt>
                <c:pt idx="20">
                  <c:v>0.45753716201867967</c:v>
                </c:pt>
                <c:pt idx="21">
                  <c:v>0.72638476289453191</c:v>
                </c:pt>
                <c:pt idx="22">
                  <c:v>0.69554883729590467</c:v>
                </c:pt>
                <c:pt idx="23">
                  <c:v>0.58056997108760555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Ianuarie-august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Spania</c:v>
                </c:pt>
                <c:pt idx="15">
                  <c:v>Belarus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11'!$G$25:$G$48</c:f>
              <c:numCache>
                <c:formatCode>#,##0.0</c:formatCode>
                <c:ptCount val="24"/>
                <c:pt idx="0">
                  <c:v>16.78881397176611</c:v>
                </c:pt>
                <c:pt idx="1">
                  <c:v>13.577028633660703</c:v>
                </c:pt>
                <c:pt idx="2">
                  <c:v>10.130007101359292</c:v>
                </c:pt>
                <c:pt idx="3">
                  <c:v>9.7270213091469824</c:v>
                </c:pt>
                <c:pt idx="4">
                  <c:v>6.9339129647106619</c:v>
                </c:pt>
                <c:pt idx="5">
                  <c:v>6.5280312709426971</c:v>
                </c:pt>
                <c:pt idx="6">
                  <c:v>5.0622767720456761</c:v>
                </c:pt>
                <c:pt idx="7">
                  <c:v>3.3358488728827962</c:v>
                </c:pt>
                <c:pt idx="8">
                  <c:v>2.9326475359971016</c:v>
                </c:pt>
                <c:pt idx="9">
                  <c:v>2.1748674510541224</c:v>
                </c:pt>
                <c:pt idx="10">
                  <c:v>2.0358753593020427</c:v>
                </c:pt>
                <c:pt idx="11">
                  <c:v>1.5381808485679433</c:v>
                </c:pt>
                <c:pt idx="12">
                  <c:v>1.4909632561546748</c:v>
                </c:pt>
                <c:pt idx="13">
                  <c:v>1.476669998882709</c:v>
                </c:pt>
                <c:pt idx="14">
                  <c:v>1.2073069880655418</c:v>
                </c:pt>
                <c:pt idx="15">
                  <c:v>1.1823791573791116</c:v>
                </c:pt>
                <c:pt idx="16">
                  <c:v>1.002420768083969</c:v>
                </c:pt>
                <c:pt idx="17">
                  <c:v>0.93330552389083909</c:v>
                </c:pt>
                <c:pt idx="18">
                  <c:v>0.80509029851496094</c:v>
                </c:pt>
                <c:pt idx="19">
                  <c:v>0.7836191411846487</c:v>
                </c:pt>
                <c:pt idx="20">
                  <c:v>0.75091941406324136</c:v>
                </c:pt>
                <c:pt idx="21">
                  <c:v>0.68020679557038854</c:v>
                </c:pt>
                <c:pt idx="22">
                  <c:v>0.58931039107065808</c:v>
                </c:pt>
                <c:pt idx="23">
                  <c:v>0.58546734120536337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629776"/>
        <c:axId val="248630336"/>
      </c:barChart>
      <c:catAx>
        <c:axId val="24862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30336"/>
        <c:crosses val="autoZero"/>
        <c:auto val="1"/>
        <c:lblAlgn val="ctr"/>
        <c:lblOffset val="100"/>
        <c:noMultiLvlLbl val="0"/>
      </c:catAx>
      <c:valAx>
        <c:axId val="2486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297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7282166652245365E-3"/>
          <c:y val="0.9205048748559036"/>
          <c:w val="0.98051844480978334"/>
          <c:h val="5.63409598614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 - </a:t>
            </a:r>
            <a:r>
              <a:rPr lang="ro-RO" sz="800" b="1" baseline="0">
                <a:solidFill>
                  <a:sysClr val="windowText" lastClr="000000"/>
                </a:solidFill>
              </a:rPr>
              <a:t>august</a:t>
            </a:r>
            <a:r>
              <a:rPr lang="en-US" sz="800" b="1" baseline="0">
                <a:solidFill>
                  <a:sysClr val="windowText" lastClr="000000"/>
                </a:solidFill>
              </a:rPr>
              <a:t>  2021</a:t>
            </a:r>
          </a:p>
        </c:rich>
      </c:tx>
      <c:layout>
        <c:manualLayout>
          <c:xMode val="edge"/>
          <c:yMode val="edge"/>
          <c:x val="0.34651545605979578"/>
          <c:y val="1.4867854509122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12'!$B$26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F1-414D-94DA-30AF092260C4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EF1-414D-94DA-30AF092260C4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EF1-414D-94DA-30AF092260C4}"/>
              </c:ext>
            </c:extLst>
          </c:dPt>
          <c:dPt>
            <c:idx val="1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78A-4588-BE1A-3F21F157C1F5}"/>
              </c:ext>
            </c:extLst>
          </c:dPt>
          <c:dPt>
            <c:idx val="12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4E6-4E28-8EB4-641B9F745DCF}"/>
              </c:ext>
            </c:extLst>
          </c:dPt>
          <c:dLbls>
            <c:dLbl>
              <c:idx val="0"/>
              <c:layout>
                <c:manualLayout>
                  <c:x val="-0.17954698285665111"/>
                  <c:y val="3.93320170326142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186904915574"/>
                      <c:h val="0.15598820058997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5.7767369242779192E-2"/>
                  <c:y val="6.2326046102243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3317720530836"/>
                      <c:h val="0.200298467223319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-4.6838407494145199E-3"/>
                  <c:y val="1.6112948117134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96318697867684"/>
                      <c:h val="0.159758308157099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1.873536299765808E-2"/>
                  <c:y val="-5.42442768672042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2396565183451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1.873536299765808E-2"/>
                  <c:y val="-1.2005723860788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1120802522635"/>
                      <c:h val="0.13162257372695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3.5909322810058576E-2"/>
                  <c:y val="2.9577976481753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34738485558154"/>
                      <c:h val="0.1758710976837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9.6799375487900075E-2"/>
                  <c:y val="8.14443109865502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0.17798594847775182"/>
                  <c:y val="5.1629520886160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0.30423819973323007"/>
                  <c:y val="3.55264913919644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F1-414D-94DA-30AF092260C4}"/>
                </c:ext>
              </c:extLst>
            </c:dLbl>
            <c:dLbl>
              <c:idx val="9"/>
              <c:layout>
                <c:manualLayout>
                  <c:x val="-0.33826710185816938"/>
                  <c:y val="-0.14381299014360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20843091334891"/>
                      <c:h val="0.1624124778964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EF1-414D-94DA-30AF092260C4}"/>
                </c:ext>
              </c:extLst>
            </c:dLbl>
            <c:dLbl>
              <c:idx val="10"/>
              <c:layout>
                <c:manualLayout>
                  <c:x val="-0.33207693300632501"/>
                  <c:y val="-0.2459818793837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F1-414D-94DA-30AF092260C4}"/>
                </c:ext>
              </c:extLst>
            </c:dLbl>
            <c:dLbl>
              <c:idx val="11"/>
              <c:layout>
                <c:manualLayout>
                  <c:x val="-0.26073380171740829"/>
                  <c:y val="-0.410876225217610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55281614388364"/>
                      <c:h val="0.16625368731563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78A-4588-BE1A-3F21F157C1F5}"/>
                </c:ext>
              </c:extLst>
            </c:dLbl>
            <c:dLbl>
              <c:idx val="12"/>
              <c:layout>
                <c:manualLayout>
                  <c:x val="9.0554254488680722E-2"/>
                  <c:y val="-0.21042281219272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71440864973845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94E6-4E28-8EB4-641B9F745D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12'!$A$27:$A$39</c:f>
              <c:strCache>
                <c:ptCount val="13"/>
                <c:pt idx="0">
                  <c:v>Petrol, produse petroliere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Fire, tesături, articole textile </c:v>
                </c:pt>
                <c:pt idx="5">
                  <c:v>Maşini şi aparate specializate </c:v>
                </c:pt>
                <c:pt idx="6">
                  <c:v>Produse medicinale şi farmaceutice</c:v>
                </c:pt>
                <c:pt idx="7">
                  <c:v>Maşini şi aparate industriale </c:v>
                </c:pt>
                <c:pt idx="8">
                  <c:v>Articole prelucrate din metal</c:v>
                </c:pt>
                <c:pt idx="9">
                  <c:v>Legume şi fructe</c:v>
                </c:pt>
                <c:pt idx="10">
                  <c:v>Fier şi oţel</c:v>
                </c:pt>
                <c:pt idx="11">
                  <c:v>Îmbrăcăminte şi accesorii</c:v>
                </c:pt>
                <c:pt idx="12">
                  <c:v>Alte mărfuri</c:v>
                </c:pt>
              </c:strCache>
            </c:strRef>
          </c:cat>
          <c:val>
            <c:numRef>
              <c:f>'Figura 12'!$B$27:$B$39</c:f>
              <c:numCache>
                <c:formatCode>0.0</c:formatCode>
                <c:ptCount val="13"/>
                <c:pt idx="0">
                  <c:v>8.5</c:v>
                </c:pt>
                <c:pt idx="1">
                  <c:v>3.6</c:v>
                </c:pt>
                <c:pt idx="2">
                  <c:v>7.7</c:v>
                </c:pt>
                <c:pt idx="3">
                  <c:v>6.3</c:v>
                </c:pt>
                <c:pt idx="4">
                  <c:v>4.8</c:v>
                </c:pt>
                <c:pt idx="5">
                  <c:v>3.4</c:v>
                </c:pt>
                <c:pt idx="6">
                  <c:v>4.5999999999999996</c:v>
                </c:pt>
                <c:pt idx="7">
                  <c:v>3.6</c:v>
                </c:pt>
                <c:pt idx="8">
                  <c:v>3.1</c:v>
                </c:pt>
                <c:pt idx="9">
                  <c:v>2.7</c:v>
                </c:pt>
                <c:pt idx="10">
                  <c:v>2.5</c:v>
                </c:pt>
                <c:pt idx="11">
                  <c:v>2.8</c:v>
                </c:pt>
                <c:pt idx="12" formatCode="#,##0.0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august</a:t>
            </a: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2022</a:t>
            </a:r>
          </a:p>
        </c:rich>
      </c:tx>
      <c:layout>
        <c:manualLayout>
          <c:xMode val="edge"/>
          <c:yMode val="edge"/>
          <c:x val="0.34726076396895356"/>
          <c:y val="2.0820588915747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CD-4C13-890E-399C32D1EBE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CD-4C13-890E-399C32D1EBE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CD-4C13-890E-399C32D1EBE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27-44E0-9897-C542FAFF950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28B-4A15-95E9-C59FB398DFD6}"/>
              </c:ext>
            </c:extLst>
          </c:dPt>
          <c:dLbls>
            <c:dLbl>
              <c:idx val="0"/>
              <c:layout>
                <c:manualLayout>
                  <c:x val="-0.22886624373273867"/>
                  <c:y val="-2.4439774940155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87365080218"/>
                      <c:h val="0.15638703519831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0.12590967180515955"/>
                  <c:y val="-0.171075665541807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35737469021435"/>
                      <c:h val="0.178315710536182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-2.0971664103778959E-2"/>
                  <c:y val="-0.205152305961754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46605830211682"/>
                      <c:h val="0.16328665363505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4.6654207145004428E-2"/>
                  <c:y val="-0.19812568428946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44827937260093"/>
                      <c:h val="0.125543539319998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6.1346548327367391E-2"/>
                  <c:y val="-0.187233295838020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778499156639"/>
                      <c:h val="0.15660235453024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8.5536952258854271E-2"/>
                  <c:y val="-6.001259842519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2.7680810758229691E-2"/>
                  <c:y val="-6.40569928758905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-0.10685090595803069"/>
                  <c:y val="-4.57592800899887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19050918891977461"/>
                  <c:y val="-8.6203224596925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CD-4C13-890E-399C32D1EBED}"/>
                </c:ext>
              </c:extLst>
            </c:dLbl>
            <c:dLbl>
              <c:idx val="9"/>
              <c:layout>
                <c:manualLayout>
                  <c:x val="-0.22302751223651479"/>
                  <c:y val="-0.200937982752155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D-4C13-890E-399C32D1EBED}"/>
                </c:ext>
              </c:extLst>
            </c:dLbl>
            <c:dLbl>
              <c:idx val="10"/>
              <c:layout>
                <c:manualLayout>
                  <c:x val="-0.1874231708679896"/>
                  <c:y val="-0.28840339872770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CD-4C13-890E-399C32D1EBED}"/>
                </c:ext>
              </c:extLst>
            </c:dLbl>
            <c:dLbl>
              <c:idx val="11"/>
              <c:layout>
                <c:manualLayout>
                  <c:x val="-0.10908710637833577"/>
                  <c:y val="-0.423038153955095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37301739715917"/>
                      <c:h val="0.14268576077113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027-44E0-9897-C542FAFF950C}"/>
                </c:ext>
              </c:extLst>
            </c:dLbl>
            <c:dLbl>
              <c:idx val="12"/>
              <c:layout>
                <c:manualLayout>
                  <c:x val="8.7058007432079421E-2"/>
                  <c:y val="-0.154471717428283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8B-4A15-95E9-C59FB398DF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12'!$A$42:$A$54</c:f>
              <c:strCache>
                <c:ptCount val="13"/>
                <c:pt idx="0">
                  <c:v>Petrol, produse petroliere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Fire, tesături, articole textile </c:v>
                </c:pt>
                <c:pt idx="5">
                  <c:v>Maşini şi aparate specializate </c:v>
                </c:pt>
                <c:pt idx="6">
                  <c:v>Produse medicinale şi farmaceutice</c:v>
                </c:pt>
                <c:pt idx="7">
                  <c:v>Maşini şi aparate industriale </c:v>
                </c:pt>
                <c:pt idx="8">
                  <c:v>Articole prelucrate din metal</c:v>
                </c:pt>
                <c:pt idx="9">
                  <c:v>Legume şi fructe</c:v>
                </c:pt>
                <c:pt idx="10">
                  <c:v>Fier şi oţel</c:v>
                </c:pt>
                <c:pt idx="11">
                  <c:v>Îmbrăcăminte şi accesorii</c:v>
                </c:pt>
                <c:pt idx="12">
                  <c:v>Alte mărfuri</c:v>
                </c:pt>
              </c:strCache>
            </c:strRef>
          </c:cat>
          <c:val>
            <c:numRef>
              <c:f>'Figura 12'!$B$42:$B$54</c:f>
              <c:numCache>
                <c:formatCode>0.0</c:formatCode>
                <c:ptCount val="13"/>
                <c:pt idx="0">
                  <c:v>16</c:v>
                </c:pt>
                <c:pt idx="1">
                  <c:v>8.6999999999999993</c:v>
                </c:pt>
                <c:pt idx="2">
                  <c:v>6.2</c:v>
                </c:pt>
                <c:pt idx="3">
                  <c:v>5.8</c:v>
                </c:pt>
                <c:pt idx="4">
                  <c:v>3.8</c:v>
                </c:pt>
                <c:pt idx="5">
                  <c:v>3.7</c:v>
                </c:pt>
                <c:pt idx="6">
                  <c:v>3.2</c:v>
                </c:pt>
                <c:pt idx="7">
                  <c:v>2.8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2.1</c:v>
                </c:pt>
                <c:pt idx="11">
                  <c:v>2.1</c:v>
                </c:pt>
                <c:pt idx="12" formatCode="#,##0.0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69490253186118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13'!$B$23:$B$28</c:f>
              <c:numCache>
                <c:formatCode>#,##0.0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13'!$C$23:$C$28</c:f>
              <c:numCache>
                <c:formatCode>#,##0.0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13'!$D$23:$D$28</c:f>
              <c:numCache>
                <c:formatCode>#,##0.0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  <c:pt idx="5">
                  <c:v>-352.5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13'!$E$23:$E$28</c:f>
              <c:numCache>
                <c:formatCode>#,##0.0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  <c:pt idx="5">
                  <c:v>-374.2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13'!$F$23:$F$28</c:f>
              <c:numCache>
                <c:formatCode>#,##0.0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  <c:pt idx="5">
                  <c:v>-356.7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13'!$G$23:$G$28</c:f>
              <c:numCache>
                <c:formatCode>#,##0.0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-362.8</c:v>
                </c:pt>
                <c:pt idx="5">
                  <c:v>-351.9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13'!$H$23:$H$28</c:f>
              <c:numCache>
                <c:formatCode>#,##0.0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  <c:pt idx="5">
                  <c:v>-422.9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13'!$I$23:$I$28</c:f>
              <c:numCache>
                <c:formatCode>#,##0.0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-338.6</c:v>
                </c:pt>
                <c:pt idx="5">
                  <c:v>-450.6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13'!$J$23:$J$28</c:f>
              <c:numCache>
                <c:formatCode>#,##0.0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13'!$K$23:$K$28</c:f>
              <c:numCache>
                <c:formatCode>#,##0.0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13'!$L$23:$L$28</c:f>
              <c:numCache>
                <c:formatCode>#,##0.0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13'!$M$23:$M$28</c:f>
              <c:numCache>
                <c:formatCode>#,##0.0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9016032"/>
        <c:axId val="249016592"/>
      </c:barChart>
      <c:catAx>
        <c:axId val="2490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016592"/>
        <c:scaling>
          <c:orientation val="minMax"/>
          <c:min val="-5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0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517928028469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84676830592919E-2"/>
                  <c:y val="1.286169091102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8787287811933725E-2"/>
                  <c:y val="8.78422025276465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4421873301340364E-2"/>
                  <c:y val="4.554245770667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46532792941E-2"/>
                  <c:y val="8.5745676275798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4030049649366584E-2"/>
                  <c:y val="8.154941316528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6289867791293891E-2"/>
                  <c:y val="4.2871232834490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14'!$B$25:$B$30</c:f>
              <c:numCache>
                <c:formatCode>#,##0.0</c:formatCode>
                <c:ptCount val="6"/>
                <c:pt idx="0">
                  <c:v>1427.7</c:v>
                </c:pt>
                <c:pt idx="1">
                  <c:v>1752.2</c:v>
                </c:pt>
                <c:pt idx="2">
                  <c:v>1787.2</c:v>
                </c:pt>
                <c:pt idx="3">
                  <c:v>1525.2</c:v>
                </c:pt>
                <c:pt idx="4">
                  <c:v>1808.5</c:v>
                </c:pt>
                <c:pt idx="5">
                  <c:v>2959.1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724999212147E-3"/>
                  <c:y val="6.7770500650035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2.5473295128049822E-3"/>
                  <c:y val="8.3645939417133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14'!$C$25:$C$30</c:f>
              <c:numCache>
                <c:formatCode>#,##0.0</c:formatCode>
                <c:ptCount val="6"/>
                <c:pt idx="0">
                  <c:v>3007.9</c:v>
                </c:pt>
                <c:pt idx="1">
                  <c:v>3703.6</c:v>
                </c:pt>
                <c:pt idx="2">
                  <c:v>3771.7</c:v>
                </c:pt>
                <c:pt idx="3">
                  <c:v>3323.9</c:v>
                </c:pt>
                <c:pt idx="4">
                  <c:v>4403</c:v>
                </c:pt>
                <c:pt idx="5">
                  <c:v>5891.7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48762544"/>
        <c:axId val="248763104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939044932816245E-2"/>
                  <c:y val="-2.967146502557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3.9225490300822299E-2"/>
                  <c:y val="-3.1530406372926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3056585362379225E-2"/>
                  <c:y val="4.3788824262940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3.9693871373269594E-2"/>
                  <c:y val="-3.5311859082614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262395965768865E-2"/>
                  <c:y val="4.304043181377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4.9162918407247942E-3"/>
                  <c:y val="-1.7454463963506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14'!$D$25:$D$30</c:f>
              <c:numCache>
                <c:formatCode>#,##0.0</c:formatCode>
                <c:ptCount val="6"/>
                <c:pt idx="0">
                  <c:v>-1580.2</c:v>
                </c:pt>
                <c:pt idx="1">
                  <c:v>-1951.4</c:v>
                </c:pt>
                <c:pt idx="2">
                  <c:v>-1984.5</c:v>
                </c:pt>
                <c:pt idx="3">
                  <c:v>-1798.7</c:v>
                </c:pt>
                <c:pt idx="4">
                  <c:v>-2594.5</c:v>
                </c:pt>
                <c:pt idx="5">
                  <c:v>-2932.6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2544"/>
        <c:axId val="248763104"/>
      </c:lineChart>
      <c:catAx>
        <c:axId val="24876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3104"/>
        <c:crosses val="autoZero"/>
        <c:auto val="1"/>
        <c:lblAlgn val="ctr"/>
        <c:lblOffset val="100"/>
        <c:noMultiLvlLbl val="0"/>
      </c:catAx>
      <c:valAx>
        <c:axId val="248763104"/>
        <c:scaling>
          <c:orientation val="minMax"/>
          <c:max val="7000"/>
          <c:min val="-4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254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4803953926507922"/>
          <c:w val="0.92503281730217912"/>
          <c:h val="4.7673016390789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96203918396242E-2"/>
          <c:y val="4.0517540941185162E-2"/>
          <c:w val="0.94280382813184926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87699258040691E-2"/>
                  <c:y val="-3.60102029499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D-446E-B46D-AAA2B51203E9}"/>
                </c:ext>
              </c:extLst>
            </c:dLbl>
            <c:dLbl>
              <c:idx val="1"/>
              <c:layout>
                <c:manualLayout>
                  <c:x val="-1.9216546193687113E-2"/>
                  <c:y val="-2.752696757975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D-446E-B46D-AAA2B51203E9}"/>
                </c:ext>
              </c:extLst>
            </c:dLbl>
            <c:dLbl>
              <c:idx val="2"/>
              <c:layout>
                <c:manualLayout>
                  <c:x val="-1.1548061811594483E-2"/>
                  <c:y val="-2.829588554951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D-446E-B46D-AAA2B51203E9}"/>
                </c:ext>
              </c:extLst>
            </c:dLbl>
            <c:dLbl>
              <c:idx val="3"/>
              <c:layout>
                <c:manualLayout>
                  <c:x val="-1.4229340851139071E-2"/>
                  <c:y val="-3.2020405899966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D-446E-B46D-AAA2B51203E9}"/>
                </c:ext>
              </c:extLst>
            </c:dLbl>
            <c:dLbl>
              <c:idx val="4"/>
              <c:layout>
                <c:manualLayout>
                  <c:x val="-3.1553737355602962E-2"/>
                  <c:y val="-2.503951794758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D-446E-B46D-AAA2B51203E9}"/>
                </c:ext>
              </c:extLst>
            </c:dLbl>
            <c:dLbl>
              <c:idx val="5"/>
              <c:layout>
                <c:manualLayout>
                  <c:x val="-2.0434344495648016E-2"/>
                  <c:y val="-3.2020405899966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D-446E-B46D-AAA2B51203E9}"/>
                </c:ext>
              </c:extLst>
            </c:dLbl>
            <c:dLbl>
              <c:idx val="6"/>
              <c:layout>
                <c:manualLayout>
                  <c:x val="-1.0894609064200868E-2"/>
                  <c:y val="-3.22856825995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D-446E-B46D-AAA2B51203E9}"/>
                </c:ext>
              </c:extLst>
            </c:dLbl>
            <c:dLbl>
              <c:idx val="7"/>
              <c:layout>
                <c:manualLayout>
                  <c:x val="-1.5191007397542644E-2"/>
                  <c:y val="3.129436989390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8"/>
              <c:layout>
                <c:manualLayout>
                  <c:x val="-1.9380361910138977E-2"/>
                  <c:y val="-3.2020405899966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D-446E-B46D-AAA2B51203E9}"/>
                </c:ext>
              </c:extLst>
            </c:dLbl>
            <c:dLbl>
              <c:idx val="9"/>
              <c:layout>
                <c:manualLayout>
                  <c:x val="-1.7457028817331983E-2"/>
                  <c:y val="-2.8295885549517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D-446E-B46D-AAA2B51203E9}"/>
                </c:ext>
              </c:extLst>
            </c:dLbl>
            <c:dLbl>
              <c:idx val="10"/>
              <c:layout>
                <c:manualLayout>
                  <c:x val="-1.5972731717989148E-2"/>
                  <c:y val="-3.2404864884847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1.8325803377861972E-2"/>
                  <c:y val="3.5018594506672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1.6328337708197634E-2"/>
                  <c:y val="-2.8264537355365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3.8471601003203529E-2"/>
                  <c:y val="-2.530479464714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4.039443796687324E-3"/>
                  <c:y val="1.4990943033529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1.6988125870039585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7.0749300985749348E-3"/>
                  <c:y val="2.1814498539795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1.5407645660434456E-2"/>
                  <c:y val="2.8966618609293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6493634430624373E-2"/>
                  <c:y val="3.0446489963402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1.6581425173695336E-2"/>
                  <c:y val="3.0647000110901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1.4044461938598974E-2"/>
                  <c:y val="3.5791948541643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5.496138731826113E-3"/>
                  <c:y val="-1.0737939447709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1622396380139929E-2"/>
                  <c:y val="-2.3552105282614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1.877463046638277E-2"/>
                  <c:y val="3.795556541347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1.6253464628352813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1.8887680589137749E-2"/>
                  <c:y val="3.155875938042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2.0367452392445848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2.0977544576017353E-2"/>
                  <c:y val="2.780289083582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8"/>
              <c:layout>
                <c:manualLayout>
                  <c:x val="-1.7498250150301691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9D-446E-B46D-AAA2B51203E9}"/>
                </c:ext>
              </c:extLst>
            </c:dLbl>
            <c:dLbl>
              <c:idx val="29"/>
              <c:layout>
                <c:manualLayout>
                  <c:x val="-2.6335079684140929E-2"/>
                  <c:y val="3.5314627925030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9D-446E-B46D-AAA2B51203E9}"/>
                </c:ext>
              </c:extLst>
            </c:dLbl>
            <c:dLbl>
              <c:idx val="30"/>
              <c:layout>
                <c:manualLayout>
                  <c:x val="-1.7644225336447779E-2"/>
                  <c:y val="3.5314627925030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6-4A4A-A002-4C403F899195}"/>
                </c:ext>
              </c:extLst>
            </c:dLbl>
            <c:dLbl>
              <c:idx val="31"/>
              <c:layout>
                <c:manualLayout>
                  <c:x val="-2.4371597698246436E-3"/>
                  <c:y val="-2.853513733318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D1-4659-A7B5-7960EC2EB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2'!$B$22:$AG$23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2'!$B$24:$AG$24</c:f>
              <c:numCache>
                <c:formatCode>#,##0.0</c:formatCode>
                <c:ptCount val="32"/>
                <c:pt idx="0">
                  <c:v>100.54069338788538</c:v>
                </c:pt>
                <c:pt idx="1">
                  <c:v>111.77933359663091</c:v>
                </c:pt>
                <c:pt idx="2">
                  <c:v>85.694935103741471</c:v>
                </c:pt>
                <c:pt idx="3">
                  <c:v>71.283537880135214</c:v>
                </c:pt>
                <c:pt idx="4">
                  <c:v>103.90424682350312</c:v>
                </c:pt>
                <c:pt idx="5">
                  <c:v>121.75061963317823</c:v>
                </c:pt>
                <c:pt idx="6">
                  <c:v>100.8184202333199</c:v>
                </c:pt>
                <c:pt idx="7">
                  <c:v>78.376764810035453</c:v>
                </c:pt>
                <c:pt idx="8">
                  <c:v>129.49769232961904</c:v>
                </c:pt>
                <c:pt idx="9">
                  <c:v>117.47585360993436</c:v>
                </c:pt>
                <c:pt idx="10">
                  <c:v>105.08585699580438</c:v>
                </c:pt>
                <c:pt idx="11">
                  <c:v>83.287463510424814</c:v>
                </c:pt>
                <c:pt idx="12">
                  <c:v>90.925213233797848</c:v>
                </c:pt>
                <c:pt idx="13">
                  <c:v>114.41147354263464</c:v>
                </c:pt>
                <c:pt idx="14">
                  <c:v>114.20579997969134</c:v>
                </c:pt>
                <c:pt idx="15">
                  <c:v>84.167356355788357</c:v>
                </c:pt>
                <c:pt idx="16">
                  <c:v>92.421884276527052</c:v>
                </c:pt>
                <c:pt idx="17">
                  <c:v>112.45124175218632</c:v>
                </c:pt>
                <c:pt idx="18">
                  <c:v>106.13290668113962</c:v>
                </c:pt>
                <c:pt idx="19">
                  <c:v>98.163759117159898</c:v>
                </c:pt>
                <c:pt idx="20">
                  <c:v>124.79747973247373</c:v>
                </c:pt>
                <c:pt idx="21">
                  <c:v>119.44752327758337</c:v>
                </c:pt>
                <c:pt idx="22">
                  <c:v>103.29810746017232</c:v>
                </c:pt>
                <c:pt idx="23">
                  <c:v>89.310814590947814</c:v>
                </c:pt>
                <c:pt idx="24">
                  <c:v>101.65548055101389</c:v>
                </c:pt>
                <c:pt idx="25">
                  <c:v>101.84864374682041</c:v>
                </c:pt>
                <c:pt idx="26">
                  <c:v>117.60123789264428</c:v>
                </c:pt>
                <c:pt idx="27">
                  <c:v>100.1282722557787</c:v>
                </c:pt>
                <c:pt idx="28">
                  <c:v>104.98638136927103</c:v>
                </c:pt>
                <c:pt idx="29" formatCode="0.0">
                  <c:v>100.09588370255183</c:v>
                </c:pt>
                <c:pt idx="30" formatCode="0.0">
                  <c:v>81.226926265770544</c:v>
                </c:pt>
                <c:pt idx="31" formatCode="0.0">
                  <c:v>97.388740769882034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921998706423596E-2"/>
                  <c:y val="3.1294369893904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2.3708437315722735E-2"/>
                  <c:y val="3.6230823259768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2.3007839211459762E-2"/>
                  <c:y val="2.7803778048870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1.6612032630510979E-2"/>
                  <c:y val="2.38139809988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5"/>
              <c:layout>
                <c:manualLayout>
                  <c:x val="-1.8042108455548551E-2"/>
                  <c:y val="-3.2418468818158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9D-446E-B46D-AAA2B51203E9}"/>
                </c:ext>
              </c:extLst>
            </c:dLbl>
            <c:dLbl>
              <c:idx val="6"/>
              <c:layout>
                <c:manualLayout>
                  <c:x val="-1.6776424293730878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1.7656964623950781E-2"/>
                  <c:y val="-3.195741377398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8"/>
              <c:layout>
                <c:manualLayout>
                  <c:x val="-1.5733631531143825E-2"/>
                  <c:y val="3.5081586632656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9D-446E-B46D-AAA2B51203E9}"/>
                </c:ext>
              </c:extLst>
            </c:dLbl>
            <c:dLbl>
              <c:idx val="9"/>
              <c:layout>
                <c:manualLayout>
                  <c:x val="-1.968001878573801E-2"/>
                  <c:y val="-2.829588554951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9D-446E-B46D-AAA2B51203E9}"/>
                </c:ext>
              </c:extLst>
            </c:dLbl>
            <c:dLbl>
              <c:idx val="10"/>
              <c:layout>
                <c:manualLayout>
                  <c:x val="-1.4898179605050263E-2"/>
                  <c:y val="2.756984954345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1.4902046676207164E-2"/>
                  <c:y val="-3.5838970832871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1.8418201695077237E-2"/>
                  <c:y val="2.756984954345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3.6484469760912942E-2"/>
                  <c:y val="-2.3995859672470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2.1732693067024401E-2"/>
                  <c:y val="-3.22856825995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2.41775870973443E-2"/>
                  <c:y val="3.119736793464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1.8319221129084552E-2"/>
                  <c:y val="-2.9825440833980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7.8237431751336465E-3"/>
                  <c:y val="2.1499242172193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1.959461410784907E-2"/>
                  <c:y val="-3.2153487856271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2.0069934747699525E-2"/>
                  <c:y val="-2.938449595209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1.902804704431935E-2"/>
                  <c:y val="-2.39038852537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1.3827047347790318E-2"/>
                  <c:y val="2.86325828989686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088650870282733E-2"/>
                      <c:h val="4.02963291560385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3.1635085838884643E-2"/>
                  <c:y val="-3.1150345643414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1.9747623843437569E-2"/>
                  <c:y val="-2.7600014786884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2.3677358439410399E-2"/>
                  <c:y val="3.5314627925030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5.0561912268978788E-3"/>
                  <c:y val="9.02354811282392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7"/>
              <c:layout>
                <c:manualLayout>
                  <c:x val="-4.1076185634194885E-2"/>
                  <c:y val="-1.3511663154781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A9D-446E-B46D-AAA2B51203E9}"/>
                </c:ext>
              </c:extLst>
            </c:dLbl>
            <c:dLbl>
              <c:idx val="28"/>
              <c:layout>
                <c:manualLayout>
                  <c:x val="-1.967862005787293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A9D-446E-B46D-AAA2B51203E9}"/>
                </c:ext>
              </c:extLst>
            </c:dLbl>
            <c:dLbl>
              <c:idx val="29"/>
              <c:layout>
                <c:manualLayout>
                  <c:x val="-5.2246599671990088E-3"/>
                  <c:y val="-1.3511663154781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A9D-446E-B46D-AAA2B51203E9}"/>
                </c:ext>
              </c:extLst>
            </c:dLbl>
            <c:dLbl>
              <c:idx val="30"/>
              <c:layout>
                <c:manualLayout>
                  <c:x val="-3.7856089123756105E-2"/>
                  <c:y val="2.59252523012088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70661904209936E-2"/>
                      <c:h val="4.95588333148497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DA6-4A4A-A002-4C403F899195}"/>
                </c:ext>
              </c:extLst>
            </c:dLbl>
            <c:dLbl>
              <c:idx val="31"/>
              <c:layout>
                <c:manualLayout>
                  <c:x val="0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D1-4659-A7B5-7960EC2EB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2'!$B$22:$AG$23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2'!$B$25:$AG$25</c:f>
              <c:numCache>
                <c:formatCode>#,##0.0</c:formatCode>
                <c:ptCount val="32"/>
                <c:pt idx="0">
                  <c:v>93.68976480021378</c:v>
                </c:pt>
                <c:pt idx="1">
                  <c:v>101.62156394157972</c:v>
                </c:pt>
                <c:pt idx="2">
                  <c:v>81.728010071364707</c:v>
                </c:pt>
                <c:pt idx="3">
                  <c:v>69.517656214361068</c:v>
                </c:pt>
                <c:pt idx="4">
                  <c:v>73.959803043393492</c:v>
                </c:pt>
                <c:pt idx="5">
                  <c:v>93.752330261178145</c:v>
                </c:pt>
                <c:pt idx="6">
                  <c:v>86.811663105059509</c:v>
                </c:pt>
                <c:pt idx="7">
                  <c:v>79.643812518387932</c:v>
                </c:pt>
                <c:pt idx="8">
                  <c:v>88.887920831852767</c:v>
                </c:pt>
                <c:pt idx="9">
                  <c:v>92.923464078044901</c:v>
                </c:pt>
                <c:pt idx="10">
                  <c:v>98.30519698859753</c:v>
                </c:pt>
                <c:pt idx="11">
                  <c:v>99.977310656379856</c:v>
                </c:pt>
                <c:pt idx="12">
                  <c:v>90.415711128050958</c:v>
                </c:pt>
                <c:pt idx="13">
                  <c:v>92.544788099159774</c:v>
                </c:pt>
                <c:pt idx="14">
                  <c:v>123.33461185332185</c:v>
                </c:pt>
                <c:pt idx="15">
                  <c:v>145.62616468779689</c:v>
                </c:pt>
                <c:pt idx="16">
                  <c:v>129.53315145310887</c:v>
                </c:pt>
                <c:pt idx="17">
                  <c:v>119.63933960141166</c:v>
                </c:pt>
                <c:pt idx="18">
                  <c:v>125.94594158412818</c:v>
                </c:pt>
                <c:pt idx="19">
                  <c:v>144.1652577242715</c:v>
                </c:pt>
                <c:pt idx="20">
                  <c:v>138.93267521074247</c:v>
                </c:pt>
                <c:pt idx="21">
                  <c:v>141.26446794210585</c:v>
                </c:pt>
                <c:pt idx="22">
                  <c:v>138.86123791492062</c:v>
                </c:pt>
                <c:pt idx="23">
                  <c:v>148.90368550768355</c:v>
                </c:pt>
                <c:pt idx="24">
                  <c:v>166.47364542706634</c:v>
                </c:pt>
                <c:pt idx="25" formatCode="0.0">
                  <c:v>148.19932435921535</c:v>
                </c:pt>
                <c:pt idx="26">
                  <c:v>152.66035698218914</c:v>
                </c:pt>
                <c:pt idx="27">
                  <c:v>181.60981243888315</c:v>
                </c:pt>
                <c:pt idx="28">
                  <c:v>206.29915943030915</c:v>
                </c:pt>
                <c:pt idx="29" formatCode="0.0">
                  <c:v>183.60387022221354</c:v>
                </c:pt>
                <c:pt idx="30" formatCode="0.0">
                  <c:v>140.517945800311</c:v>
                </c:pt>
                <c:pt idx="31" formatCode="0.0">
                  <c:v>139.4085344954301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8464"/>
        <c:axId val="244839024"/>
      </c:lineChart>
      <c:catAx>
        <c:axId val="244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9024"/>
        <c:crossesAt val="30"/>
        <c:auto val="0"/>
        <c:lblAlgn val="ctr"/>
        <c:lblOffset val="100"/>
        <c:noMultiLvlLbl val="0"/>
      </c:catAx>
      <c:valAx>
        <c:axId val="244839024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846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2646829667123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Ianuarie-august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3'!$B$23:$B$28</c:f>
              <c:numCache>
                <c:formatCode>0.0</c:formatCode>
                <c:ptCount val="6"/>
                <c:pt idx="0">
                  <c:v>15.4</c:v>
                </c:pt>
                <c:pt idx="1">
                  <c:v>9</c:v>
                </c:pt>
                <c:pt idx="2">
                  <c:v>74.5</c:v>
                </c:pt>
                <c:pt idx="3">
                  <c:v>0.8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Ianuarie-august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3'!$C$23:$C$28</c:f>
              <c:numCache>
                <c:formatCode>0.0</c:formatCode>
                <c:ptCount val="6"/>
                <c:pt idx="0">
                  <c:v>6.6</c:v>
                </c:pt>
                <c:pt idx="1">
                  <c:v>2.6</c:v>
                </c:pt>
                <c:pt idx="2">
                  <c:v>89.6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Ianuarie-august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3'!$D$23:$D$28</c:f>
              <c:numCache>
                <c:formatCode>0.0</c:formatCode>
                <c:ptCount val="6"/>
                <c:pt idx="0">
                  <c:v>8</c:v>
                </c:pt>
                <c:pt idx="1">
                  <c:v>3.4</c:v>
                </c:pt>
                <c:pt idx="2">
                  <c:v>87.4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Ianuarie-august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3'!$E$23:$E$28</c:f>
              <c:numCache>
                <c:formatCode>0.0</c:formatCode>
                <c:ptCount val="6"/>
                <c:pt idx="0">
                  <c:v>6.8</c:v>
                </c:pt>
                <c:pt idx="1">
                  <c:v>4.5</c:v>
                </c:pt>
                <c:pt idx="2">
                  <c:v>87</c:v>
                </c:pt>
                <c:pt idx="3">
                  <c:v>1.6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Ianuarie-august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3'!$F$23:$F$28</c:f>
              <c:numCache>
                <c:formatCode>0.0</c:formatCode>
                <c:ptCount val="6"/>
                <c:pt idx="0">
                  <c:v>7</c:v>
                </c:pt>
                <c:pt idx="1">
                  <c:v>3.7</c:v>
                </c:pt>
                <c:pt idx="2">
                  <c:v>87.2</c:v>
                </c:pt>
                <c:pt idx="3">
                  <c:v>2.1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Ianuarie-august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3'!$G$23:$G$28</c:f>
              <c:numCache>
                <c:formatCode>0.0</c:formatCode>
                <c:ptCount val="6"/>
                <c:pt idx="0">
                  <c:v>7.6</c:v>
                </c:pt>
                <c:pt idx="1">
                  <c:v>2.5</c:v>
                </c:pt>
                <c:pt idx="2">
                  <c:v>87.1</c:v>
                </c:pt>
                <c:pt idx="3">
                  <c:v>2.7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861504"/>
        <c:axId val="245862064"/>
      </c:barChart>
      <c:catAx>
        <c:axId val="2458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2064"/>
        <c:crossesAt val="0"/>
        <c:auto val="1"/>
        <c:lblAlgn val="ctr"/>
        <c:lblOffset val="100"/>
        <c:noMultiLvlLbl val="0"/>
      </c:catAx>
      <c:valAx>
        <c:axId val="245862064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150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857477636723981"/>
          <c:y val="0.89051203016142444"/>
          <c:w val="0.8514252236327603"/>
          <c:h val="0.1094879698385755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4'!$B$21:$G$21</c:f>
              <c:numCache>
                <c:formatCode>0.0</c:formatCode>
                <c:ptCount val="6"/>
                <c:pt idx="0">
                  <c:v>58.1</c:v>
                </c:pt>
                <c:pt idx="1">
                  <c:v>66</c:v>
                </c:pt>
                <c:pt idx="2">
                  <c:v>63.7</c:v>
                </c:pt>
                <c:pt idx="3">
                  <c:v>65</c:v>
                </c:pt>
                <c:pt idx="4">
                  <c:v>62.6</c:v>
                </c:pt>
                <c:pt idx="5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4'!$B$22:$G$22</c:f>
              <c:numCache>
                <c:formatCode>0.0</c:formatCode>
                <c:ptCount val="6"/>
                <c:pt idx="0">
                  <c:v>20.8</c:v>
                </c:pt>
                <c:pt idx="1">
                  <c:v>15.8</c:v>
                </c:pt>
                <c:pt idx="2">
                  <c:v>14.6</c:v>
                </c:pt>
                <c:pt idx="3">
                  <c:v>16.2</c:v>
                </c:pt>
                <c:pt idx="4">
                  <c:v>15.6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Ianuarie-august 2017</c:v>
                </c:pt>
                <c:pt idx="1">
                  <c:v>Ianuarie-august 2018</c:v>
                </c:pt>
                <c:pt idx="2">
                  <c:v>Ianuarie-august 2019</c:v>
                </c:pt>
                <c:pt idx="3">
                  <c:v>Ianuarie-august 2020</c:v>
                </c:pt>
                <c:pt idx="4">
                  <c:v>Ianuarie-august 2021</c:v>
                </c:pt>
                <c:pt idx="5">
                  <c:v>Ianuarie-august 2022</c:v>
                </c:pt>
              </c:strCache>
            </c:strRef>
          </c:cat>
          <c:val>
            <c:numRef>
              <c:f>'Figura 4'!$B$23:$G$23</c:f>
              <c:numCache>
                <c:formatCode>0.0</c:formatCode>
                <c:ptCount val="6"/>
                <c:pt idx="0">
                  <c:v>21.1</c:v>
                </c:pt>
                <c:pt idx="1">
                  <c:v>18.2</c:v>
                </c:pt>
                <c:pt idx="2">
                  <c:v>21.7</c:v>
                </c:pt>
                <c:pt idx="3">
                  <c:v>18.8</c:v>
                </c:pt>
                <c:pt idx="4">
                  <c:v>21.8</c:v>
                </c:pt>
                <c:pt idx="5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65984"/>
        <c:axId val="245866544"/>
      </c:barChart>
      <c:catAx>
        <c:axId val="245865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6544"/>
        <c:crosses val="autoZero"/>
        <c:auto val="1"/>
        <c:lblAlgn val="ctr"/>
        <c:lblOffset val="100"/>
        <c:noMultiLvlLbl val="0"/>
      </c:catAx>
      <c:valAx>
        <c:axId val="245866544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5984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90182943549965"/>
          <c:w val="1"/>
          <c:h val="9.2297175539624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2.2640470912009786E-2"/>
          <c:w val="0.94076377536801559"/>
          <c:h val="0.6508408293623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Ianuarie-august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5'!$A$24:$A$45</c:f>
              <c:strCache>
                <c:ptCount val="22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Spania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  <c:pt idx="21">
                  <c:v>Austria</c:v>
                </c:pt>
              </c:strCache>
            </c:strRef>
          </c:cat>
          <c:val>
            <c:numRef>
              <c:f>'Figura 5'!$B$24:$B$45</c:f>
              <c:numCache>
                <c:formatCode>#,##0.0</c:formatCode>
                <c:ptCount val="22"/>
                <c:pt idx="0">
                  <c:v>24.445585241271885</c:v>
                </c:pt>
                <c:pt idx="1">
                  <c:v>3.0207173026295555</c:v>
                </c:pt>
                <c:pt idx="2">
                  <c:v>4.1274537343429891</c:v>
                </c:pt>
                <c:pt idx="3">
                  <c:v>9.2591378488957741</c:v>
                </c:pt>
                <c:pt idx="4">
                  <c:v>6.6967450304417264</c:v>
                </c:pt>
                <c:pt idx="5">
                  <c:v>11.362892718592011</c:v>
                </c:pt>
                <c:pt idx="6">
                  <c:v>3.6778238560115959</c:v>
                </c:pt>
                <c:pt idx="7">
                  <c:v>3.27842748845976</c:v>
                </c:pt>
                <c:pt idx="8">
                  <c:v>1.3631316530862509</c:v>
                </c:pt>
                <c:pt idx="9">
                  <c:v>1.2378632988139084</c:v>
                </c:pt>
                <c:pt idx="10">
                  <c:v>2.0622651086879477E-3</c:v>
                </c:pt>
                <c:pt idx="11">
                  <c:v>1.0262269206962682</c:v>
                </c:pt>
                <c:pt idx="12">
                  <c:v>6.0701474971632576</c:v>
                </c:pt>
                <c:pt idx="13">
                  <c:v>5.1524879329573681</c:v>
                </c:pt>
                <c:pt idx="14">
                  <c:v>0.44029216934535947</c:v>
                </c:pt>
                <c:pt idx="15">
                  <c:v>1.6812166513024842</c:v>
                </c:pt>
                <c:pt idx="16">
                  <c:v>0.83297363540084191</c:v>
                </c:pt>
                <c:pt idx="17">
                  <c:v>1.0108135504011799</c:v>
                </c:pt>
                <c:pt idx="18">
                  <c:v>1.4128285157677696</c:v>
                </c:pt>
                <c:pt idx="19">
                  <c:v>0.45670880183535129</c:v>
                </c:pt>
                <c:pt idx="20">
                  <c:v>5.3992169814309496E-3</c:v>
                </c:pt>
                <c:pt idx="21">
                  <c:v>1.4005448930832709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Ianuarie-august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5'!$A$24:$A$45</c:f>
              <c:strCache>
                <c:ptCount val="22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Spania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  <c:pt idx="21">
                  <c:v>Austria</c:v>
                </c:pt>
              </c:strCache>
            </c:strRef>
          </c:cat>
          <c:val>
            <c:numRef>
              <c:f>'Figura 5'!$C$24:$C$45</c:f>
              <c:numCache>
                <c:formatCode>#,##0.0</c:formatCode>
                <c:ptCount val="22"/>
                <c:pt idx="0">
                  <c:v>27.86751679885532</c:v>
                </c:pt>
                <c:pt idx="1">
                  <c:v>3.0052977083711201</c:v>
                </c:pt>
                <c:pt idx="2">
                  <c:v>3.276570881880426</c:v>
                </c:pt>
                <c:pt idx="3">
                  <c:v>11.759719947957702</c:v>
                </c:pt>
                <c:pt idx="4">
                  <c:v>8.4079204280656583</c:v>
                </c:pt>
                <c:pt idx="5">
                  <c:v>8.2235646720340636</c:v>
                </c:pt>
                <c:pt idx="6">
                  <c:v>1.9560334754973541</c:v>
                </c:pt>
                <c:pt idx="7">
                  <c:v>3.4720014051256971</c:v>
                </c:pt>
                <c:pt idx="8">
                  <c:v>1.5134651442312048</c:v>
                </c:pt>
                <c:pt idx="9">
                  <c:v>1.9815839462965452</c:v>
                </c:pt>
                <c:pt idx="10">
                  <c:v>1.0753512975301258E-2</c:v>
                </c:pt>
                <c:pt idx="11">
                  <c:v>1.4308004132845447</c:v>
                </c:pt>
                <c:pt idx="12">
                  <c:v>3.3117873116933851</c:v>
                </c:pt>
                <c:pt idx="13">
                  <c:v>3.5596794335825925</c:v>
                </c:pt>
                <c:pt idx="14">
                  <c:v>0.29247522788147945</c:v>
                </c:pt>
                <c:pt idx="15">
                  <c:v>2.0971805113568132</c:v>
                </c:pt>
                <c:pt idx="16">
                  <c:v>0.81157905140201136</c:v>
                </c:pt>
                <c:pt idx="17">
                  <c:v>1.0889567568315099</c:v>
                </c:pt>
                <c:pt idx="18">
                  <c:v>1.3813570169062859</c:v>
                </c:pt>
                <c:pt idx="19">
                  <c:v>0.65000872442480317</c:v>
                </c:pt>
                <c:pt idx="20">
                  <c:v>0.53362085325145514</c:v>
                </c:pt>
                <c:pt idx="21">
                  <c:v>1.558527280931344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Ianuarie-august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5'!$A$24:$A$45</c:f>
              <c:strCache>
                <c:ptCount val="22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Spania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  <c:pt idx="21">
                  <c:v>Austria</c:v>
                </c:pt>
              </c:strCache>
            </c:strRef>
          </c:cat>
          <c:val>
            <c:numRef>
              <c:f>'Figura 5'!$D$24:$D$45</c:f>
              <c:numCache>
                <c:formatCode>#,##0.0</c:formatCode>
                <c:ptCount val="22"/>
                <c:pt idx="0">
                  <c:v>28.413411370910513</c:v>
                </c:pt>
                <c:pt idx="1">
                  <c:v>2.6024090180301287</c:v>
                </c:pt>
                <c:pt idx="2">
                  <c:v>7.4324231057078292</c:v>
                </c:pt>
                <c:pt idx="3">
                  <c:v>10.353191193035215</c:v>
                </c:pt>
                <c:pt idx="4">
                  <c:v>9.0030629269168418</c:v>
                </c:pt>
                <c:pt idx="5">
                  <c:v>8.2697787172935069</c:v>
                </c:pt>
                <c:pt idx="6">
                  <c:v>1.5023568779537388</c:v>
                </c:pt>
                <c:pt idx="7">
                  <c:v>3.8699761281894505</c:v>
                </c:pt>
                <c:pt idx="8">
                  <c:v>1.977767024932569</c:v>
                </c:pt>
                <c:pt idx="9">
                  <c:v>2.9784968978633417</c:v>
                </c:pt>
                <c:pt idx="10">
                  <c:v>0</c:v>
                </c:pt>
                <c:pt idx="11">
                  <c:v>1.3328580337133424</c:v>
                </c:pt>
                <c:pt idx="12">
                  <c:v>1.9925874981506206</c:v>
                </c:pt>
                <c:pt idx="13">
                  <c:v>3.0072353292119218</c:v>
                </c:pt>
                <c:pt idx="14">
                  <c:v>0.30981261355247469</c:v>
                </c:pt>
                <c:pt idx="15">
                  <c:v>1.2872760127943785</c:v>
                </c:pt>
                <c:pt idx="16">
                  <c:v>0.81305597029903331</c:v>
                </c:pt>
                <c:pt idx="17">
                  <c:v>1.1954625832173231</c:v>
                </c:pt>
                <c:pt idx="18">
                  <c:v>1.0324479754998839</c:v>
                </c:pt>
                <c:pt idx="19">
                  <c:v>0.53268626251364237</c:v>
                </c:pt>
                <c:pt idx="20">
                  <c:v>4.9993396894871993E-3</c:v>
                </c:pt>
                <c:pt idx="21">
                  <c:v>1.0364159230109313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Ianuarie-august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5'!$A$24:$A$45</c:f>
              <c:strCache>
                <c:ptCount val="22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Spania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  <c:pt idx="21">
                  <c:v>Austria</c:v>
                </c:pt>
              </c:strCache>
            </c:strRef>
          </c:cat>
          <c:val>
            <c:numRef>
              <c:f>'Figura 5'!$E$24:$E$45</c:f>
              <c:numCache>
                <c:formatCode>#,##0.0</c:formatCode>
                <c:ptCount val="22"/>
                <c:pt idx="0">
                  <c:v>27.14815730362411</c:v>
                </c:pt>
                <c:pt idx="1">
                  <c:v>2.5479801945815446</c:v>
                </c:pt>
                <c:pt idx="2">
                  <c:v>6.7572175865980526</c:v>
                </c:pt>
                <c:pt idx="3">
                  <c:v>9.0871592981974612</c:v>
                </c:pt>
                <c:pt idx="4">
                  <c:v>9.0523503464340926</c:v>
                </c:pt>
                <c:pt idx="5">
                  <c:v>9.874297278061448</c:v>
                </c:pt>
                <c:pt idx="6">
                  <c:v>1.5249897946273774</c:v>
                </c:pt>
                <c:pt idx="7">
                  <c:v>4.1416263006970402</c:v>
                </c:pt>
                <c:pt idx="8">
                  <c:v>3.3544512815001593</c:v>
                </c:pt>
                <c:pt idx="9">
                  <c:v>2.801711677617936</c:v>
                </c:pt>
                <c:pt idx="10">
                  <c:v>4.5929461214892367E-3</c:v>
                </c:pt>
                <c:pt idx="11">
                  <c:v>1.4947281777545245</c:v>
                </c:pt>
                <c:pt idx="12">
                  <c:v>1.7227631035058932</c:v>
                </c:pt>
                <c:pt idx="13">
                  <c:v>2.785324331465759</c:v>
                </c:pt>
                <c:pt idx="14">
                  <c:v>0.85229143903001636</c:v>
                </c:pt>
                <c:pt idx="15">
                  <c:v>1.4100410649169874</c:v>
                </c:pt>
                <c:pt idx="16">
                  <c:v>1.104716152791875</c:v>
                </c:pt>
                <c:pt idx="17">
                  <c:v>1.5134104093239389</c:v>
                </c:pt>
                <c:pt idx="18">
                  <c:v>1.5132599952634991</c:v>
                </c:pt>
                <c:pt idx="19">
                  <c:v>0.62387749494441558</c:v>
                </c:pt>
                <c:pt idx="20">
                  <c:v>0.59332391361062942</c:v>
                </c:pt>
                <c:pt idx="21">
                  <c:v>0.7815364306715904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Ianuarie-august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5'!$A$24:$A$45</c:f>
              <c:strCache>
                <c:ptCount val="22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Spania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  <c:pt idx="21">
                  <c:v>Austria</c:v>
                </c:pt>
              </c:strCache>
            </c:strRef>
          </c:cat>
          <c:val>
            <c:numRef>
              <c:f>'Figura 5'!$F$24:$F$45</c:f>
              <c:numCache>
                <c:formatCode>#,##0.0</c:formatCode>
                <c:ptCount val="22"/>
                <c:pt idx="0">
                  <c:v>27.390381573570654</c:v>
                </c:pt>
                <c:pt idx="1">
                  <c:v>3.094071787450182</c:v>
                </c:pt>
                <c:pt idx="2">
                  <c:v>8.9632930106175657</c:v>
                </c:pt>
                <c:pt idx="3">
                  <c:v>7.6684716924506038</c:v>
                </c:pt>
                <c:pt idx="4">
                  <c:v>9.3373750249883045</c:v>
                </c:pt>
                <c:pt idx="5">
                  <c:v>9.3403678059830124</c:v>
                </c:pt>
                <c:pt idx="6">
                  <c:v>1.5569837375744644</c:v>
                </c:pt>
                <c:pt idx="7">
                  <c:v>3.666310545070405</c:v>
                </c:pt>
                <c:pt idx="8">
                  <c:v>3.0040787789592232</c:v>
                </c:pt>
                <c:pt idx="9">
                  <c:v>2.4437259310728008</c:v>
                </c:pt>
                <c:pt idx="10">
                  <c:v>9.851409680825872E-4</c:v>
                </c:pt>
                <c:pt idx="11">
                  <c:v>1.2863332800070399</c:v>
                </c:pt>
                <c:pt idx="12">
                  <c:v>2.168682030357632</c:v>
                </c:pt>
                <c:pt idx="13">
                  <c:v>2.2571319229530715</c:v>
                </c:pt>
                <c:pt idx="14">
                  <c:v>1.4005504918093585</c:v>
                </c:pt>
                <c:pt idx="15">
                  <c:v>1.1961853202888719</c:v>
                </c:pt>
                <c:pt idx="16">
                  <c:v>0.87392271911194874</c:v>
                </c:pt>
                <c:pt idx="17">
                  <c:v>1.1090622229769611</c:v>
                </c:pt>
                <c:pt idx="18">
                  <c:v>1.0200858430111701</c:v>
                </c:pt>
                <c:pt idx="19">
                  <c:v>0.808891744927699</c:v>
                </c:pt>
                <c:pt idx="20">
                  <c:v>0.89322983123730981</c:v>
                </c:pt>
                <c:pt idx="21">
                  <c:v>0.70341438880141549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Ianuarie-august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5'!$A$24:$A$45</c:f>
              <c:strCache>
                <c:ptCount val="22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Spania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  <c:pt idx="21">
                  <c:v>Austria</c:v>
                </c:pt>
              </c:strCache>
            </c:strRef>
          </c:cat>
          <c:val>
            <c:numRef>
              <c:f>'Figura 5'!$G$24:$G$45</c:f>
              <c:numCache>
                <c:formatCode>#,##0.0</c:formatCode>
                <c:ptCount val="22"/>
                <c:pt idx="0">
                  <c:v>28.270940250144257</c:v>
                </c:pt>
                <c:pt idx="1">
                  <c:v>13.868724757125882</c:v>
                </c:pt>
                <c:pt idx="2">
                  <c:v>8.6598435689234599</c:v>
                </c:pt>
                <c:pt idx="3">
                  <c:v>8.1945673653796316</c:v>
                </c:pt>
                <c:pt idx="4">
                  <c:v>5.4540121093182279</c:v>
                </c:pt>
                <c:pt idx="5">
                  <c:v>4.9557371013568021</c:v>
                </c:pt>
                <c:pt idx="6">
                  <c:v>4.1947411265114063</c:v>
                </c:pt>
                <c:pt idx="7">
                  <c:v>2.7645588130514005</c:v>
                </c:pt>
                <c:pt idx="8">
                  <c:v>2.2224936141341032</c:v>
                </c:pt>
                <c:pt idx="9">
                  <c:v>1.9574341937392288</c:v>
                </c:pt>
                <c:pt idx="10">
                  <c:v>1.7521492314791074</c:v>
                </c:pt>
                <c:pt idx="11">
                  <c:v>1.7223478855384051</c:v>
                </c:pt>
                <c:pt idx="12">
                  <c:v>1.607449414190151</c:v>
                </c:pt>
                <c:pt idx="13">
                  <c:v>1.5113778093806149</c:v>
                </c:pt>
                <c:pt idx="14">
                  <c:v>1.2306101866866272</c:v>
                </c:pt>
                <c:pt idx="15">
                  <c:v>0.94989825555395579</c:v>
                </c:pt>
                <c:pt idx="16">
                  <c:v>0.86729111090673283</c:v>
                </c:pt>
                <c:pt idx="17">
                  <c:v>0.8354489204487382</c:v>
                </c:pt>
                <c:pt idx="18">
                  <c:v>0.78234923038564497</c:v>
                </c:pt>
                <c:pt idx="19">
                  <c:v>0.52961062145687132</c:v>
                </c:pt>
                <c:pt idx="20">
                  <c:v>0.50190966710981733</c:v>
                </c:pt>
                <c:pt idx="21">
                  <c:v>0.4854465327296934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762464"/>
        <c:axId val="245763024"/>
      </c:barChart>
      <c:catAx>
        <c:axId val="2457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3024"/>
        <c:crosses val="autoZero"/>
        <c:auto val="1"/>
        <c:lblAlgn val="ctr"/>
        <c:lblOffset val="100"/>
        <c:noMultiLvlLbl val="0"/>
      </c:catAx>
      <c:valAx>
        <c:axId val="245763024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246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8.6348859439263001E-3"/>
          <c:y val="0.90301443197787246"/>
          <c:w val="0.98189470778802013"/>
          <c:h val="8.1852389810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</a:t>
            </a:r>
            <a:r>
              <a:rPr lang="ro-RO" sz="800" b="1" baseline="0">
                <a:solidFill>
                  <a:sysClr val="windowText" lastClr="000000"/>
                </a:solidFill>
              </a:rPr>
              <a:t>august</a:t>
            </a:r>
            <a:r>
              <a:rPr lang="en-US" sz="800" b="1" baseline="0">
                <a:solidFill>
                  <a:sysClr val="windowText" lastClr="000000"/>
                </a:solidFill>
              </a:rPr>
              <a:t> 2021</a:t>
            </a:r>
          </a:p>
        </c:rich>
      </c:tx>
      <c:layout>
        <c:manualLayout>
          <c:xMode val="edge"/>
          <c:yMode val="edge"/>
          <c:x val="0.35312048420888625"/>
          <c:y val="3.795679386230568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50134653080686"/>
          <c:y val="0.15936408764121876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6'!$B$27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explosion val="1"/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explosion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6"/>
            <c:bubble3D val="0"/>
            <c:explosion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7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explosion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8AF-449D-A134-DC727067AB63}"/>
              </c:ext>
            </c:extLst>
          </c:dPt>
          <c:dPt>
            <c:idx val="12"/>
            <c:bubble3D val="0"/>
            <c:explosion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4F9-42DB-8F03-9093B739ED79}"/>
              </c:ext>
            </c:extLst>
          </c:dPt>
          <c:dLbls>
            <c:dLbl>
              <c:idx val="0"/>
              <c:layout>
                <c:manualLayout>
                  <c:x val="-2.3233189068773842E-2"/>
                  <c:y val="5.58383202099737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78821719321169"/>
                      <c:h val="0.153456864087641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-5.1176085479459968E-2"/>
                  <c:y val="-2.14560872198667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20840493680924"/>
                      <c:h val="0.17004611346658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1.211224246958288E-2"/>
                  <c:y val="-9.4322704146638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50629070177168"/>
                      <c:h val="0.183007631738340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-2.1178331017273712E-2"/>
                  <c:y val="-4.96751343496609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3440939320665"/>
                      <c:h val="0.167969957601453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1.6170304750928365E-2"/>
                  <c:y val="3.7161639410458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81903095282194"/>
                      <c:h val="0.20136353725015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7.2921985063179789E-2"/>
                  <c:y val="1.9226522827508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81281896565062"/>
                      <c:h val="0.17921682316101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6"/>
              <c:layout>
                <c:manualLayout>
                  <c:x val="3.7261272145725326E-2"/>
                  <c:y val="9.14360894770756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87115914312112"/>
                      <c:h val="0.18368019382192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7"/>
              <c:layout>
                <c:manualLayout>
                  <c:x val="4.9024564637442834E-2"/>
                  <c:y val="6.58134139698114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6191530792"/>
                      <c:h val="0.170382755900707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2.8886264859167905E-2"/>
                  <c:y val="2.5671392626481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80007656047423"/>
                      <c:h val="0.152390874217645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-3.5176012677952165E-3"/>
                  <c:y val="-1.7998270040325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0"/>
              <c:layout>
                <c:manualLayout>
                  <c:x val="7.0310583305152781E-3"/>
                  <c:y val="-9.70886444839960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1"/>
              <c:layout>
                <c:manualLayout>
                  <c:x val="1.052628089090463E-2"/>
                  <c:y val="-0.180421848777492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AF-449D-A134-DC727067AB63}"/>
                </c:ext>
              </c:extLst>
            </c:dLbl>
            <c:dLbl>
              <c:idx val="12"/>
              <c:layout>
                <c:manualLayout>
                  <c:x val="0.12192859147863026"/>
                  <c:y val="1.4958297937705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49395164853"/>
                      <c:h val="0.157423000103248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84F9-42DB-8F03-9093B739ED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6'!$A$28:$A$40</c:f>
              <c:strCache>
                <c:ptCount val="13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Petrol, produse petroliere </c:v>
                </c:pt>
                <c:pt idx="3">
                  <c:v>Seminţe şi fructe oleaginoase</c:v>
                </c:pt>
                <c:pt idx="4">
                  <c:v>Grăsimi şi uleiuri vegetale </c:v>
                </c:pt>
                <c:pt idx="5">
                  <c:v>Legume şi fructe</c:v>
                </c:pt>
                <c:pt idx="6">
                  <c:v>Îmbrăcăminte şi accesorii</c:v>
                </c:pt>
                <c:pt idx="7">
                  <c:v>Băuturi alcoolice şi nealcoolice</c:v>
                </c:pt>
                <c:pt idx="8">
                  <c:v>Mobilă şi părţile ei</c:v>
                </c:pt>
                <c:pt idx="9">
                  <c:v>Vehicule rutiere </c:v>
                </c:pt>
                <c:pt idx="10">
                  <c:v>Fire, tesături, articole textile </c:v>
                </c:pt>
                <c:pt idx="11">
                  <c:v>Articole din minerale nemetalice</c:v>
                </c:pt>
                <c:pt idx="12">
                  <c:v>Alte mărfuri</c:v>
                </c:pt>
              </c:strCache>
            </c:strRef>
          </c:cat>
          <c:val>
            <c:numRef>
              <c:f>'Figura 6'!$B$28:$B$40</c:f>
              <c:numCache>
                <c:formatCode>0.0</c:formatCode>
                <c:ptCount val="13"/>
                <c:pt idx="0">
                  <c:v>8.1</c:v>
                </c:pt>
                <c:pt idx="1">
                  <c:v>19.600000000000001</c:v>
                </c:pt>
                <c:pt idx="2">
                  <c:v>0.8</c:v>
                </c:pt>
                <c:pt idx="3">
                  <c:v>6.5</c:v>
                </c:pt>
                <c:pt idx="4">
                  <c:v>2.5</c:v>
                </c:pt>
                <c:pt idx="5">
                  <c:v>9.5</c:v>
                </c:pt>
                <c:pt idx="6">
                  <c:v>10</c:v>
                </c:pt>
                <c:pt idx="7">
                  <c:v>6.8</c:v>
                </c:pt>
                <c:pt idx="8">
                  <c:v>5.7</c:v>
                </c:pt>
                <c:pt idx="9">
                  <c:v>2.1</c:v>
                </c:pt>
                <c:pt idx="10">
                  <c:v>2.9</c:v>
                </c:pt>
                <c:pt idx="11">
                  <c:v>2.2999999999999998</c:v>
                </c:pt>
                <c:pt idx="12" formatCode="#,##0.0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</a:t>
            </a: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august</a:t>
            </a: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2022</a:t>
            </a:r>
          </a:p>
        </c:rich>
      </c:tx>
      <c:layout>
        <c:manualLayout>
          <c:xMode val="edge"/>
          <c:yMode val="edge"/>
          <c:x val="0.34384544817076618"/>
          <c:y val="1.392145730999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C1F-4FBA-8D74-9AD92DA2B96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BE68-4648-9E21-F0C123FEF414}"/>
              </c:ext>
            </c:extLst>
          </c:dPt>
          <c:dLbls>
            <c:dLbl>
              <c:idx val="0"/>
              <c:layout>
                <c:manualLayout>
                  <c:x val="-4.1497471753522509E-2"/>
                  <c:y val="4.7097724888087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312975397465099"/>
                      <c:h val="0.171268015428991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450436970164128E-2"/>
                  <c:y val="-2.629340657549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5504498504852"/>
                      <c:h val="0.18994094418361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1.8554452946439624E-2"/>
                  <c:y val="-0.1013911659237949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510906194275074"/>
                      <c:h val="0.19045656944104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5.0641958923017885E-2"/>
                  <c:y val="-0.109881628044357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69398380642292"/>
                      <c:h val="0.1791742301945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17553058788006462"/>
                  <c:y val="-3.46766058631387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6125135060325"/>
                      <c:h val="0.187544449437292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0.22952811675737145"/>
                  <c:y val="5.07091156158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233321581071"/>
                      <c:h val="0.166876351994462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0.16998984765790565"/>
                  <c:y val="0.17660510781365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71277286846771"/>
                      <c:h val="0.14726426222767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5.9915518842679608E-2"/>
                  <c:y val="0.184370686921083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5294882686201"/>
                      <c:h val="0.17684892800597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1.0912653389301174E-2"/>
                  <c:y val="0.124893902368786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86851830088404"/>
                      <c:h val="0.14754027547175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-1.3348020475604225E-2"/>
                  <c:y val="4.2565925340837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8913568639739"/>
                      <c:h val="0.15962177272722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1.7067249621520376E-2"/>
                  <c:y val="-3.9445594250607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490221412198"/>
                      <c:h val="0.19442654618982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7.9971767115991743E-2"/>
                  <c:y val="-0.140487753206329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1F-4FBA-8D74-9AD92DA2B96A}"/>
                </c:ext>
              </c:extLst>
            </c:dLbl>
            <c:dLbl>
              <c:idx val="12"/>
              <c:layout>
                <c:manualLayout>
                  <c:x val="0.14139745008172883"/>
                  <c:y val="-4.6128398596498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68-4648-9E21-F0C123FEF41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6'!$A$43:$A$55</c:f>
              <c:strCache>
                <c:ptCount val="13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Petrol, produse petroliere </c:v>
                </c:pt>
                <c:pt idx="3">
                  <c:v>Seminţe şi fructe oleaginoase</c:v>
                </c:pt>
                <c:pt idx="4">
                  <c:v>Grăsimi şi uleiuri vegetale </c:v>
                </c:pt>
                <c:pt idx="5">
                  <c:v>Legume şi fructe</c:v>
                </c:pt>
                <c:pt idx="6">
                  <c:v>Îmbrăcăminte şi accesorii</c:v>
                </c:pt>
                <c:pt idx="7">
                  <c:v>Băuturi alcoolice şi nealcoolice</c:v>
                </c:pt>
                <c:pt idx="8">
                  <c:v>Mobilă şi părţile ei</c:v>
                </c:pt>
                <c:pt idx="9">
                  <c:v>Vehicule rutiere </c:v>
                </c:pt>
                <c:pt idx="10">
                  <c:v>Fire, tesături, articole textile </c:v>
                </c:pt>
                <c:pt idx="11">
                  <c:v>Articole din minerale nemetalice</c:v>
                </c:pt>
                <c:pt idx="12">
                  <c:v>Alte mărfuri</c:v>
                </c:pt>
              </c:strCache>
            </c:strRef>
          </c:cat>
          <c:val>
            <c:numRef>
              <c:f>'Figura 6'!$B$43:$B$55</c:f>
              <c:numCache>
                <c:formatCode>0.0</c:formatCode>
                <c:ptCount val="13"/>
                <c:pt idx="0">
                  <c:v>13</c:v>
                </c:pt>
                <c:pt idx="1">
                  <c:v>12</c:v>
                </c:pt>
                <c:pt idx="2">
                  <c:v>10.9</c:v>
                </c:pt>
                <c:pt idx="3">
                  <c:v>10</c:v>
                </c:pt>
                <c:pt idx="4">
                  <c:v>9.5</c:v>
                </c:pt>
                <c:pt idx="5">
                  <c:v>7.9</c:v>
                </c:pt>
                <c:pt idx="6">
                  <c:v>6.7</c:v>
                </c:pt>
                <c:pt idx="7">
                  <c:v>3.6</c:v>
                </c:pt>
                <c:pt idx="8">
                  <c:v>3.3</c:v>
                </c:pt>
                <c:pt idx="9">
                  <c:v>2.1</c:v>
                </c:pt>
                <c:pt idx="10">
                  <c:v>2</c:v>
                </c:pt>
                <c:pt idx="11">
                  <c:v>2</c:v>
                </c:pt>
                <c:pt idx="12" formatCode="#,##0.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7'!$B$22:$B$27</c:f>
              <c:numCache>
                <c:formatCode>#,##0.0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7'!$C$22:$C$27</c:f>
              <c:numCache>
                <c:formatCode>#,##0.0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7'!$D$22:$D$27</c:f>
              <c:numCache>
                <c:formatCode>#,##0.0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  <c:pt idx="5">
                  <c:v>748.3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7'!$E$22:$E$27</c:f>
              <c:numCache>
                <c:formatCode>#,##0.0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  <c:pt idx="5">
                  <c:v>770.5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7'!$F$22:$F$27</c:f>
              <c:numCache>
                <c:formatCode>#,##0.0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  <c:pt idx="5">
                  <c:v>772.7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7'!$G$22:$G$27</c:f>
              <c:numCache>
                <c:formatCode>#,##0.0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589.6</c:v>
                </c:pt>
                <c:pt idx="5">
                  <c:v>768.3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7'!$H$22:$H$27</c:f>
              <c:numCache>
                <c:formatCode>#,##0.0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  <c:pt idx="5">
                  <c:v>761.2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7'!$I$22:$I$27</c:f>
              <c:numCache>
                <c:formatCode>#,##0.0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  <c:pt idx="5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7'!$J$22:$J$27</c:f>
              <c:numCache>
                <c:formatCode>#,##0.0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7'!$K$22:$K$27</c:f>
              <c:numCache>
                <c:formatCode>#,##0.0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7'!$L$22:$L$27</c:f>
              <c:numCache>
                <c:formatCode>#,##0.0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7'!$M$22:$M$27</c:f>
              <c:numCache>
                <c:formatCode>#,##0.0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7836624"/>
        <c:axId val="247837184"/>
      </c:barChart>
      <c:catAx>
        <c:axId val="247836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7184"/>
        <c:crosses val="autoZero"/>
        <c:auto val="0"/>
        <c:lblAlgn val="ctr"/>
        <c:lblOffset val="100"/>
        <c:tickLblSkip val="1"/>
        <c:noMultiLvlLbl val="0"/>
      </c:catAx>
      <c:valAx>
        <c:axId val="24783718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66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20890170418836E-2"/>
          <c:y val="5.884050754810928E-2"/>
          <c:w val="0.93864202688949594"/>
          <c:h val="0.69597384015189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654111377711422E-2"/>
                  <c:y val="3.159796127182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1.9671146801135374E-2"/>
                  <c:y val="-3.515075699957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1.0122647693114132E-2"/>
                  <c:y val="-2.70616406126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1.3399138807355307E-2"/>
                  <c:y val="-4.176116622255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2.1706144329980671E-2"/>
                  <c:y val="-4.078961047488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2.0720176851948185E-2"/>
                  <c:y val="-3.0066589699115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8.3832304109008136E-3"/>
                  <c:y val="-2.686944971848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1.8153441655881019E-2"/>
                  <c:y val="3.7047701643129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2.2523170389309947E-2"/>
                  <c:y val="-3.100702556891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7112270149783584E-2"/>
                  <c:y val="-2.8576597304676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0353361350123261E-2"/>
                  <c:y val="-3.233081729690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1.5565366788620158E-2"/>
                  <c:y val="-3.8466904864823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2.1884433217755669E-2"/>
                  <c:y val="4.0001354227652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2.2343425722920654E-2"/>
                  <c:y val="-3.6764886928830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1.8379912221033991E-2"/>
                  <c:y val="-3.03152067454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212602526380057E-2"/>
                  <c:y val="2.716799536006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0091579696466924E-2"/>
                  <c:y val="-3.3873816076734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2.1552682436074902E-2"/>
                  <c:y val="4.5769474887968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5413698884658519E-2"/>
                  <c:y val="3.5333885511679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8.6297258694263378E-3"/>
                  <c:y val="-2.36938542686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1.3910011783178147E-2"/>
                  <c:y val="3.127274144921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3.3808426797010016E-2"/>
                  <c:y val="-2.5385954880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1.8058692171501647E-2"/>
                  <c:y val="3.214991163322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1.8699001837820545E-2"/>
                  <c:y val="-3.299664589272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2.1939413931799146E-2"/>
                  <c:y val="3.4321805527437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684086313350142E-2"/>
                      <c:h val="6.59936337621264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1.7499308829287252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E4-4A6E-AE38-0912513342F7}"/>
                </c:ext>
              </c:extLst>
            </c:dLbl>
            <c:dLbl>
              <c:idx val="30"/>
              <c:layout>
                <c:manualLayout>
                  <c:x val="-1.8845931154701893E-2"/>
                  <c:y val="4.517922313841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3-42E4-8F0F-C90DF758FBDD}"/>
                </c:ext>
              </c:extLst>
            </c:dLbl>
            <c:dLbl>
              <c:idx val="31"/>
              <c:layout>
                <c:manualLayout>
                  <c:x val="0"/>
                  <c:y val="-3.299664589272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A-45A3-83B6-11FE6FB5B8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8'!$B$23:$AG$24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8'!$B$25:$AG$25</c:f>
              <c:numCache>
                <c:formatCode>#,##0.0</c:formatCode>
                <c:ptCount val="32"/>
                <c:pt idx="0">
                  <c:v>70.382208343865415</c:v>
                </c:pt>
                <c:pt idx="1">
                  <c:v>127.63158194440297</c:v>
                </c:pt>
                <c:pt idx="2">
                  <c:v>103.24095247310265</c:v>
                </c:pt>
                <c:pt idx="3">
                  <c:v>57.064146061655876</c:v>
                </c:pt>
                <c:pt idx="4">
                  <c:v>115.32045479750228</c:v>
                </c:pt>
                <c:pt idx="5">
                  <c:v>125.55839051166471</c:v>
                </c:pt>
                <c:pt idx="6">
                  <c:v>120.09478099934977</c:v>
                </c:pt>
                <c:pt idx="7">
                  <c:v>87.312042792465732</c:v>
                </c:pt>
                <c:pt idx="8">
                  <c:v>117.22959939467061</c:v>
                </c:pt>
                <c:pt idx="9">
                  <c:v>97.096953437578748</c:v>
                </c:pt>
                <c:pt idx="10">
                  <c:v>105.93754706899317</c:v>
                </c:pt>
                <c:pt idx="11">
                  <c:v>108.49423751970338</c:v>
                </c:pt>
                <c:pt idx="12">
                  <c:v>70.397914008513311</c:v>
                </c:pt>
                <c:pt idx="13">
                  <c:v>130.56565598353049</c:v>
                </c:pt>
                <c:pt idx="14">
                  <c:v>120.83026196604835</c:v>
                </c:pt>
                <c:pt idx="15">
                  <c:v>89.231037795592442</c:v>
                </c:pt>
                <c:pt idx="16">
                  <c:v>100.2114807539604</c:v>
                </c:pt>
                <c:pt idx="17">
                  <c:v>104.66057637383682</c:v>
                </c:pt>
                <c:pt idx="18">
                  <c:v>95.30942393156748</c:v>
                </c:pt>
                <c:pt idx="19">
                  <c:v>102.30310816744974</c:v>
                </c:pt>
                <c:pt idx="20">
                  <c:v>116.7433114933096</c:v>
                </c:pt>
                <c:pt idx="21">
                  <c:v>96.368466717330918</c:v>
                </c:pt>
                <c:pt idx="22">
                  <c:v>108.45193596997535</c:v>
                </c:pt>
                <c:pt idx="23">
                  <c:v>107.60757399325725</c:v>
                </c:pt>
                <c:pt idx="24">
                  <c:v>82.428114796228584</c:v>
                </c:pt>
                <c:pt idx="25">
                  <c:v>107.62832138935146</c:v>
                </c:pt>
                <c:pt idx="26">
                  <c:v>111.83648900221725</c:v>
                </c:pt>
                <c:pt idx="27">
                  <c:v>102.9712600305761</c:v>
                </c:pt>
                <c:pt idx="28">
                  <c:v>100.2829822644897</c:v>
                </c:pt>
                <c:pt idx="29" formatCode="0.0">
                  <c:v>99.426283819396033</c:v>
                </c:pt>
                <c:pt idx="30" formatCode="0.0">
                  <c:v>99.079444566557498</c:v>
                </c:pt>
                <c:pt idx="31" formatCode="0.0">
                  <c:v>102.46989358109404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16873722799708E-2"/>
                  <c:y val="-3.0172260493212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2-4E81-B4FB-3673EA265C72}"/>
                </c:ext>
              </c:extLst>
            </c:dLbl>
            <c:dLbl>
              <c:idx val="1"/>
              <c:layout>
                <c:manualLayout>
                  <c:x val="-2.1833888243871422E-2"/>
                  <c:y val="3.275384244997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2.0634702827048951E-2"/>
                  <c:y val="3.652345139280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535146828384922E-2"/>
                  <c:y val="3.195430097230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1.123714989284739E-2"/>
                  <c:y val="2.9801557772172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0427774606269569E-2"/>
                  <c:y val="-3.1833925180974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2.0748657166129014E-2"/>
                  <c:y val="-3.2451877041600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1.7897380494274147E-2"/>
                  <c:y val="-3.308487587614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1.436422392909781E-2"/>
                  <c:y val="3.949180897456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1.9982744032044218E-2"/>
                  <c:y val="3.824906571971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9251430816434194E-2"/>
                  <c:y val="-3.039488731184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1654745463261238E-2"/>
                  <c:y val="3.669820147624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4726000302524657E-3"/>
                  <c:y val="-5.15119472972899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1.6695126617817087E-2"/>
                  <c:y val="-3.48426360109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4.3570625100432881E-3"/>
                  <c:y val="-7.0760471199435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8417038026402999E-3"/>
                  <c:y val="-7.74371994024983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4351627728178626E-2"/>
                  <c:y val="-3.2255924404003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1.8862722656722748E-2"/>
                  <c:y val="-3.64359053627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1.95791331238507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3.8447767895382822E-3"/>
                  <c:y val="1.28207057304344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0865741654092492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7314888739901359E-2"/>
                  <c:y val="-4.017952407789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2.4806831486921522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3.2801043275300444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2.0413646636984958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2.6120443115308277E-2"/>
                  <c:y val="3.214991163322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3-42E4-8F0F-C90DF758FBDD}"/>
                </c:ext>
              </c:extLst>
            </c:dLbl>
            <c:dLbl>
              <c:idx val="30"/>
              <c:layout>
                <c:manualLayout>
                  <c:x val="-2.9819121330401682E-2"/>
                  <c:y val="-3.299664589272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13-42E4-8F0F-C90DF758FBDD}"/>
                </c:ext>
              </c:extLst>
            </c:dLbl>
            <c:dLbl>
              <c:idx val="31"/>
              <c:layout>
                <c:manualLayout>
                  <c:x val="0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BA-45A3-83B6-11FE6FB5B8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8'!$B$23:$AG$24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8'!$B$26:$AG$26</c:f>
              <c:numCache>
                <c:formatCode>#,##0.0</c:formatCode>
                <c:ptCount val="32"/>
                <c:pt idx="0">
                  <c:v>101.95494191241148</c:v>
                </c:pt>
                <c:pt idx="1">
                  <c:v>105.56040244460927</c:v>
                </c:pt>
                <c:pt idx="2">
                  <c:v>93.752698643620619</c:v>
                </c:pt>
                <c:pt idx="3">
                  <c:v>55.393509795256001</c:v>
                </c:pt>
                <c:pt idx="4">
                  <c:v>68.38775508029515</c:v>
                </c:pt>
                <c:pt idx="5">
                  <c:v>92.838583025180498</c:v>
                </c:pt>
                <c:pt idx="6">
                  <c:v>99.505682896081424</c:v>
                </c:pt>
                <c:pt idx="7">
                  <c:v>93.399537993946922</c:v>
                </c:pt>
                <c:pt idx="8">
                  <c:v>101.32416894790069</c:v>
                </c:pt>
                <c:pt idx="9">
                  <c:v>93.954405564414117</c:v>
                </c:pt>
                <c:pt idx="10">
                  <c:v>103.7223292586142</c:v>
                </c:pt>
                <c:pt idx="11">
                  <c:v>105.12020671519058</c:v>
                </c:pt>
                <c:pt idx="12">
                  <c:v>105.14366410240868</c:v>
                </c:pt>
                <c:pt idx="13">
                  <c:v>107.56077192573727</c:v>
                </c:pt>
                <c:pt idx="14">
                  <c:v>125.88605526903886</c:v>
                </c:pt>
                <c:pt idx="15">
                  <c:v>196.84765533007069</c:v>
                </c:pt>
                <c:pt idx="16">
                  <c:v>171.05720800538208</c:v>
                </c:pt>
                <c:pt idx="17">
                  <c:v>142.58661575531545</c:v>
                </c:pt>
                <c:pt idx="18">
                  <c:v>113.15935709199938</c:v>
                </c:pt>
                <c:pt idx="19">
                  <c:v>132.58828425602752</c:v>
                </c:pt>
                <c:pt idx="20">
                  <c:v>132.03828597207149</c:v>
                </c:pt>
                <c:pt idx="21">
                  <c:v>131.0476458490858</c:v>
                </c:pt>
                <c:pt idx="22" formatCode="0.0">
                  <c:v>134.15801375299989</c:v>
                </c:pt>
                <c:pt idx="23">
                  <c:v>132.94448949123316</c:v>
                </c:pt>
                <c:pt idx="24" formatCode="0.0">
                  <c:v>155.66318683795325</c:v>
                </c:pt>
                <c:pt idx="25" formatCode="0.0">
                  <c:v>128.31680257172076</c:v>
                </c:pt>
                <c:pt idx="26" formatCode="0.0">
                  <c:v>118.765783058918</c:v>
                </c:pt>
                <c:pt idx="27" formatCode="0.0">
                  <c:v>137.05390671472063</c:v>
                </c:pt>
                <c:pt idx="28" formatCode="0.0">
                  <c:v>137.15169552375045</c:v>
                </c:pt>
                <c:pt idx="29" formatCode="0.0">
                  <c:v>130.29245469418862</c:v>
                </c:pt>
                <c:pt idx="30" formatCode="0.0">
                  <c:v>135.44624980193453</c:v>
                </c:pt>
                <c:pt idx="31" formatCode="0.0">
                  <c:v>135.66706890234821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840544"/>
        <c:axId val="247841104"/>
      </c:lineChart>
      <c:catAx>
        <c:axId val="2478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1104"/>
        <c:crossesAt val="30"/>
        <c:auto val="1"/>
        <c:lblAlgn val="ctr"/>
        <c:lblOffset val="100"/>
        <c:noMultiLvlLbl val="0"/>
      </c:catAx>
      <c:valAx>
        <c:axId val="247841104"/>
        <c:scaling>
          <c:orientation val="minMax"/>
          <c:max val="23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67762480394E-2"/>
          <c:y val="0.94239026652294522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0</xdr:rowOff>
    </xdr:from>
    <xdr:to>
      <xdr:col>12</xdr:col>
      <xdr:colOff>619125</xdr:colOff>
      <xdr:row>18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142875</xdr:rowOff>
    </xdr:from>
    <xdr:to>
      <xdr:col>12</xdr:col>
      <xdr:colOff>428625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2</xdr:row>
      <xdr:rowOff>9525</xdr:rowOff>
    </xdr:from>
    <xdr:to>
      <xdr:col>22</xdr:col>
      <xdr:colOff>323850</xdr:colOff>
      <xdr:row>21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0.0519</cdr:x>
      <cdr:y>0</cdr:y>
    </cdr:from>
    <cdr:to>
      <cdr:x>0.10683</cdr:x>
      <cdr:y>0.07817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1417" y="0"/>
          <a:ext cx="520069" cy="228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9525</xdr:rowOff>
    </xdr:from>
    <xdr:to>
      <xdr:col>6</xdr:col>
      <xdr:colOff>590551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2</xdr:row>
      <xdr:rowOff>9524</xdr:rowOff>
    </xdr:from>
    <xdr:to>
      <xdr:col>6</xdr:col>
      <xdr:colOff>314326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190501</xdr:rowOff>
    </xdr:from>
    <xdr:to>
      <xdr:col>6</xdr:col>
      <xdr:colOff>952500</xdr:colOff>
      <xdr:row>17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2</xdr:col>
      <xdr:colOff>9525</xdr:colOff>
      <xdr:row>23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828674</xdr:colOff>
      <xdr:row>2</xdr:row>
      <xdr:rowOff>28575</xdr:rowOff>
    </xdr:from>
    <xdr:to>
      <xdr:col>7</xdr:col>
      <xdr:colOff>285750</xdr:colOff>
      <xdr:row>23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13</xdr:col>
      <xdr:colOff>9525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5</xdr:col>
      <xdr:colOff>428625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171450</xdr:rowOff>
    </xdr:from>
    <xdr:to>
      <xdr:col>23</xdr:col>
      <xdr:colOff>352425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6</xdr:col>
      <xdr:colOff>942975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</xdr:row>
      <xdr:rowOff>9525</xdr:rowOff>
    </xdr:from>
    <xdr:to>
      <xdr:col>6</xdr:col>
      <xdr:colOff>476251</xdr:colOff>
      <xdr:row>18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</xdr:row>
      <xdr:rowOff>171451</xdr:rowOff>
    </xdr:from>
    <xdr:to>
      <xdr:col>6</xdr:col>
      <xdr:colOff>866774</xdr:colOff>
      <xdr:row>17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133349</xdr:rowOff>
    </xdr:from>
    <xdr:to>
      <xdr:col>7</xdr:col>
      <xdr:colOff>0</xdr:colOff>
      <xdr:row>22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9050" y="476249"/>
          <a:ext cx="7505700" cy="3095626"/>
          <a:chOff x="85821" y="-144912"/>
          <a:chExt cx="5271129" cy="209625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85821" y="-144912"/>
          <a:ext cx="2722524" cy="20962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79880" y="-144912"/>
          <a:ext cx="2677070" cy="20382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4"/>
  <sheetViews>
    <sheetView tabSelected="1" zoomScaleNormal="100" workbookViewId="0">
      <selection activeCell="A2" sqref="A2:XFD2"/>
    </sheetView>
  </sheetViews>
  <sheetFormatPr defaultRowHeight="12" x14ac:dyDescent="0.2"/>
  <cols>
    <col min="1" max="1" width="8.85546875" style="3" customWidth="1"/>
    <col min="2" max="2" width="8.7109375" style="3" customWidth="1"/>
    <col min="3" max="3" width="9.42578125" style="3" customWidth="1"/>
    <col min="4" max="4" width="7.7109375" style="3" customWidth="1"/>
    <col min="5" max="5" width="7.85546875" style="3" customWidth="1"/>
    <col min="6" max="6" width="7.140625" style="3" customWidth="1"/>
    <col min="7" max="7" width="7.28515625" style="3" customWidth="1"/>
    <col min="8" max="8" width="7.140625" style="3" customWidth="1"/>
    <col min="9" max="9" width="7.7109375" style="3" customWidth="1"/>
    <col min="10" max="10" width="10.42578125" style="3" bestFit="1" customWidth="1"/>
    <col min="11" max="11" width="9.5703125" style="3" bestFit="1" customWidth="1"/>
    <col min="12" max="12" width="9.28515625" style="3" bestFit="1" customWidth="1"/>
    <col min="13" max="13" width="9.85546875" style="3" bestFit="1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s="159" customFormat="1" x14ac:dyDescent="0.2">
      <c r="A2" s="162" t="s">
        <v>117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x14ac:dyDescent="0.2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">
      <c r="A5" s="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">
      <c r="A11" s="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">
      <c r="A13" s="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">
      <c r="A16" s="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21" x14ac:dyDescent="0.2">
      <c r="A17" s="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21" x14ac:dyDescent="0.2">
      <c r="A18" s="1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21" x14ac:dyDescent="0.2">
      <c r="N19" s="6"/>
    </row>
    <row r="20" spans="1:21" x14ac:dyDescent="0.2">
      <c r="A20" s="35" t="s">
        <v>0</v>
      </c>
      <c r="B20" s="124" t="s">
        <v>1</v>
      </c>
      <c r="C20" s="124" t="s">
        <v>2</v>
      </c>
      <c r="D20" s="124" t="s">
        <v>3</v>
      </c>
      <c r="E20" s="124" t="s">
        <v>4</v>
      </c>
      <c r="F20" s="124" t="s">
        <v>5</v>
      </c>
      <c r="G20" s="124" t="s">
        <v>6</v>
      </c>
      <c r="H20" s="124" t="s">
        <v>7</v>
      </c>
      <c r="I20" s="124" t="s">
        <v>8</v>
      </c>
      <c r="J20" s="124" t="s">
        <v>9</v>
      </c>
      <c r="K20" s="124" t="s">
        <v>10</v>
      </c>
      <c r="L20" s="124" t="s">
        <v>11</v>
      </c>
      <c r="M20" s="124" t="s">
        <v>12</v>
      </c>
    </row>
    <row r="21" spans="1:21" x14ac:dyDescent="0.2">
      <c r="A21" s="41">
        <v>2017</v>
      </c>
      <c r="B21" s="46">
        <v>139.5</v>
      </c>
      <c r="C21" s="46">
        <v>176.6</v>
      </c>
      <c r="D21" s="46">
        <v>212.1</v>
      </c>
      <c r="E21" s="46">
        <v>154.19999999999999</v>
      </c>
      <c r="F21" s="46">
        <v>174.7</v>
      </c>
      <c r="G21" s="46">
        <v>171.1</v>
      </c>
      <c r="H21" s="46">
        <v>191.6</v>
      </c>
      <c r="I21" s="46">
        <v>207.9</v>
      </c>
      <c r="J21" s="46">
        <v>223.9</v>
      </c>
      <c r="K21" s="46">
        <v>268.2</v>
      </c>
      <c r="L21" s="46">
        <v>272.10000000000002</v>
      </c>
      <c r="M21" s="47">
        <v>233.1</v>
      </c>
    </row>
    <row r="22" spans="1:21" x14ac:dyDescent="0.2">
      <c r="A22" s="41">
        <v>2018</v>
      </c>
      <c r="B22" s="46">
        <v>220.3</v>
      </c>
      <c r="C22" s="46">
        <v>215.5</v>
      </c>
      <c r="D22" s="46">
        <v>242.1</v>
      </c>
      <c r="E22" s="46">
        <v>199.7</v>
      </c>
      <c r="F22" s="46">
        <v>223</v>
      </c>
      <c r="G22" s="46">
        <v>214.1</v>
      </c>
      <c r="H22" s="46">
        <v>218.8</v>
      </c>
      <c r="I22" s="46">
        <v>218.6</v>
      </c>
      <c r="J22" s="46">
        <v>207.3</v>
      </c>
      <c r="K22" s="46">
        <v>259</v>
      </c>
      <c r="L22" s="46">
        <v>268.89999999999998</v>
      </c>
      <c r="M22" s="47">
        <v>218.8</v>
      </c>
    </row>
    <row r="23" spans="1:21" x14ac:dyDescent="0.2">
      <c r="A23" s="41">
        <v>2019</v>
      </c>
      <c r="B23" s="46">
        <v>234.3</v>
      </c>
      <c r="C23" s="46">
        <v>241.4</v>
      </c>
      <c r="D23" s="46">
        <v>257.2</v>
      </c>
      <c r="E23" s="46">
        <v>215.6</v>
      </c>
      <c r="F23" s="46">
        <v>210.5</v>
      </c>
      <c r="G23" s="46">
        <v>202.2</v>
      </c>
      <c r="H23" s="46">
        <v>220.2</v>
      </c>
      <c r="I23" s="46">
        <v>205.8</v>
      </c>
      <c r="J23" s="46">
        <v>238.8</v>
      </c>
      <c r="K23" s="46">
        <v>268.3</v>
      </c>
      <c r="L23" s="46">
        <v>266.60000000000002</v>
      </c>
      <c r="M23" s="47">
        <v>218.3</v>
      </c>
    </row>
    <row r="24" spans="1:21" x14ac:dyDescent="0.2">
      <c r="A24" s="41">
        <v>2020</v>
      </c>
      <c r="B24" s="46">
        <v>219.5</v>
      </c>
      <c r="C24" s="46">
        <v>245.3</v>
      </c>
      <c r="D24" s="46">
        <v>210.2</v>
      </c>
      <c r="E24" s="46">
        <v>149.80000000000001</v>
      </c>
      <c r="F24" s="46">
        <v>155.69999999999999</v>
      </c>
      <c r="G24" s="46">
        <v>189.6</v>
      </c>
      <c r="H24" s="46">
        <v>191.1</v>
      </c>
      <c r="I24" s="46">
        <v>163.9</v>
      </c>
      <c r="J24" s="46">
        <v>212.3</v>
      </c>
      <c r="K24" s="46">
        <v>249.4</v>
      </c>
      <c r="L24" s="46">
        <v>262</v>
      </c>
      <c r="M24" s="47">
        <v>218.3</v>
      </c>
    </row>
    <row r="25" spans="1:21" x14ac:dyDescent="0.2">
      <c r="A25" s="41">
        <v>2021</v>
      </c>
      <c r="B25" s="46">
        <v>198.4</v>
      </c>
      <c r="C25" s="46">
        <v>227</v>
      </c>
      <c r="D25" s="46">
        <v>259.3</v>
      </c>
      <c r="E25" s="46">
        <v>218.2</v>
      </c>
      <c r="F25" s="46">
        <v>201.7</v>
      </c>
      <c r="G25" s="46">
        <v>226.8</v>
      </c>
      <c r="H25" s="46">
        <v>240.7</v>
      </c>
      <c r="I25" s="46">
        <v>236.3</v>
      </c>
      <c r="J25" s="46">
        <v>294.89999999999998</v>
      </c>
      <c r="K25" s="99">
        <v>352.2</v>
      </c>
      <c r="L25" s="46">
        <v>363.9</v>
      </c>
      <c r="M25" s="47">
        <v>325</v>
      </c>
    </row>
    <row r="26" spans="1:21" x14ac:dyDescent="0.2">
      <c r="A26" s="42">
        <v>2022</v>
      </c>
      <c r="B26" s="48">
        <v>330.4</v>
      </c>
      <c r="C26" s="48">
        <v>336.5</v>
      </c>
      <c r="D26" s="48">
        <v>395.8</v>
      </c>
      <c r="E26" s="48">
        <v>396.3</v>
      </c>
      <c r="F26" s="48">
        <v>416</v>
      </c>
      <c r="G26" s="48">
        <v>416.4</v>
      </c>
      <c r="H26" s="48">
        <v>338.3</v>
      </c>
      <c r="I26" s="48">
        <v>329.4</v>
      </c>
      <c r="J26" s="48"/>
      <c r="K26" s="48"/>
      <c r="L26" s="48"/>
      <c r="M26" s="49"/>
    </row>
    <row r="30" spans="1:21" ht="15.75" x14ac:dyDescent="0.25">
      <c r="B30" s="79"/>
      <c r="C30" s="80"/>
      <c r="D30" s="79"/>
      <c r="E30" s="80"/>
      <c r="F30" s="79"/>
      <c r="G30" s="80"/>
      <c r="H30" s="79"/>
      <c r="I30" s="82"/>
      <c r="J30" s="83"/>
      <c r="K30" s="80"/>
      <c r="L30" s="70"/>
      <c r="M30" s="80"/>
      <c r="N30" s="70"/>
      <c r="O30" s="82"/>
      <c r="P30" s="70"/>
      <c r="Q30" s="80"/>
      <c r="R30" s="83"/>
      <c r="S30" s="80"/>
      <c r="T30" s="77"/>
      <c r="U30" s="78"/>
    </row>
    <row r="34" spans="11:11" x14ac:dyDescent="0.2">
      <c r="K34" s="3">
        <v>0</v>
      </c>
    </row>
  </sheetData>
  <mergeCells count="1">
    <mergeCell ref="A2:M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32"/>
  <sheetViews>
    <sheetView workbookViewId="0">
      <selection activeCell="A2" sqref="A2:XFD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s="159" customFormat="1" x14ac:dyDescent="0.2">
      <c r="A2" s="162" t="s">
        <v>108</v>
      </c>
      <c r="B2" s="162"/>
      <c r="C2" s="162"/>
      <c r="D2" s="162"/>
      <c r="E2" s="162"/>
      <c r="F2" s="162"/>
      <c r="G2" s="162"/>
    </row>
    <row r="3" spans="1:13" x14ac:dyDescent="0.2">
      <c r="A3" s="57"/>
      <c r="B3" s="57"/>
      <c r="C3" s="57"/>
      <c r="D3" s="57"/>
      <c r="E3" s="57"/>
      <c r="F3" s="57"/>
      <c r="G3" s="57"/>
      <c r="H3" s="56"/>
      <c r="I3" s="56"/>
      <c r="J3" s="56"/>
      <c r="K3" s="56"/>
      <c r="L3" s="56"/>
      <c r="M3" s="56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1"/>
      <c r="B22" s="12" t="s">
        <v>98</v>
      </c>
      <c r="C22" s="12" t="s">
        <v>97</v>
      </c>
      <c r="D22" s="12" t="s">
        <v>96</v>
      </c>
      <c r="E22" s="13" t="s">
        <v>95</v>
      </c>
      <c r="F22" s="13" t="s">
        <v>94</v>
      </c>
      <c r="G22" s="13" t="s">
        <v>93</v>
      </c>
    </row>
    <row r="23" spans="1:7" ht="15" customHeight="1" x14ac:dyDescent="0.2">
      <c r="A23" s="23" t="s">
        <v>48</v>
      </c>
      <c r="B23" s="127">
        <v>48.5</v>
      </c>
      <c r="C23" s="109">
        <v>49.5</v>
      </c>
      <c r="D23" s="109">
        <v>49</v>
      </c>
      <c r="E23" s="109">
        <v>45.8</v>
      </c>
      <c r="F23" s="109">
        <v>46.5</v>
      </c>
      <c r="G23" s="116">
        <v>46.1</v>
      </c>
    </row>
    <row r="24" spans="1:7" ht="15" customHeight="1" x14ac:dyDescent="0.2">
      <c r="A24" s="24" t="s">
        <v>49</v>
      </c>
      <c r="B24" s="128">
        <v>24.7</v>
      </c>
      <c r="C24" s="117">
        <v>24</v>
      </c>
      <c r="D24" s="117">
        <v>24.4</v>
      </c>
      <c r="E24" s="117">
        <v>25.3</v>
      </c>
      <c r="F24" s="117">
        <v>23.9</v>
      </c>
      <c r="G24" s="118">
        <v>25.4</v>
      </c>
    </row>
    <row r="25" spans="1:7" ht="15.75" customHeight="1" x14ac:dyDescent="0.2">
      <c r="A25" s="25" t="s">
        <v>50</v>
      </c>
      <c r="B25" s="129">
        <v>26.8</v>
      </c>
      <c r="C25" s="119">
        <v>26.5</v>
      </c>
      <c r="D25" s="119">
        <v>26.6</v>
      </c>
      <c r="E25" s="119">
        <v>28.9</v>
      </c>
      <c r="F25" s="119">
        <v>29.6</v>
      </c>
      <c r="G25" s="120">
        <v>28.5</v>
      </c>
    </row>
    <row r="26" spans="1:7" x14ac:dyDescent="0.2">
      <c r="G26" s="8"/>
    </row>
    <row r="30" spans="1:7" ht="15.75" x14ac:dyDescent="0.2">
      <c r="B30" s="96"/>
      <c r="C30" s="96"/>
      <c r="D30" s="96"/>
      <c r="E30" s="96"/>
      <c r="F30" s="96"/>
      <c r="G30" s="96"/>
    </row>
    <row r="31" spans="1:7" ht="15.75" x14ac:dyDescent="0.2">
      <c r="B31" s="96"/>
      <c r="C31" s="96"/>
      <c r="D31" s="96"/>
      <c r="E31" s="96"/>
      <c r="F31" s="96"/>
      <c r="G31" s="96"/>
    </row>
    <row r="32" spans="1:7" ht="15.75" x14ac:dyDescent="0.2">
      <c r="B32" s="96"/>
      <c r="C32" s="96"/>
      <c r="D32" s="96"/>
      <c r="E32" s="96"/>
      <c r="F32" s="96"/>
      <c r="G32" s="96"/>
    </row>
  </sheetData>
  <mergeCells count="1">
    <mergeCell ref="A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8"/>
  <sheetViews>
    <sheetView workbookViewId="0">
      <selection activeCell="A2" sqref="A2:XFD2"/>
    </sheetView>
  </sheetViews>
  <sheetFormatPr defaultRowHeight="12" x14ac:dyDescent="0.2"/>
  <cols>
    <col min="1" max="1" width="18" style="3" customWidth="1"/>
    <col min="2" max="7" width="14.42578125" style="3" customWidth="1"/>
    <col min="8" max="16384" width="9.140625" style="3"/>
  </cols>
  <sheetData>
    <row r="2" spans="1:10" s="159" customFormat="1" ht="16.5" customHeight="1" x14ac:dyDescent="0.2">
      <c r="A2" s="160" t="s">
        <v>107</v>
      </c>
      <c r="B2" s="160"/>
      <c r="C2" s="160"/>
      <c r="D2" s="160"/>
      <c r="E2" s="160"/>
      <c r="F2" s="160"/>
      <c r="G2" s="160"/>
      <c r="H2" s="158"/>
      <c r="I2" s="158"/>
      <c r="J2" s="158"/>
    </row>
    <row r="3" spans="1:10" ht="16.5" customHeight="1" x14ac:dyDescent="0.2"/>
    <row r="4" spans="1:10" ht="15.75" customHeight="1" x14ac:dyDescent="0.2"/>
    <row r="5" spans="1:10" ht="14.25" customHeight="1" x14ac:dyDescent="0.2"/>
    <row r="6" spans="1:10" ht="17.25" customHeight="1" x14ac:dyDescent="0.2"/>
    <row r="7" spans="1:10" ht="16.5" customHeight="1" x14ac:dyDescent="0.2"/>
    <row r="8" spans="1:10" ht="20.25" customHeight="1" x14ac:dyDescent="0.2"/>
    <row r="9" spans="1:10" ht="18.75" customHeight="1" x14ac:dyDescent="0.2"/>
    <row r="10" spans="1:10" ht="19.5" customHeight="1" x14ac:dyDescent="0.2"/>
    <row r="11" spans="1:10" ht="18.75" customHeight="1" x14ac:dyDescent="0.2"/>
    <row r="12" spans="1:10" ht="19.5" customHeight="1" x14ac:dyDescent="0.2"/>
    <row r="13" spans="1:10" ht="21.75" customHeight="1" x14ac:dyDescent="0.2"/>
    <row r="14" spans="1:10" ht="15" customHeight="1" x14ac:dyDescent="0.2"/>
    <row r="15" spans="1:10" ht="17.25" customHeight="1" x14ac:dyDescent="0.2"/>
    <row r="16" spans="1:10" ht="13.5" customHeight="1" x14ac:dyDescent="0.2"/>
    <row r="17" spans="1:7" ht="19.5" customHeight="1" x14ac:dyDescent="0.2"/>
    <row r="18" spans="1:7" ht="16.5" customHeight="1" x14ac:dyDescent="0.2"/>
    <row r="24" spans="1:7" ht="26.25" customHeight="1" x14ac:dyDescent="0.2">
      <c r="A24" s="86"/>
      <c r="B24" s="13" t="s">
        <v>98</v>
      </c>
      <c r="C24" s="13" t="s">
        <v>97</v>
      </c>
      <c r="D24" s="13" t="s">
        <v>96</v>
      </c>
      <c r="E24" s="13" t="s">
        <v>95</v>
      </c>
      <c r="F24" s="13" t="s">
        <v>94</v>
      </c>
      <c r="G24" s="13" t="s">
        <v>93</v>
      </c>
    </row>
    <row r="25" spans="1:7" x14ac:dyDescent="0.2">
      <c r="A25" s="145" t="s">
        <v>33</v>
      </c>
      <c r="B25" s="110">
        <f>IF(OR(989155.4695="",989155.4695="***"),"-",989155.4695/5891753.11111*100)</f>
        <v>16.78881397176611</v>
      </c>
      <c r="C25" s="110">
        <f>IF(540693.68259="","-",540693.68259/3703581.02097*100)</f>
        <v>14.599213019198039</v>
      </c>
      <c r="D25" s="110">
        <f>IF(547623.56876="","-",547623.56876/3771658.08092*100)</f>
        <v>14.519438321578217</v>
      </c>
      <c r="E25" s="110">
        <f>IF(398994.1376="","-",398994.1376/3323881.41153*100)</f>
        <v>12.00386199748146</v>
      </c>
      <c r="F25" s="110">
        <f>IF(544332.01446="","-",544332.01446/4403044.02622*100)</f>
        <v>12.362629381367038</v>
      </c>
      <c r="G25" s="111">
        <f>IF(989155.4695="","-",989155.4695/5891753.11111*100)</f>
        <v>16.78881397176611</v>
      </c>
    </row>
    <row r="26" spans="1:7" x14ac:dyDescent="0.2">
      <c r="A26" s="146" t="s">
        <v>60</v>
      </c>
      <c r="B26" s="112">
        <f>IF(OR(799925.00692="",799925.00692="***"),"-",799925.00692/5891753.11111*100)</f>
        <v>13.577028633660703</v>
      </c>
      <c r="C26" s="112">
        <f>IF(433895.49398="","-",433895.49398/3703581.02097*100)</f>
        <v>11.715566407842728</v>
      </c>
      <c r="D26" s="112">
        <f>IF(443829.56742="","-",443829.56742/3771658.08092*100)</f>
        <v>11.767492118790871</v>
      </c>
      <c r="E26" s="112">
        <f>IF(382578.49863="","-",382578.49863/3323881.41153*100)</f>
        <v>11.509992423402888</v>
      </c>
      <c r="F26" s="112">
        <f>IF(536128.98944="","-",536128.98944/4403044.02622*100)</f>
        <v>12.176325883806006</v>
      </c>
      <c r="G26" s="113">
        <f>IF(799925.00692="","-",799925.00692/5891753.11111*100)</f>
        <v>13.577028633660703</v>
      </c>
    </row>
    <row r="27" spans="1:7" x14ac:dyDescent="0.2">
      <c r="A27" s="146" t="s">
        <v>51</v>
      </c>
      <c r="B27" s="112">
        <f>IF(OR(596835.00855="",596835.00855="***"),"-",596835.00855/5891753.11111*100)</f>
        <v>10.130007101359292</v>
      </c>
      <c r="C27" s="112">
        <f>IF(387103.38786="","-",387103.38786/3703581.02097*100)</f>
        <v>10.45213769236279</v>
      </c>
      <c r="D27" s="112">
        <f>IF(381128.14248="","-",381128.14248/3771658.08092*100)</f>
        <v>10.105055503520973</v>
      </c>
      <c r="E27" s="112">
        <f>IF(376457.90102="","-",376457.90102/3323881.41153*100)</f>
        <v>11.325852351835694</v>
      </c>
      <c r="F27" s="112">
        <f>IF(513516.90948="","-",513516.90948/4403044.02622*100)</f>
        <v>11.662770265798423</v>
      </c>
      <c r="G27" s="113">
        <f>IF(596835.00855="","-",596835.00855/5891753.11111*100)</f>
        <v>10.130007101359292</v>
      </c>
    </row>
    <row r="28" spans="1:7" x14ac:dyDescent="0.2">
      <c r="A28" s="146" t="s">
        <v>38</v>
      </c>
      <c r="B28" s="112">
        <f>IF(OR(573092.0806="",573092.0806="***"),"-",573092.0806/5891753.11111*100)</f>
        <v>9.7270213091469824</v>
      </c>
      <c r="C28" s="112">
        <f>IF(363323.74916="","-",363323.74916/3703581.02097*100)</f>
        <v>9.8100661792689063</v>
      </c>
      <c r="D28" s="112">
        <f>IF(374306.76398="","-",374306.76398/3771658.08092*100)</f>
        <v>9.9241966251802278</v>
      </c>
      <c r="E28" s="112">
        <f>IF(326894.28344="","-",326894.28344/3323881.41153*100)</f>
        <v>9.8347155920201388</v>
      </c>
      <c r="F28" s="112">
        <f>IF(407680.05537="","-",407680.05537/4403044.02622*100)</f>
        <v>9.2590501694345324</v>
      </c>
      <c r="G28" s="113">
        <f>IF(573092.0806="","-",573092.0806/5891753.11111*100)</f>
        <v>9.7270213091469824</v>
      </c>
    </row>
    <row r="29" spans="1:7" x14ac:dyDescent="0.2">
      <c r="A29" s="146" t="s">
        <v>35</v>
      </c>
      <c r="B29" s="112">
        <f>IF(OR(408529.03282="",408529.03282="***"),"-",408529.03282/5891753.11111*100)</f>
        <v>6.9339129647106619</v>
      </c>
      <c r="C29" s="112">
        <f>IF(213880.3985="","-",213880.3985/3703581.02097*100)</f>
        <v>5.7749620512955024</v>
      </c>
      <c r="D29" s="112">
        <f>IF(241808.48912="","-",241808.48912/3771658.08092*100)</f>
        <v>6.4111985745276519</v>
      </c>
      <c r="E29" s="112">
        <f>IF(225554.0318="","-",225554.0318/3323881.41153*100)</f>
        <v>6.7858627873301973</v>
      </c>
      <c r="F29" s="112">
        <f>IF(313869.85371="","-",313869.85371/4403044.02622*100)</f>
        <v>7.1284741156553073</v>
      </c>
      <c r="G29" s="113">
        <f>IF(408529.03282="","-",408529.03282/5891753.11111*100)</f>
        <v>6.9339129647106619</v>
      </c>
    </row>
    <row r="30" spans="1:7" x14ac:dyDescent="0.2">
      <c r="A30" s="146" t="s">
        <v>34</v>
      </c>
      <c r="B30" s="112">
        <f>IF(OR(384615.4855="",384615.4855="***"),"-",384615.4855/5891753.11111*100)</f>
        <v>6.5280312709426971</v>
      </c>
      <c r="C30" s="112">
        <f>IF(315471.51497="","-",315471.51497/3703581.02097*100)</f>
        <v>8.5180130577344659</v>
      </c>
      <c r="D30" s="112">
        <f>IF(318566.36949="","-",318566.36949/3771658.08092*100)</f>
        <v>8.4463215555396758</v>
      </c>
      <c r="E30" s="112">
        <f>IF(272604.66646="","-",272604.66646/3323881.41153*100)</f>
        <v>8.2013956789908047</v>
      </c>
      <c r="F30" s="112">
        <f>IF(355771.82286="","-",355771.82286/4403044.02622*100)</f>
        <v>8.0801332155978685</v>
      </c>
      <c r="G30" s="113">
        <f>IF(384615.4855="","-",384615.4855/5891753.11111*100)</f>
        <v>6.5280312709426971</v>
      </c>
    </row>
    <row r="31" spans="1:7" x14ac:dyDescent="0.2">
      <c r="A31" s="146" t="s">
        <v>36</v>
      </c>
      <c r="B31" s="112">
        <f>IF(OR(298256.84921="",298256.84921="***"),"-",298256.84921/5891753.11111*100)</f>
        <v>5.0622767720456761</v>
      </c>
      <c r="C31" s="112">
        <f>IF(262531.53794="","-",262531.53794/3703581.02097*100)</f>
        <v>7.0885863291102167</v>
      </c>
      <c r="D31" s="112">
        <f>IF(264117.52945="","-",264117.52945/3771658.08092*100)</f>
        <v>7.0026901639391239</v>
      </c>
      <c r="E31" s="112">
        <f>IF(218617.79529="","-",218617.79529/3323881.41153*100)</f>
        <v>6.5771839672634131</v>
      </c>
      <c r="F31" s="112">
        <f>IF(292260.33146="","-",292260.33146/4403044.02622*100)</f>
        <v>6.6376881475542406</v>
      </c>
      <c r="G31" s="113">
        <f>IF(298256.84921="","-",298256.84921/5891753.11111*100)</f>
        <v>5.0622767720456761</v>
      </c>
    </row>
    <row r="32" spans="1:7" x14ac:dyDescent="0.2">
      <c r="A32" s="146" t="s">
        <v>37</v>
      </c>
      <c r="B32" s="112">
        <f>IF(OR(196539.97975="",196539.97975="***"),"-",196539.97975/5891753.11111*100)</f>
        <v>3.3358488728827962</v>
      </c>
      <c r="C32" s="112">
        <f>IF(129377.35522="","-",129377.35522/3703581.02097*100)</f>
        <v>3.4933043043328631</v>
      </c>
      <c r="D32" s="112">
        <f>IF(127141.67785="","-",127141.67785/3771658.08092*100)</f>
        <v>3.3709757120663228</v>
      </c>
      <c r="E32" s="112">
        <f>IF(130628.52805="","-",130628.52805/3323881.41153*100)</f>
        <v>3.9299996563316313</v>
      </c>
      <c r="F32" s="112">
        <f>IF(167539.52733="","-",167539.52733/4403044.02622*100)</f>
        <v>3.8050840812017088</v>
      </c>
      <c r="G32" s="113">
        <f>IF(196539.97975="","-",196539.97975/5891753.11111*100)</f>
        <v>3.3358488728827962</v>
      </c>
    </row>
    <row r="33" spans="1:7" x14ac:dyDescent="0.2">
      <c r="A33" s="146" t="s">
        <v>76</v>
      </c>
      <c r="B33" s="112">
        <f>IF(OR(172784.35244="",172784.35244="***"),"-",172784.35244/5891753.11111*100)</f>
        <v>2.9326475359971016</v>
      </c>
      <c r="C33" s="112">
        <f>IF(19690.16938="","-",19690.16938/3703581.02097*100)</f>
        <v>0.53165218388669067</v>
      </c>
      <c r="D33" s="112">
        <f>IF(24311.40689="","-",24311.40689/3771658.08092*100)</f>
        <v>0.64458141136881231</v>
      </c>
      <c r="E33" s="112">
        <f>IF(25638.3302="","-",25638.3302/3323881.41153*100)</f>
        <v>0.77133709136146777</v>
      </c>
      <c r="F33" s="112">
        <f>IF(29212.46103="","-",29212.46103/4403044.02622*100)</f>
        <v>0.66346057082419874</v>
      </c>
      <c r="G33" s="113">
        <f>IF(172784.35244="","-",172784.35244/5891753.11111*100)</f>
        <v>2.9326475359971016</v>
      </c>
    </row>
    <row r="34" spans="1:7" x14ac:dyDescent="0.2">
      <c r="A34" s="146" t="s">
        <v>62</v>
      </c>
      <c r="B34" s="112">
        <f>IF(OR(128137.82071="",128137.82071="***"),"-",128137.82071/5891753.11111*100)</f>
        <v>2.1748674510541224</v>
      </c>
      <c r="C34" s="112">
        <f>IF(95303.70968="","-",95303.70968/3703581.02097*100)</f>
        <v>2.5732853997356084</v>
      </c>
      <c r="D34" s="112">
        <f>IF(96572.76106="","-",96572.76106/3771658.08092*100)</f>
        <v>2.5604855739320764</v>
      </c>
      <c r="E34" s="112">
        <f>IF(81508.33627="","-",81508.33627/3323881.41153*100)</f>
        <v>2.4522034988149977</v>
      </c>
      <c r="F34" s="112">
        <f>IF(113524.32474="","-",113524.32474/4403044.02622*100)</f>
        <v>2.5783145492973931</v>
      </c>
      <c r="G34" s="113">
        <f>IF(128137.82071="","-",128137.82071/5891753.11111*100)</f>
        <v>2.1748674510541224</v>
      </c>
    </row>
    <row r="35" spans="1:7" x14ac:dyDescent="0.2">
      <c r="A35" s="146" t="s">
        <v>40</v>
      </c>
      <c r="B35" s="112">
        <f>IF(OR(119948.74982="",119948.74982="***"),"-",119948.74982/5891753.11111*100)</f>
        <v>2.0358753593020427</v>
      </c>
      <c r="C35" s="112">
        <f>IF(77671.04288="","-",77671.04288/3703581.02097*100)</f>
        <v>2.0971876257119733</v>
      </c>
      <c r="D35" s="112">
        <f>IF(75160.19668="","-",75160.19668/3771658.08092*100)</f>
        <v>1.9927627337223148</v>
      </c>
      <c r="E35" s="112">
        <f>IF(65122.46504="","-",65122.46504/3323881.41153*100)</f>
        <v>1.9592294963984225</v>
      </c>
      <c r="F35" s="112">
        <f>IF(81644.59755="","-",81644.59755/4403044.02622*100)</f>
        <v>1.8542762021866868</v>
      </c>
      <c r="G35" s="113">
        <f>IF(119948.74982="","-",119948.74982/5891753.11111*100)</f>
        <v>2.0358753593020427</v>
      </c>
    </row>
    <row r="36" spans="1:7" ht="13.5" customHeight="1" x14ac:dyDescent="0.2">
      <c r="A36" s="146" t="s">
        <v>64</v>
      </c>
      <c r="B36" s="112">
        <f>IF(OR(90625.818="",90625.818="***"),"-",90625.818/5891753.11111*100)</f>
        <v>1.5381808485679433</v>
      </c>
      <c r="C36" s="112">
        <f>IF(48982.73418="","-",48982.73418/3703581.02097*100)</f>
        <v>1.322577632368658</v>
      </c>
      <c r="D36" s="112">
        <f>IF(49962.05479="","-",49962.05479/3771658.08092*100)</f>
        <v>1.3246708402001548</v>
      </c>
      <c r="E36" s="112">
        <f>IF(42838.58541="","-",42838.58541/3323881.41153*100)</f>
        <v>1.2888120876214164</v>
      </c>
      <c r="F36" s="112">
        <f>IF(69497.80279="","-",69497.80279/4403044.02622*100)</f>
        <v>1.5784035402812824</v>
      </c>
      <c r="G36" s="113">
        <f>IF(90625.818="","-",90625.818/5891753.11111*100)</f>
        <v>1.5381808485679433</v>
      </c>
    </row>
    <row r="37" spans="1:7" ht="12" customHeight="1" x14ac:dyDescent="0.2">
      <c r="A37" s="146" t="s">
        <v>63</v>
      </c>
      <c r="B37" s="112">
        <f>IF(OR(87843.87403="",87843.87403="***"),"-",87843.87403/5891753.11111*100)</f>
        <v>1.4909632561546748</v>
      </c>
      <c r="C37" s="112">
        <f>IF(54346.94099="","-",54346.94099/3703581.02097*100)</f>
        <v>1.4674160139141783</v>
      </c>
      <c r="D37" s="112">
        <f>IF(73296.69512="","-",73296.69512/3771658.08092*100)</f>
        <v>1.9433547142248149</v>
      </c>
      <c r="E37" s="112">
        <f>IF(53790.02557="","-",53790.02557/3323881.41153*100)</f>
        <v>1.618289550987325</v>
      </c>
      <c r="F37" s="112">
        <f>IF(75089.26197="","-",75089.26197/4403044.02622*100)</f>
        <v>1.7053943027334186</v>
      </c>
      <c r="G37" s="113">
        <f>IF(87843.87403="","-",87843.87403/5891753.11111*100)</f>
        <v>1.4909632561546748</v>
      </c>
    </row>
    <row r="38" spans="1:7" x14ac:dyDescent="0.2">
      <c r="A38" s="146" t="s">
        <v>42</v>
      </c>
      <c r="B38" s="112">
        <f>IF(OR(87001.7506="",87001.7506="***"),"-",87001.7506/5891753.11111*100)</f>
        <v>1.476669998882709</v>
      </c>
      <c r="C38" s="112">
        <f>IF(41939.01462="","-",41939.01462/3703581.02097*100)</f>
        <v>1.13239090443918</v>
      </c>
      <c r="D38" s="112">
        <f>IF(33887.34833="","-",33887.34833/3771658.08092*100)</f>
        <v>0.89847349900110896</v>
      </c>
      <c r="E38" s="112">
        <f>IF(38440.29875="","-",38440.29875/3323881.41153*100)</f>
        <v>1.1564882735183302</v>
      </c>
      <c r="F38" s="112">
        <f>IF(57903.20066="","-",57903.20066/4403044.02622*100)</f>
        <v>1.3150720346012466</v>
      </c>
      <c r="G38" s="113">
        <f>IF(87001.7506="","-",87001.7506/5891753.11111*100)</f>
        <v>1.476669998882709</v>
      </c>
    </row>
    <row r="39" spans="1:7" x14ac:dyDescent="0.2">
      <c r="A39" s="146" t="s">
        <v>41</v>
      </c>
      <c r="B39" s="112">
        <f>IF(OR(71131.54703="",71131.54703="***"),"-",71131.54703/5891753.11111*100)</f>
        <v>1.2073069880655418</v>
      </c>
      <c r="C39" s="112">
        <f>IF(51838.53331="","-",51838.53331/3703581.02097*100)</f>
        <v>1.3996867630675738</v>
      </c>
      <c r="D39" s="112">
        <f>IF(54618.77053="","-",54618.77053/3771658.08092*100)</f>
        <v>1.4481368501112153</v>
      </c>
      <c r="E39" s="112">
        <f>IF(49722.56415="","-",49722.56415/3323881.41153*100)</f>
        <v>1.4959187165198062</v>
      </c>
      <c r="F39" s="112">
        <f>IF(61524.51072="","-",61524.51072/4403044.02622*100)</f>
        <v>1.397317636472025</v>
      </c>
      <c r="G39" s="113">
        <f>IF(71131.54703="","-",71131.54703/5891753.11111*100)</f>
        <v>1.2073069880655418</v>
      </c>
    </row>
    <row r="40" spans="1:7" x14ac:dyDescent="0.2">
      <c r="A40" s="146" t="s">
        <v>39</v>
      </c>
      <c r="B40" s="112">
        <f>IF(OR(69662.86079="",69662.86079="***"),"-",69662.86079/5891753.11111*100)</f>
        <v>1.1823791573791116</v>
      </c>
      <c r="C40" s="112">
        <f>IF(74691.1355="","-",74691.1355/3703581.02097*100)</f>
        <v>2.0167274612622825</v>
      </c>
      <c r="D40" s="112">
        <f>IF(85578.03408="","-",85578.03408/3771658.08092*100)</f>
        <v>2.2689764619152704</v>
      </c>
      <c r="E40" s="112">
        <f>IF(68407.43788="","-",68407.43788/3323881.41153*100)</f>
        <v>2.0580589199935293</v>
      </c>
      <c r="F40" s="112">
        <f>IF(82325.87557="","-",82325.87557/4403044.02622*100)</f>
        <v>1.8697490890336728</v>
      </c>
      <c r="G40" s="113">
        <f>IF(69662.86079="","-",69662.86079/5891753.11111*100)</f>
        <v>1.1823791573791116</v>
      </c>
    </row>
    <row r="41" spans="1:7" x14ac:dyDescent="0.2">
      <c r="A41" s="146" t="s">
        <v>83</v>
      </c>
      <c r="B41" s="112">
        <f>IF(OR(59060.15679="",59060.15679="***"),"-",59060.15679/5891753.11111*100)</f>
        <v>1.002420768083969</v>
      </c>
      <c r="C41" s="112">
        <f>IF(39488.32825="","-",39488.32825/3703581.02097*100)</f>
        <v>1.0662201805877509</v>
      </c>
      <c r="D41" s="112">
        <f>IF(38839.93712="","-",38839.93712/3771658.08092*100)</f>
        <v>1.0297841502781713</v>
      </c>
      <c r="E41" s="112">
        <f>IF(34980.40445="","-",34980.40445/3323881.41153*100)</f>
        <v>1.0523962837139349</v>
      </c>
      <c r="F41" s="112">
        <f>IF(47838.96305="","-",47838.96305/4403044.02622*100)</f>
        <v>1.0864974950311728</v>
      </c>
      <c r="G41" s="113">
        <f>IF(59060.15679="","-",59060.15679/5891753.11111*100)</f>
        <v>1.002420768083969</v>
      </c>
    </row>
    <row r="42" spans="1:7" x14ac:dyDescent="0.2">
      <c r="A42" s="146" t="s">
        <v>52</v>
      </c>
      <c r="B42" s="112">
        <f>IF(OR(54988.05724="",54988.05724="***"),"-",54988.05724/5891753.11111*100)</f>
        <v>0.93330552389083909</v>
      </c>
      <c r="C42" s="112">
        <f>IF(70089.64682="","-",70089.64682/3703581.02097*100)</f>
        <v>1.892483151391755</v>
      </c>
      <c r="D42" s="112">
        <f>IF(62870.47546="","-",62870.47546/3771658.08092*100)</f>
        <v>1.6669187426624936</v>
      </c>
      <c r="E42" s="112">
        <f>IF(36650.62012="","-",36650.62012/3323881.41153*100)</f>
        <v>1.1026452385715388</v>
      </c>
      <c r="F42" s="112">
        <f>IF(66750.45725="","-",66750.45725/4403044.02622*100)</f>
        <v>1.5160070363253912</v>
      </c>
      <c r="G42" s="113">
        <f>IF(54988.05724="","-",54988.05724/5891753.11111*100)</f>
        <v>0.93330552389083909</v>
      </c>
    </row>
    <row r="43" spans="1:7" x14ac:dyDescent="0.2">
      <c r="A43" s="146" t="s">
        <v>92</v>
      </c>
      <c r="B43" s="112">
        <f>IF(OR(47433.93271="",47433.93271="***"),"-",47433.93271/5891753.11111*100)</f>
        <v>0.80509029851496094</v>
      </c>
      <c r="C43" s="112">
        <f>IF(39331.75804="","-",39331.75804/3703581.02097*100)</f>
        <v>1.0619926448834289</v>
      </c>
      <c r="D43" s="112">
        <f>IF(37945.88657="","-",37945.88657/3771658.08092*100)</f>
        <v>1.0060797070116194</v>
      </c>
      <c r="E43" s="112">
        <f>IF(30109.87895="","-",30109.87895/3323881.41153*100)</f>
        <v>0.90586501809462161</v>
      </c>
      <c r="F43" s="112">
        <f>IF(41681.3178="","-",41681.3178/4403044.02622*100)</f>
        <v>0.94664776349700241</v>
      </c>
      <c r="G43" s="113">
        <f>IF(47433.93271="","-",47433.93271/5891753.11111*100)</f>
        <v>0.80509029851496094</v>
      </c>
    </row>
    <row r="44" spans="1:7" x14ac:dyDescent="0.2">
      <c r="A44" s="146" t="s">
        <v>87</v>
      </c>
      <c r="B44" s="112">
        <f>IF(OR(46168.90513="",46168.90513="***"),"-",46168.90513/5891753.11111*100)</f>
        <v>0.7836191411846487</v>
      </c>
      <c r="C44" s="112">
        <f>IF(36460.8159="","-",36460.8159/3703581.02097*100)</f>
        <v>0.98447463937080537</v>
      </c>
      <c r="D44" s="112">
        <f>IF(31872.3423="","-",31872.3423/3771658.08092*100)</f>
        <v>0.84504855997512773</v>
      </c>
      <c r="E44" s="112">
        <f>IF(34109.0217="","-",34109.0217/3323881.41153*100)</f>
        <v>1.0261804642512633</v>
      </c>
      <c r="F44" s="112">
        <f>IF(42227.23081="","-",42227.23081/4403044.02622*100)</f>
        <v>0.95904629975394429</v>
      </c>
      <c r="G44" s="113">
        <f>IF(46168.90513="","-",46168.90513/5891753.11111*100)</f>
        <v>0.7836191411846487</v>
      </c>
    </row>
    <row r="45" spans="1:7" x14ac:dyDescent="0.2">
      <c r="A45" s="146" t="s">
        <v>59</v>
      </c>
      <c r="B45" s="112">
        <f>IF(OR(44242.31794="",44242.31794="***"),"-",44242.31794/5891753.11111*100)</f>
        <v>0.75091941406324136</v>
      </c>
      <c r="C45" s="112">
        <f>IF(16835.56915="","-",16835.56915/3703581.02097*100)</f>
        <v>0.45457542456005501</v>
      </c>
      <c r="D45" s="112">
        <f>IF(15125.12157="","-",15125.12157/3771658.08092*100)</f>
        <v>0.40102048609641228</v>
      </c>
      <c r="E45" s="112">
        <f>IF(16066.68539="","-",16066.68539/3323881.41153*100)</f>
        <v>0.4833711977288751</v>
      </c>
      <c r="F45" s="112">
        <f>IF(20145.56268="","-",20145.56268/4403044.02622*100)</f>
        <v>0.45753716201867967</v>
      </c>
      <c r="G45" s="113">
        <f>IF(44242.31794="","-",44242.31794/5891753.11111*100)</f>
        <v>0.75091941406324136</v>
      </c>
    </row>
    <row r="46" spans="1:7" x14ac:dyDescent="0.2">
      <c r="A46" s="146" t="s">
        <v>65</v>
      </c>
      <c r="B46" s="112">
        <f>IF(OR(40076.10504="",40076.10504="***"),"-",40076.10504/5891753.11111*100)</f>
        <v>0.68020679557038854</v>
      </c>
      <c r="C46" s="112">
        <f>IF(25128.52919="","-",25128.52919/3703581.02097*100)</f>
        <v>0.67849276275367187</v>
      </c>
      <c r="D46" s="112">
        <f>IF(24582.21366="","-",24582.21366/3771658.08092*100)</f>
        <v>0.65176145696652854</v>
      </c>
      <c r="E46" s="112">
        <f>IF(25766.44942="","-",25766.44942/3323881.41153*100)</f>
        <v>0.77519159770924473</v>
      </c>
      <c r="F46" s="112">
        <f>IF(31983.04091="","-",31983.04091/4403044.02622*100)</f>
        <v>0.72638476289453191</v>
      </c>
      <c r="G46" s="113">
        <f>IF(40076.10504="","-",40076.10504/5891753.11111*100)</f>
        <v>0.68020679557038854</v>
      </c>
    </row>
    <row r="47" spans="1:7" x14ac:dyDescent="0.2">
      <c r="A47" s="146" t="s">
        <v>89</v>
      </c>
      <c r="B47" s="112">
        <f>IF(OR(34720.7133="",34720.7133="***"),"-",34720.7133/5891753.11111*100)</f>
        <v>0.58931039107065808</v>
      </c>
      <c r="C47" s="112">
        <f>IF(31549.98149="","-",31549.98149/3703581.02097*100)</f>
        <v>0.85187771811555468</v>
      </c>
      <c r="D47" s="112">
        <f>IF(28082.14149="","-",28082.14149/3771658.08092*100)</f>
        <v>0.74455692662231143</v>
      </c>
      <c r="E47" s="112">
        <f>IF(24710.70743="","-",24710.70743/3323881.41153*100)</f>
        <v>0.74342927350785148</v>
      </c>
      <c r="F47" s="112">
        <f>IF(30625.32153="","-",30625.32153/4403044.02622*100)</f>
        <v>0.69554883729590467</v>
      </c>
      <c r="G47" s="113">
        <f>IF(34720.7133="","-",34720.7133/5891753.11111*100)</f>
        <v>0.58931039107065808</v>
      </c>
    </row>
    <row r="48" spans="1:7" x14ac:dyDescent="0.2">
      <c r="A48" s="147" t="s">
        <v>90</v>
      </c>
      <c r="B48" s="114">
        <f>IF(OR(34494.29029="",34494.29029="***"),"-",34494.29029/5891753.11111*100)</f>
        <v>0.58546734120536337</v>
      </c>
      <c r="C48" s="114">
        <f>IF(19609.57174="","-",19609.57174/3703581.02097*100)</f>
        <v>0.52947597552122894</v>
      </c>
      <c r="D48" s="114">
        <f>IF(21458.08861="","-",21458.08861/3771658.08092*100)</f>
        <v>0.56892984861357965</v>
      </c>
      <c r="E48" s="114">
        <f>IF(17780.48799="","-",17780.48799/3323881.41153*100)</f>
        <v>0.53493147885247649</v>
      </c>
      <c r="F48" s="114">
        <f>IF(25562.75143="","-",25562.75143/4403044.02622*100)</f>
        <v>0.58056997108760555</v>
      </c>
      <c r="G48" s="115">
        <f>IF(34494.29029="","-",34494.29029/5891753.11111*100)</f>
        <v>0.58546734120536337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4"/>
  <sheetViews>
    <sheetView workbookViewId="0">
      <selection activeCell="A2" sqref="A2:XFD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0" s="159" customFormat="1" x14ac:dyDescent="0.2">
      <c r="A2" s="161" t="s">
        <v>106</v>
      </c>
      <c r="B2" s="161"/>
      <c r="C2" s="161"/>
      <c r="D2" s="161"/>
      <c r="E2" s="161"/>
      <c r="F2" s="161"/>
      <c r="G2" s="161"/>
    </row>
    <row r="3" spans="1:10" x14ac:dyDescent="0.2">
      <c r="A3" s="57"/>
      <c r="B3" s="57"/>
      <c r="C3" s="57"/>
      <c r="D3" s="57"/>
      <c r="E3" s="57"/>
      <c r="F3" s="57"/>
      <c r="G3" s="56"/>
      <c r="H3" s="56"/>
      <c r="I3" s="56"/>
      <c r="J3" s="56"/>
    </row>
    <row r="4" spans="1:10" x14ac:dyDescent="0.2">
      <c r="A4" s="4"/>
      <c r="B4" s="4"/>
      <c r="C4" s="4"/>
      <c r="D4" s="4"/>
      <c r="E4" s="4"/>
      <c r="F4" s="4"/>
    </row>
    <row r="5" spans="1:10" x14ac:dyDescent="0.2">
      <c r="A5" s="4"/>
      <c r="B5" s="4"/>
      <c r="C5" s="4"/>
      <c r="D5" s="4"/>
      <c r="E5" s="4"/>
      <c r="F5" s="4"/>
    </row>
    <row r="6" spans="1:10" x14ac:dyDescent="0.2">
      <c r="A6" s="4"/>
      <c r="B6" s="4"/>
      <c r="C6" s="4"/>
      <c r="D6" s="4"/>
      <c r="E6" s="4"/>
      <c r="F6" s="4"/>
    </row>
    <row r="7" spans="1:10" x14ac:dyDescent="0.2">
      <c r="A7" s="4"/>
      <c r="B7" s="4"/>
      <c r="C7" s="4"/>
      <c r="D7" s="4"/>
      <c r="E7" s="4"/>
      <c r="F7" s="4"/>
    </row>
    <row r="8" spans="1:10" x14ac:dyDescent="0.2">
      <c r="A8" s="4"/>
      <c r="B8" s="4"/>
      <c r="C8" s="4"/>
      <c r="D8" s="4"/>
      <c r="E8" s="4"/>
      <c r="F8" s="4"/>
    </row>
    <row r="9" spans="1:10" x14ac:dyDescent="0.2">
      <c r="A9" s="4"/>
      <c r="B9" s="4"/>
      <c r="C9" s="4"/>
      <c r="D9" s="4"/>
      <c r="E9" s="4"/>
      <c r="F9" s="4"/>
    </row>
    <row r="10" spans="1:10" x14ac:dyDescent="0.2">
      <c r="A10" s="4"/>
      <c r="B10" s="4"/>
      <c r="C10" s="4"/>
      <c r="D10" s="4"/>
      <c r="E10" s="4"/>
      <c r="F10" s="4"/>
    </row>
    <row r="11" spans="1:10" x14ac:dyDescent="0.2">
      <c r="A11" s="4"/>
      <c r="B11" s="4"/>
      <c r="C11" s="4"/>
      <c r="D11" s="4"/>
      <c r="E11" s="4"/>
      <c r="F11" s="4"/>
    </row>
    <row r="12" spans="1:10" x14ac:dyDescent="0.2">
      <c r="A12" s="4"/>
      <c r="B12" s="4"/>
      <c r="C12" s="4"/>
      <c r="D12" s="4"/>
      <c r="E12" s="4"/>
      <c r="F12" s="4"/>
    </row>
    <row r="13" spans="1:10" x14ac:dyDescent="0.2">
      <c r="A13" s="4"/>
      <c r="B13" s="4"/>
      <c r="C13" s="4"/>
      <c r="D13" s="4"/>
      <c r="E13" s="4"/>
      <c r="F13" s="4"/>
    </row>
    <row r="14" spans="1:10" x14ac:dyDescent="0.2">
      <c r="A14" s="4"/>
      <c r="B14" s="4"/>
      <c r="C14" s="4"/>
      <c r="D14" s="4"/>
      <c r="E14" s="4"/>
      <c r="F14" s="4"/>
    </row>
    <row r="15" spans="1:10" x14ac:dyDescent="0.2">
      <c r="A15" s="4"/>
      <c r="B15" s="4"/>
      <c r="C15" s="4"/>
      <c r="D15" s="4"/>
      <c r="E15" s="4"/>
      <c r="F15" s="4"/>
    </row>
    <row r="16" spans="1:10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ht="16.5" customHeight="1" x14ac:dyDescent="0.2">
      <c r="A22" s="5"/>
    </row>
    <row r="23" spans="1:6" ht="16.5" customHeight="1" x14ac:dyDescent="0.2">
      <c r="A23" s="5"/>
    </row>
    <row r="24" spans="1:6" ht="16.5" customHeight="1" x14ac:dyDescent="0.2">
      <c r="A24" s="5"/>
    </row>
    <row r="25" spans="1:6" ht="16.5" customHeight="1" x14ac:dyDescent="0.2">
      <c r="A25" s="5"/>
    </row>
    <row r="26" spans="1:6" x14ac:dyDescent="0.2">
      <c r="A26" s="53" t="s">
        <v>101</v>
      </c>
      <c r="B26" s="98" t="s">
        <v>44</v>
      </c>
    </row>
    <row r="27" spans="1:6" x14ac:dyDescent="0.2">
      <c r="A27" s="142" t="s">
        <v>103</v>
      </c>
      <c r="B27" s="134">
        <v>8.5</v>
      </c>
    </row>
    <row r="28" spans="1:6" ht="13.5" customHeight="1" x14ac:dyDescent="0.2">
      <c r="A28" s="143" t="s">
        <v>77</v>
      </c>
      <c r="B28" s="135">
        <v>3.6</v>
      </c>
    </row>
    <row r="29" spans="1:6" x14ac:dyDescent="0.2">
      <c r="A29" s="143" t="s">
        <v>71</v>
      </c>
      <c r="B29" s="135">
        <v>7.7</v>
      </c>
    </row>
    <row r="30" spans="1:6" x14ac:dyDescent="0.2">
      <c r="A30" s="143" t="s">
        <v>84</v>
      </c>
      <c r="B30" s="135">
        <v>6.3</v>
      </c>
    </row>
    <row r="31" spans="1:6" x14ac:dyDescent="0.2">
      <c r="A31" s="143" t="s">
        <v>100</v>
      </c>
      <c r="B31" s="135">
        <v>4.8</v>
      </c>
    </row>
    <row r="32" spans="1:6" x14ac:dyDescent="0.2">
      <c r="A32" s="143" t="s">
        <v>78</v>
      </c>
      <c r="B32" s="135">
        <v>3.4</v>
      </c>
    </row>
    <row r="33" spans="1:3" x14ac:dyDescent="0.2">
      <c r="A33" s="143" t="s">
        <v>70</v>
      </c>
      <c r="B33" s="135">
        <v>4.5999999999999996</v>
      </c>
    </row>
    <row r="34" spans="1:3" x14ac:dyDescent="0.2">
      <c r="A34" s="143" t="s">
        <v>81</v>
      </c>
      <c r="B34" s="135">
        <v>3.6</v>
      </c>
    </row>
    <row r="35" spans="1:3" x14ac:dyDescent="0.2">
      <c r="A35" s="143" t="s">
        <v>88</v>
      </c>
      <c r="B35" s="135">
        <v>3.1</v>
      </c>
    </row>
    <row r="36" spans="1:3" x14ac:dyDescent="0.2">
      <c r="A36" s="143" t="s">
        <v>67</v>
      </c>
      <c r="B36" s="135">
        <v>2.7</v>
      </c>
    </row>
    <row r="37" spans="1:3" x14ac:dyDescent="0.2">
      <c r="A37" s="143" t="s">
        <v>85</v>
      </c>
      <c r="B37" s="135">
        <v>2.5</v>
      </c>
    </row>
    <row r="38" spans="1:3" x14ac:dyDescent="0.2">
      <c r="A38" s="143" t="s">
        <v>73</v>
      </c>
      <c r="B38" s="135">
        <v>2.8</v>
      </c>
    </row>
    <row r="39" spans="1:3" x14ac:dyDescent="0.2">
      <c r="A39" s="144" t="s">
        <v>74</v>
      </c>
      <c r="B39" s="104">
        <v>46.4</v>
      </c>
    </row>
    <row r="40" spans="1:3" x14ac:dyDescent="0.2">
      <c r="A40" s="87"/>
      <c r="B40" s="130"/>
      <c r="C40" s="6"/>
    </row>
    <row r="41" spans="1:3" ht="11.25" customHeight="1" x14ac:dyDescent="0.2">
      <c r="A41" s="97" t="s">
        <v>102</v>
      </c>
      <c r="B41" s="105" t="s">
        <v>44</v>
      </c>
    </row>
    <row r="42" spans="1:3" x14ac:dyDescent="0.2">
      <c r="A42" s="137" t="s">
        <v>103</v>
      </c>
      <c r="B42" s="134">
        <v>16</v>
      </c>
    </row>
    <row r="43" spans="1:3" x14ac:dyDescent="0.2">
      <c r="A43" s="138" t="s">
        <v>77</v>
      </c>
      <c r="B43" s="135">
        <v>8.6999999999999993</v>
      </c>
    </row>
    <row r="44" spans="1:3" x14ac:dyDescent="0.2">
      <c r="A44" s="138" t="s">
        <v>71</v>
      </c>
      <c r="B44" s="135">
        <v>6.2</v>
      </c>
    </row>
    <row r="45" spans="1:3" x14ac:dyDescent="0.2">
      <c r="A45" s="138" t="s">
        <v>84</v>
      </c>
      <c r="B45" s="135">
        <v>5.8</v>
      </c>
    </row>
    <row r="46" spans="1:3" x14ac:dyDescent="0.2">
      <c r="A46" s="138" t="s">
        <v>100</v>
      </c>
      <c r="B46" s="135">
        <v>3.8</v>
      </c>
    </row>
    <row r="47" spans="1:3" x14ac:dyDescent="0.2">
      <c r="A47" s="138" t="s">
        <v>78</v>
      </c>
      <c r="B47" s="135">
        <v>3.7</v>
      </c>
    </row>
    <row r="48" spans="1:3" x14ac:dyDescent="0.2">
      <c r="A48" s="138" t="s">
        <v>70</v>
      </c>
      <c r="B48" s="135">
        <v>3.2</v>
      </c>
    </row>
    <row r="49" spans="1:2" x14ac:dyDescent="0.2">
      <c r="A49" s="138" t="s">
        <v>81</v>
      </c>
      <c r="B49" s="135">
        <v>2.8</v>
      </c>
    </row>
    <row r="50" spans="1:2" x14ac:dyDescent="0.2">
      <c r="A50" s="138" t="s">
        <v>88</v>
      </c>
      <c r="B50" s="135">
        <v>2.2999999999999998</v>
      </c>
    </row>
    <row r="51" spans="1:2" x14ac:dyDescent="0.2">
      <c r="A51" s="138" t="s">
        <v>67</v>
      </c>
      <c r="B51" s="135">
        <v>2.2000000000000002</v>
      </c>
    </row>
    <row r="52" spans="1:2" x14ac:dyDescent="0.2">
      <c r="A52" s="138" t="s">
        <v>85</v>
      </c>
      <c r="B52" s="135">
        <v>2.1</v>
      </c>
    </row>
    <row r="53" spans="1:2" x14ac:dyDescent="0.2">
      <c r="A53" s="138" t="s">
        <v>73</v>
      </c>
      <c r="B53" s="135">
        <v>2.1</v>
      </c>
    </row>
    <row r="54" spans="1:2" x14ac:dyDescent="0.2">
      <c r="A54" s="139" t="s">
        <v>74</v>
      </c>
      <c r="B54" s="104">
        <v>41.1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XFD2"/>
    </sheetView>
  </sheetViews>
  <sheetFormatPr defaultRowHeight="12" x14ac:dyDescent="0.2"/>
  <cols>
    <col min="1" max="1" width="9.140625" style="3"/>
    <col min="2" max="2" width="7.5703125" style="3" bestFit="1" customWidth="1"/>
    <col min="3" max="3" width="8.7109375" style="3" bestFit="1" customWidth="1"/>
    <col min="4" max="4" width="7.7109375" style="3" customWidth="1"/>
    <col min="5" max="5" width="7" style="3" customWidth="1"/>
    <col min="6" max="6" width="6.85546875" style="3" customWidth="1"/>
    <col min="7" max="8" width="6.5703125" style="3" customWidth="1"/>
    <col min="9" max="9" width="7.28515625" style="3" customWidth="1"/>
    <col min="10" max="10" width="10.42578125" style="3" bestFit="1" customWidth="1"/>
    <col min="11" max="11" width="9.5703125" style="3" bestFit="1" customWidth="1"/>
    <col min="12" max="12" width="9.28515625" style="3" bestFit="1" customWidth="1"/>
    <col min="13" max="13" width="9.85546875" style="3" bestFit="1" customWidth="1"/>
    <col min="14" max="16384" width="9.140625" style="3"/>
  </cols>
  <sheetData>
    <row r="2" spans="1:13" s="159" customFormat="1" x14ac:dyDescent="0.2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38" t="s">
        <v>0</v>
      </c>
      <c r="B22" s="51" t="s">
        <v>1</v>
      </c>
      <c r="C22" s="51" t="s">
        <v>2</v>
      </c>
      <c r="D22" s="51" t="s">
        <v>3</v>
      </c>
      <c r="E22" s="51" t="s">
        <v>4</v>
      </c>
      <c r="F22" s="51" t="s">
        <v>5</v>
      </c>
      <c r="G22" s="51" t="s">
        <v>6</v>
      </c>
      <c r="H22" s="51" t="s">
        <v>7</v>
      </c>
      <c r="I22" s="51" t="s">
        <v>8</v>
      </c>
      <c r="J22" s="51" t="s">
        <v>9</v>
      </c>
      <c r="K22" s="51" t="s">
        <v>10</v>
      </c>
      <c r="L22" s="51" t="s">
        <v>11</v>
      </c>
      <c r="M22" s="86" t="s">
        <v>12</v>
      </c>
    </row>
    <row r="23" spans="1:13" x14ac:dyDescent="0.2">
      <c r="A23" s="41">
        <v>2017</v>
      </c>
      <c r="B23" s="46">
        <v>-127.3</v>
      </c>
      <c r="C23" s="46">
        <v>-156.1</v>
      </c>
      <c r="D23" s="46">
        <v>-219.1</v>
      </c>
      <c r="E23" s="46">
        <v>-207.3</v>
      </c>
      <c r="F23" s="46">
        <v>-225.7</v>
      </c>
      <c r="G23" s="46">
        <v>-217.7</v>
      </c>
      <c r="H23" s="46">
        <v>-205.3</v>
      </c>
      <c r="I23" s="46">
        <v>-221.8</v>
      </c>
      <c r="J23" s="46">
        <v>-206.9</v>
      </c>
      <c r="K23" s="46">
        <v>-197.7</v>
      </c>
      <c r="L23" s="46">
        <v>-183.2</v>
      </c>
      <c r="M23" s="47">
        <v>-238.3</v>
      </c>
    </row>
    <row r="24" spans="1:13" x14ac:dyDescent="0.2">
      <c r="A24" s="41">
        <v>2018</v>
      </c>
      <c r="B24" s="46">
        <v>-154</v>
      </c>
      <c r="C24" s="46">
        <v>-212.1</v>
      </c>
      <c r="D24" s="46">
        <v>-282</v>
      </c>
      <c r="E24" s="46">
        <v>-244.9</v>
      </c>
      <c r="F24" s="46">
        <v>-282.60000000000002</v>
      </c>
      <c r="G24" s="46">
        <v>-244.6</v>
      </c>
      <c r="H24" s="46">
        <v>-269.2</v>
      </c>
      <c r="I24" s="46">
        <v>-262.10000000000002</v>
      </c>
      <c r="J24" s="46">
        <v>-266.7</v>
      </c>
      <c r="K24" s="46">
        <v>-281.60000000000002</v>
      </c>
      <c r="L24" s="46">
        <v>-253.70000000000005</v>
      </c>
      <c r="M24" s="47">
        <v>-300.49999999999994</v>
      </c>
    </row>
    <row r="25" spans="1:13" x14ac:dyDescent="0.2">
      <c r="A25" s="41">
        <v>2019</v>
      </c>
      <c r="B25" s="46">
        <v>-138.30000000000001</v>
      </c>
      <c r="C25" s="46">
        <v>-217.9</v>
      </c>
      <c r="D25" s="46">
        <v>-276.60000000000002</v>
      </c>
      <c r="E25" s="46">
        <v>-300</v>
      </c>
      <c r="F25" s="46">
        <v>-271.10000000000002</v>
      </c>
      <c r="G25" s="46">
        <v>-243.2</v>
      </c>
      <c r="H25" s="46">
        <v>-278.89999999999998</v>
      </c>
      <c r="I25" s="46">
        <v>-258.5</v>
      </c>
      <c r="J25" s="46">
        <v>-262.89999999999998</v>
      </c>
      <c r="K25" s="46">
        <v>-257</v>
      </c>
      <c r="L25" s="46">
        <v>-237.5</v>
      </c>
      <c r="M25" s="47">
        <v>-321.39999999999998</v>
      </c>
    </row>
    <row r="26" spans="1:13" x14ac:dyDescent="0.2">
      <c r="A26" s="41">
        <v>2020</v>
      </c>
      <c r="B26" s="46">
        <v>-160.30000000000001</v>
      </c>
      <c r="C26" s="46">
        <v>-239.5</v>
      </c>
      <c r="D26" s="46">
        <v>-290.3</v>
      </c>
      <c r="E26" s="46">
        <v>-135.80000000000001</v>
      </c>
      <c r="F26" s="46">
        <v>-173.7</v>
      </c>
      <c r="G26" s="46">
        <v>-223.9</v>
      </c>
      <c r="H26" s="46">
        <v>-305.5</v>
      </c>
      <c r="I26" s="46">
        <v>-269.7</v>
      </c>
      <c r="J26" s="46">
        <v>-296</v>
      </c>
      <c r="K26" s="46">
        <v>-244.2</v>
      </c>
      <c r="L26" s="46">
        <v>-260.89999999999998</v>
      </c>
      <c r="M26" s="47">
        <v>-349</v>
      </c>
    </row>
    <row r="27" spans="1:13" x14ac:dyDescent="0.2">
      <c r="A27" s="41">
        <v>2021</v>
      </c>
      <c r="B27" s="46">
        <v>-201</v>
      </c>
      <c r="C27" s="46">
        <v>-294.39999999999998</v>
      </c>
      <c r="D27" s="46">
        <v>-370.8</v>
      </c>
      <c r="E27" s="46">
        <v>-344</v>
      </c>
      <c r="F27" s="46">
        <v>-361.7</v>
      </c>
      <c r="G27" s="46">
        <v>-362.8</v>
      </c>
      <c r="H27" s="46">
        <v>-321.3</v>
      </c>
      <c r="I27" s="46">
        <v>-338.6</v>
      </c>
      <c r="J27" s="46">
        <v>-376.3</v>
      </c>
      <c r="K27" s="46">
        <v>-294.60000000000002</v>
      </c>
      <c r="L27" s="46">
        <v>-337.6</v>
      </c>
      <c r="M27" s="47">
        <v>-429.2</v>
      </c>
    </row>
    <row r="28" spans="1:13" x14ac:dyDescent="0.2">
      <c r="A28" s="42">
        <v>2022</v>
      </c>
      <c r="B28" s="48">
        <v>-291.3</v>
      </c>
      <c r="C28" s="48">
        <v>-332.6</v>
      </c>
      <c r="D28" s="48">
        <v>-352.5</v>
      </c>
      <c r="E28" s="48">
        <v>-374.2</v>
      </c>
      <c r="F28" s="48">
        <v>-356.7</v>
      </c>
      <c r="G28" s="48">
        <v>-351.9</v>
      </c>
      <c r="H28" s="48">
        <v>-422.9</v>
      </c>
      <c r="I28" s="48">
        <v>-450.6</v>
      </c>
      <c r="J28" s="48"/>
      <c r="K28" s="48"/>
      <c r="L28" s="48"/>
      <c r="M28" s="49"/>
    </row>
  </sheetData>
  <mergeCells count="1">
    <mergeCell ref="A2:M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zoomScaleNormal="100" workbookViewId="0">
      <selection activeCell="A2" sqref="A2:XFD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s="159" customFormat="1" x14ac:dyDescent="0.2">
      <c r="A2" s="157" t="s">
        <v>104</v>
      </c>
      <c r="B2" s="157"/>
      <c r="C2" s="157"/>
      <c r="D2" s="157"/>
      <c r="E2" s="157"/>
      <c r="F2" s="157"/>
      <c r="G2" s="158"/>
      <c r="H2" s="158"/>
      <c r="I2" s="158"/>
      <c r="J2" s="158"/>
      <c r="K2" s="158"/>
      <c r="L2" s="158"/>
      <c r="M2" s="158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54" t="s">
        <v>53</v>
      </c>
      <c r="B24" s="32" t="s">
        <v>54</v>
      </c>
      <c r="C24" s="32" t="s">
        <v>55</v>
      </c>
      <c r="D24" s="33" t="s">
        <v>56</v>
      </c>
      <c r="E24" s="6"/>
    </row>
    <row r="25" spans="1:6" ht="15.75" customHeight="1" x14ac:dyDescent="0.2">
      <c r="A25" s="17" t="s">
        <v>98</v>
      </c>
      <c r="B25" s="131">
        <v>1427.7</v>
      </c>
      <c r="C25" s="131">
        <v>3007.9</v>
      </c>
      <c r="D25" s="131">
        <v>-1580.2</v>
      </c>
      <c r="E25" s="6"/>
    </row>
    <row r="26" spans="1:6" ht="15" customHeight="1" x14ac:dyDescent="0.2">
      <c r="A26" s="18" t="s">
        <v>97</v>
      </c>
      <c r="B26" s="131">
        <v>1752.2</v>
      </c>
      <c r="C26" s="131">
        <v>3703.6</v>
      </c>
      <c r="D26" s="131">
        <v>-1951.4</v>
      </c>
      <c r="E26" s="6"/>
    </row>
    <row r="27" spans="1:6" ht="14.25" customHeight="1" x14ac:dyDescent="0.2">
      <c r="A27" s="18" t="s">
        <v>96</v>
      </c>
      <c r="B27" s="131">
        <v>1787.2</v>
      </c>
      <c r="C27" s="131">
        <v>3771.7</v>
      </c>
      <c r="D27" s="131">
        <v>-1984.5</v>
      </c>
      <c r="E27" s="6"/>
    </row>
    <row r="28" spans="1:6" ht="14.25" customHeight="1" x14ac:dyDescent="0.2">
      <c r="A28" s="18" t="s">
        <v>95</v>
      </c>
      <c r="B28" s="131">
        <v>1525.2</v>
      </c>
      <c r="C28" s="131">
        <v>3323.9</v>
      </c>
      <c r="D28" s="131">
        <v>-1798.7</v>
      </c>
      <c r="E28" s="6"/>
    </row>
    <row r="29" spans="1:6" ht="13.5" customHeight="1" x14ac:dyDescent="0.2">
      <c r="A29" s="18" t="s">
        <v>94</v>
      </c>
      <c r="B29" s="131">
        <v>1808.5</v>
      </c>
      <c r="C29" s="131">
        <v>4403</v>
      </c>
      <c r="D29" s="131">
        <v>-2594.5</v>
      </c>
      <c r="E29" s="6"/>
    </row>
    <row r="30" spans="1:6" ht="13.5" customHeight="1" x14ac:dyDescent="0.2">
      <c r="A30" s="18" t="s">
        <v>93</v>
      </c>
      <c r="B30" s="131">
        <v>2959.1</v>
      </c>
      <c r="C30" s="131">
        <v>5891.7</v>
      </c>
      <c r="D30" s="131">
        <v>-2932.6</v>
      </c>
      <c r="E30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29"/>
  <sheetViews>
    <sheetView workbookViewId="0">
      <selection activeCell="A2" sqref="A2:XFD2"/>
    </sheetView>
  </sheetViews>
  <sheetFormatPr defaultRowHeight="12" x14ac:dyDescent="0.2"/>
  <cols>
    <col min="1" max="1" width="17.85546875" style="3" customWidth="1"/>
    <col min="2" max="2" width="5.42578125" style="3" customWidth="1"/>
    <col min="3" max="3" width="5.140625" style="3" customWidth="1"/>
    <col min="4" max="6" width="5.28515625" style="3" customWidth="1"/>
    <col min="7" max="7" width="5.140625" style="3" customWidth="1"/>
    <col min="8" max="8" width="6" style="3" customWidth="1"/>
    <col min="9" max="9" width="4.7109375" style="3" customWidth="1"/>
    <col min="10" max="10" width="5.42578125" style="3" customWidth="1"/>
    <col min="11" max="11" width="5.85546875" style="3" customWidth="1"/>
    <col min="12" max="12" width="5.5703125" style="3" customWidth="1"/>
    <col min="13" max="13" width="5.85546875" style="3" customWidth="1"/>
    <col min="14" max="14" width="5" style="3" customWidth="1"/>
    <col min="15" max="15" width="5.85546875" style="3" customWidth="1"/>
    <col min="16" max="16" width="5.7109375" style="3" customWidth="1"/>
    <col min="17" max="17" width="5.85546875" style="3" customWidth="1"/>
    <col min="18" max="18" width="6.140625" style="3" customWidth="1"/>
    <col min="19" max="20" width="5.5703125" style="3" customWidth="1"/>
    <col min="21" max="21" width="5.42578125" style="3" customWidth="1"/>
    <col min="22" max="22" width="5.7109375" style="3" customWidth="1"/>
    <col min="23" max="23" width="5.5703125" style="3" customWidth="1"/>
    <col min="24" max="24" width="6.140625" style="3" customWidth="1"/>
    <col min="25" max="25" width="6.570312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40" width="7.28515625" style="3" customWidth="1"/>
    <col min="41" max="41" width="7.85546875" style="3" customWidth="1"/>
    <col min="42" max="42" width="7" style="3" customWidth="1"/>
    <col min="43" max="43" width="6.85546875" style="3" customWidth="1"/>
    <col min="44" max="16384" width="9.140625" style="3"/>
  </cols>
  <sheetData>
    <row r="2" spans="1:25" s="159" customFormat="1" ht="15.75" customHeight="1" x14ac:dyDescent="0.2">
      <c r="A2" s="160" t="s">
        <v>116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6"/>
    </row>
    <row r="3" spans="1:25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5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25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25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25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25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25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25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5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25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25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25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6" x14ac:dyDescent="0.2">
      <c r="A18" s="5"/>
    </row>
    <row r="19" spans="1:36" x14ac:dyDescent="0.2">
      <c r="A19" s="5"/>
      <c r="AG19" s="6"/>
    </row>
    <row r="20" spans="1:36" x14ac:dyDescent="0.2">
      <c r="A20" s="5"/>
      <c r="AG20" s="6"/>
    </row>
    <row r="21" spans="1:36" ht="19.5" customHeight="1" x14ac:dyDescent="0.2">
      <c r="A21" s="5"/>
      <c r="AG21" s="6"/>
    </row>
    <row r="22" spans="1:36" ht="15" customHeight="1" x14ac:dyDescent="0.2">
      <c r="A22" s="148"/>
      <c r="B22" s="150">
        <v>2020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>
        <v>2021</v>
      </c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3"/>
      <c r="Z22" s="151">
        <v>2022</v>
      </c>
      <c r="AA22" s="152"/>
      <c r="AB22" s="152"/>
      <c r="AC22" s="152"/>
      <c r="AD22" s="152"/>
      <c r="AE22" s="152"/>
      <c r="AF22" s="152"/>
      <c r="AG22" s="153"/>
    </row>
    <row r="23" spans="1:36" x14ac:dyDescent="0.2">
      <c r="A23" s="149"/>
      <c r="B23" s="30" t="s">
        <v>13</v>
      </c>
      <c r="C23" s="30" t="s">
        <v>14</v>
      </c>
      <c r="D23" s="30" t="s">
        <v>15</v>
      </c>
      <c r="E23" s="30" t="s">
        <v>16</v>
      </c>
      <c r="F23" s="30" t="s">
        <v>17</v>
      </c>
      <c r="G23" s="30" t="s">
        <v>22</v>
      </c>
      <c r="H23" s="30" t="s">
        <v>18</v>
      </c>
      <c r="I23" s="30" t="s">
        <v>23</v>
      </c>
      <c r="J23" s="30" t="s">
        <v>19</v>
      </c>
      <c r="K23" s="30" t="s">
        <v>24</v>
      </c>
      <c r="L23" s="30" t="s">
        <v>20</v>
      </c>
      <c r="M23" s="30" t="s">
        <v>21</v>
      </c>
      <c r="N23" s="30" t="s">
        <v>13</v>
      </c>
      <c r="O23" s="100" t="s">
        <v>14</v>
      </c>
      <c r="P23" s="30" t="s">
        <v>15</v>
      </c>
      <c r="Q23" s="30" t="s">
        <v>16</v>
      </c>
      <c r="R23" s="30" t="s">
        <v>17</v>
      </c>
      <c r="S23" s="30" t="s">
        <v>22</v>
      </c>
      <c r="T23" s="30" t="s">
        <v>18</v>
      </c>
      <c r="U23" s="30" t="s">
        <v>23</v>
      </c>
      <c r="V23" s="84" t="s">
        <v>19</v>
      </c>
      <c r="W23" s="39" t="s">
        <v>24</v>
      </c>
      <c r="X23" s="39" t="s">
        <v>20</v>
      </c>
      <c r="Y23" s="39" t="s">
        <v>21</v>
      </c>
      <c r="Z23" s="90" t="s">
        <v>13</v>
      </c>
      <c r="AA23" s="90" t="s">
        <v>14</v>
      </c>
      <c r="AB23" s="91" t="s">
        <v>15</v>
      </c>
      <c r="AC23" s="60" t="s">
        <v>16</v>
      </c>
      <c r="AD23" s="59" t="s">
        <v>17</v>
      </c>
      <c r="AE23" s="106" t="s">
        <v>22</v>
      </c>
      <c r="AF23" s="106" t="s">
        <v>18</v>
      </c>
      <c r="AG23" s="132" t="s">
        <v>23</v>
      </c>
    </row>
    <row r="24" spans="1:36" ht="28.5" customHeight="1" x14ac:dyDescent="0.2">
      <c r="A24" s="29" t="s">
        <v>57</v>
      </c>
      <c r="B24" s="21">
        <v>100.54069338788538</v>
      </c>
      <c r="C24" s="21">
        <v>111.77933359663091</v>
      </c>
      <c r="D24" s="21">
        <v>85.694935103741471</v>
      </c>
      <c r="E24" s="21">
        <v>71.283537880135214</v>
      </c>
      <c r="F24" s="21">
        <v>103.90424682350312</v>
      </c>
      <c r="G24" s="21">
        <v>121.75061963317823</v>
      </c>
      <c r="H24" s="21">
        <v>100.8184202333199</v>
      </c>
      <c r="I24" s="21">
        <v>78.376764810035453</v>
      </c>
      <c r="J24" s="21">
        <v>129.49769232961904</v>
      </c>
      <c r="K24" s="21">
        <v>117.47585360993436</v>
      </c>
      <c r="L24" s="21">
        <v>105.08585699580438</v>
      </c>
      <c r="M24" s="15">
        <v>83.287463510424814</v>
      </c>
      <c r="N24" s="21">
        <v>90.925213233797848</v>
      </c>
      <c r="O24" s="99">
        <v>114.41147354263464</v>
      </c>
      <c r="P24" s="99">
        <v>114.20579997969134</v>
      </c>
      <c r="Q24" s="99">
        <v>84.167356355788357</v>
      </c>
      <c r="R24" s="99">
        <v>92.421884276527052</v>
      </c>
      <c r="S24" s="99">
        <v>112.45124175218632</v>
      </c>
      <c r="T24" s="99">
        <v>106.13290668113962</v>
      </c>
      <c r="U24" s="99">
        <v>98.163759117159898</v>
      </c>
      <c r="V24" s="22">
        <v>124.79747973247373</v>
      </c>
      <c r="W24" s="22">
        <v>119.44752327758337</v>
      </c>
      <c r="X24" s="99">
        <v>103.29810746017232</v>
      </c>
      <c r="Y24" s="101">
        <v>89.310814590947814</v>
      </c>
      <c r="Z24" s="99">
        <v>101.65548055101389</v>
      </c>
      <c r="AA24" s="99">
        <v>101.84864374682041</v>
      </c>
      <c r="AB24" s="99">
        <v>117.60123789264428</v>
      </c>
      <c r="AC24" s="21">
        <v>100.1282722557787</v>
      </c>
      <c r="AD24" s="20">
        <v>104.98638136927103</v>
      </c>
      <c r="AE24" s="125">
        <v>100.09588370255183</v>
      </c>
      <c r="AF24" s="125">
        <v>81.226926265770544</v>
      </c>
      <c r="AG24" s="107">
        <v>97.388740769882034</v>
      </c>
    </row>
    <row r="25" spans="1:36" ht="40.5" customHeight="1" x14ac:dyDescent="0.2">
      <c r="A25" s="28" t="s">
        <v>58</v>
      </c>
      <c r="B25" s="14">
        <f>IF(234254.08835="","-",219472.10441/234254.08835*100)</f>
        <v>93.68976480021378</v>
      </c>
      <c r="C25" s="14">
        <f>IF(241409.84081="","-",245324.45574/241409.84081*100)</f>
        <v>101.62156394157972</v>
      </c>
      <c r="D25" s="14">
        <f>IF(257232.04683="","-",210230.63314/257232.04683*100)</f>
        <v>81.728010071364707</v>
      </c>
      <c r="E25" s="14">
        <f>IF(215570.89403="","-",149859.83301/215570.89403*100)</f>
        <v>69.517656214361068</v>
      </c>
      <c r="F25" s="14">
        <f>IF(210534.26912="","-",155710.73078/210534.26912*100)</f>
        <v>73.959803043393492</v>
      </c>
      <c r="G25" s="14">
        <f>IF(202212.33865="","-",189578.77956/202212.33865*100)</f>
        <v>93.752330261178145</v>
      </c>
      <c r="H25" s="14">
        <f>IF(220166.65021="","-",191130.33065/220166.65021*100)</f>
        <v>86.811663105059509</v>
      </c>
      <c r="I25" s="14">
        <f>IF(205803.2912="","-",163909.5874/205803.2912*100)</f>
        <v>79.643812518387932</v>
      </c>
      <c r="J25" s="14">
        <f>IF(238794.12546="","-",212259.13319/238794.12546*100)</f>
        <v>88.887920831852767</v>
      </c>
      <c r="K25" s="14">
        <f>IF(268342.58823="","-",249353.22858/268342.58823*100)</f>
        <v>92.923464078044901</v>
      </c>
      <c r="L25" s="14">
        <f>IF(266552.51729="","-",262034.9772/266552.51729*100)</f>
        <v>98.30519698859753</v>
      </c>
      <c r="M25" s="16">
        <f>IF(218291.815="","-",218242.28602/218291.815*100)</f>
        <v>99.977310656379856</v>
      </c>
      <c r="N25" s="26">
        <f>IF(219472.10441="","-",198437.26393/219472.10441*100)</f>
        <v>90.415711128050958</v>
      </c>
      <c r="O25" s="14">
        <f>IF(245324.45574="","-",227034.99772/245324.45574*100)</f>
        <v>92.544788099159774</v>
      </c>
      <c r="P25" s="14">
        <f>IF(210230.63314="","-",259287.13538/210230.63314*100)</f>
        <v>123.33461185332185</v>
      </c>
      <c r="Q25" s="14">
        <f>IF(149859.83301="","-",218235.12722/149859.83301*100)</f>
        <v>145.62616468779689</v>
      </c>
      <c r="R25" s="14">
        <f>IF(155710.73078="","-",201697.01673/155710.73078*100)</f>
        <v>129.53315145310887</v>
      </c>
      <c r="S25" s="14">
        <f>IF(189578.77956="","-",226810.79989/189578.77956*100)</f>
        <v>119.63933960141166</v>
      </c>
      <c r="T25" s="14">
        <f>IF(191130.33065="","-",240720.89459/191130.33065*100)</f>
        <v>125.94594158412818</v>
      </c>
      <c r="U25" s="14">
        <f>IF(163909.5874="","-",236300.67911/163909.5874*100)</f>
        <v>144.1652577242715</v>
      </c>
      <c r="V25" s="14">
        <f>IF(212259.13319="","-",294897.29212/212259.13319*100)</f>
        <v>138.93267521074247</v>
      </c>
      <c r="W25" s="14">
        <f>IF(249353.22858="","-",352247.51165/249353.22858*100)</f>
        <v>141.26446794210585</v>
      </c>
      <c r="X25" s="14">
        <f>IF(262034.9772="","-",363865.01311/262034.9772*100)</f>
        <v>138.86123791492062</v>
      </c>
      <c r="Y25" s="16">
        <f>IF(218242.28602="","-",324970.80722/218242.28602*100)</f>
        <v>148.90368550768355</v>
      </c>
      <c r="Z25" s="14">
        <f>IF(198437.26393="","-",330345.74715/198437.26393*100)</f>
        <v>166.47364542706634</v>
      </c>
      <c r="AA25" s="121">
        <f>IF(227034.99772="","-",336464.33268/227034.99772*100)</f>
        <v>148.19932435921535</v>
      </c>
      <c r="AB25" s="14">
        <f>IF(259287.13538="","-",395828.66648/259287.13538*100)</f>
        <v>152.66035698218914</v>
      </c>
      <c r="AC25" s="14">
        <f>IF(218235.12722="","-",396336.40522/218235.12722*100)</f>
        <v>181.60981243888315</v>
      </c>
      <c r="AD25" s="14">
        <f>IF(201697.01673="","-",416099.25011/201697.01673*100)</f>
        <v>206.29915943030915</v>
      </c>
      <c r="AE25" s="121">
        <f>IF(226810.79989="","-",416433.40668/226810.79989*100)</f>
        <v>183.60387022221354</v>
      </c>
      <c r="AF25" s="121">
        <f>IF(240720.89459="","-",338256.05619/240720.89459*100)</f>
        <v>140.517945800311</v>
      </c>
      <c r="AG25" s="108">
        <f>IF(236300.67911="","-",329423.31375/236300.67911*100)</f>
        <v>139.4085344954301</v>
      </c>
    </row>
    <row r="28" spans="1:36" ht="15.75" x14ac:dyDescent="0.2">
      <c r="AD28" s="66"/>
      <c r="AE28" s="67"/>
      <c r="AF28" s="67"/>
      <c r="AG28" s="68"/>
      <c r="AH28" s="69"/>
      <c r="AI28" s="70"/>
      <c r="AJ28" s="71"/>
    </row>
    <row r="29" spans="1:36" ht="15.75" x14ac:dyDescent="0.2">
      <c r="AD29" s="72"/>
      <c r="AE29" s="72"/>
      <c r="AF29" s="73"/>
      <c r="AG29" s="74"/>
      <c r="AH29" s="75"/>
      <c r="AI29" s="76"/>
      <c r="AJ29" s="76"/>
    </row>
  </sheetData>
  <mergeCells count="5">
    <mergeCell ref="A22:A23"/>
    <mergeCell ref="B22:M22"/>
    <mergeCell ref="N22:Y22"/>
    <mergeCell ref="Z22:AG22"/>
    <mergeCell ref="A2:X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8"/>
  <sheetViews>
    <sheetView workbookViewId="0">
      <selection activeCell="A2" sqref="A2:XFD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s="159" customFormat="1" x14ac:dyDescent="0.2">
      <c r="A2" s="157" t="s">
        <v>115</v>
      </c>
      <c r="B2" s="157"/>
      <c r="C2" s="157"/>
      <c r="D2" s="157"/>
      <c r="E2" s="157"/>
      <c r="F2" s="157"/>
      <c r="G2" s="157"/>
      <c r="H2" s="158"/>
      <c r="I2" s="158"/>
      <c r="J2" s="158"/>
      <c r="K2" s="158"/>
      <c r="L2" s="158"/>
      <c r="M2" s="158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52" t="s">
        <v>25</v>
      </c>
      <c r="B22" s="36" t="s">
        <v>93</v>
      </c>
      <c r="C22" s="13" t="s">
        <v>94</v>
      </c>
      <c r="D22" s="13" t="s">
        <v>95</v>
      </c>
      <c r="E22" s="13" t="s">
        <v>96</v>
      </c>
      <c r="F22" s="13" t="s">
        <v>97</v>
      </c>
      <c r="G22" s="13" t="s">
        <v>98</v>
      </c>
      <c r="H22" s="6"/>
    </row>
    <row r="23" spans="1:8" x14ac:dyDescent="0.2">
      <c r="A23" s="126" t="s">
        <v>26</v>
      </c>
      <c r="B23" s="127">
        <v>15.4</v>
      </c>
      <c r="C23" s="109">
        <v>6.6</v>
      </c>
      <c r="D23" s="109">
        <v>8</v>
      </c>
      <c r="E23" s="109">
        <v>6.8</v>
      </c>
      <c r="F23" s="109">
        <v>7</v>
      </c>
      <c r="G23" s="116">
        <v>7.6</v>
      </c>
    </row>
    <row r="24" spans="1:8" x14ac:dyDescent="0.2">
      <c r="A24" s="126" t="s">
        <v>27</v>
      </c>
      <c r="B24" s="128">
        <v>9</v>
      </c>
      <c r="C24" s="117">
        <v>2.6</v>
      </c>
      <c r="D24" s="117">
        <v>3.4</v>
      </c>
      <c r="E24" s="117">
        <v>4.5</v>
      </c>
      <c r="F24" s="117">
        <v>3.7</v>
      </c>
      <c r="G24" s="118">
        <v>2.5</v>
      </c>
    </row>
    <row r="25" spans="1:8" x14ac:dyDescent="0.2">
      <c r="A25" s="126" t="s">
        <v>28</v>
      </c>
      <c r="B25" s="128">
        <v>74.5</v>
      </c>
      <c r="C25" s="117">
        <v>89.6</v>
      </c>
      <c r="D25" s="117">
        <v>87.4</v>
      </c>
      <c r="E25" s="117">
        <v>87</v>
      </c>
      <c r="F25" s="117">
        <v>87.2</v>
      </c>
      <c r="G25" s="118">
        <v>87.1</v>
      </c>
    </row>
    <row r="26" spans="1:8" x14ac:dyDescent="0.2">
      <c r="A26" s="126" t="s">
        <v>29</v>
      </c>
      <c r="B26" s="128">
        <v>0.8</v>
      </c>
      <c r="C26" s="117">
        <v>1.1000000000000001</v>
      </c>
      <c r="D26" s="117">
        <v>1.1000000000000001</v>
      </c>
      <c r="E26" s="117">
        <v>1.6</v>
      </c>
      <c r="F26" s="117">
        <v>2.1</v>
      </c>
      <c r="G26" s="118">
        <v>2.7</v>
      </c>
    </row>
    <row r="27" spans="1:8" x14ac:dyDescent="0.2">
      <c r="A27" s="126" t="s">
        <v>45</v>
      </c>
      <c r="B27" s="128">
        <v>0</v>
      </c>
      <c r="C27" s="117">
        <v>0.1</v>
      </c>
      <c r="D27" s="117">
        <v>0.1</v>
      </c>
      <c r="E27" s="117">
        <v>0.1</v>
      </c>
      <c r="F27" s="117">
        <v>0</v>
      </c>
      <c r="G27" s="118">
        <v>0.1</v>
      </c>
      <c r="H27" s="6"/>
    </row>
    <row r="28" spans="1:8" x14ac:dyDescent="0.2">
      <c r="A28" s="133" t="s">
        <v>46</v>
      </c>
      <c r="B28" s="129">
        <v>0.3</v>
      </c>
      <c r="C28" s="119">
        <v>0</v>
      </c>
      <c r="D28" s="119">
        <v>0</v>
      </c>
      <c r="E28" s="119">
        <v>0</v>
      </c>
      <c r="F28" s="119">
        <v>0</v>
      </c>
      <c r="G28" s="120">
        <v>0</v>
      </c>
      <c r="H28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1"/>
  <sheetViews>
    <sheetView workbookViewId="0">
      <selection activeCell="A2" sqref="A2:XFD2"/>
    </sheetView>
  </sheetViews>
  <sheetFormatPr defaultRowHeight="12" x14ac:dyDescent="0.2"/>
  <cols>
    <col min="1" max="1" width="26.140625" style="3" customWidth="1"/>
    <col min="2" max="3" width="15.28515625" style="3" customWidth="1"/>
    <col min="4" max="4" width="15.140625" style="3" customWidth="1"/>
    <col min="5" max="5" width="14.85546875" style="3" customWidth="1"/>
    <col min="6" max="6" width="15.28515625" style="3" customWidth="1"/>
    <col min="7" max="7" width="15.140625" style="3" customWidth="1"/>
    <col min="8" max="16384" width="9.140625" style="3"/>
  </cols>
  <sheetData>
    <row r="2" spans="1:13" s="159" customFormat="1" x14ac:dyDescent="0.2">
      <c r="A2" s="165" t="s">
        <v>114</v>
      </c>
      <c r="B2" s="165"/>
      <c r="C2" s="165"/>
      <c r="D2" s="165"/>
      <c r="E2" s="165"/>
      <c r="F2" s="165"/>
      <c r="G2" s="165"/>
      <c r="H2" s="158"/>
      <c r="I2" s="158"/>
      <c r="J2" s="158"/>
      <c r="K2" s="158"/>
      <c r="L2" s="158"/>
      <c r="M2" s="158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1"/>
      <c r="B20" s="12" t="s">
        <v>98</v>
      </c>
      <c r="C20" s="12" t="s">
        <v>97</v>
      </c>
      <c r="D20" s="12" t="s">
        <v>96</v>
      </c>
      <c r="E20" s="13" t="s">
        <v>95</v>
      </c>
      <c r="F20" s="13" t="s">
        <v>94</v>
      </c>
      <c r="G20" s="13" t="s">
        <v>93</v>
      </c>
      <c r="H20" s="6"/>
    </row>
    <row r="21" spans="1:8" ht="15" customHeight="1" x14ac:dyDescent="0.2">
      <c r="A21" s="23" t="s">
        <v>30</v>
      </c>
      <c r="B21" s="127">
        <v>58.1</v>
      </c>
      <c r="C21" s="109">
        <v>66</v>
      </c>
      <c r="D21" s="109">
        <v>63.7</v>
      </c>
      <c r="E21" s="109">
        <v>65</v>
      </c>
      <c r="F21" s="109">
        <v>62.6</v>
      </c>
      <c r="G21" s="116">
        <v>59.5</v>
      </c>
      <c r="H21" s="7"/>
    </row>
    <row r="22" spans="1:8" ht="14.25" customHeight="1" x14ac:dyDescent="0.2">
      <c r="A22" s="24" t="s">
        <v>31</v>
      </c>
      <c r="B22" s="128">
        <v>20.8</v>
      </c>
      <c r="C22" s="117">
        <v>15.8</v>
      </c>
      <c r="D22" s="117">
        <v>14.6</v>
      </c>
      <c r="E22" s="117">
        <v>16.2</v>
      </c>
      <c r="F22" s="117">
        <v>15.6</v>
      </c>
      <c r="G22" s="118">
        <v>21</v>
      </c>
      <c r="H22" s="7"/>
    </row>
    <row r="23" spans="1:8" ht="15" customHeight="1" x14ac:dyDescent="0.2">
      <c r="A23" s="25" t="s">
        <v>32</v>
      </c>
      <c r="B23" s="129">
        <v>21.1</v>
      </c>
      <c r="C23" s="119">
        <v>18.2</v>
      </c>
      <c r="D23" s="119">
        <v>21.7</v>
      </c>
      <c r="E23" s="119">
        <v>18.8</v>
      </c>
      <c r="F23" s="119">
        <v>21.8</v>
      </c>
      <c r="G23" s="120">
        <v>19.5</v>
      </c>
      <c r="H23" s="7"/>
    </row>
    <row r="29" spans="1:8" ht="15.75" x14ac:dyDescent="0.2">
      <c r="B29" s="95"/>
      <c r="C29" s="95"/>
      <c r="D29" s="95"/>
      <c r="E29" s="96"/>
      <c r="F29" s="95"/>
      <c r="G29" s="95"/>
    </row>
    <row r="30" spans="1:8" ht="15.75" x14ac:dyDescent="0.2">
      <c r="B30" s="95"/>
      <c r="C30" s="95"/>
      <c r="D30" s="95"/>
      <c r="E30" s="96"/>
      <c r="F30" s="95"/>
      <c r="G30" s="95"/>
    </row>
    <row r="31" spans="1:8" ht="15.75" x14ac:dyDescent="0.2">
      <c r="B31" s="95"/>
      <c r="C31" s="95"/>
      <c r="D31" s="95"/>
      <c r="E31" s="96"/>
      <c r="F31" s="95"/>
      <c r="G31" s="95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45"/>
  <sheetViews>
    <sheetView workbookViewId="0">
      <selection activeCell="A2" sqref="A2:XFD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" style="3" customWidth="1"/>
    <col min="4" max="4" width="15.42578125" style="3" customWidth="1"/>
    <col min="5" max="5" width="14.85546875" style="3" customWidth="1"/>
    <col min="6" max="6" width="15.140625" style="3" customWidth="1"/>
    <col min="7" max="7" width="14.85546875" style="3" customWidth="1"/>
    <col min="8" max="16384" width="9.140625" style="3"/>
  </cols>
  <sheetData>
    <row r="2" spans="1:10" s="159" customFormat="1" ht="14.25" customHeight="1" x14ac:dyDescent="0.2">
      <c r="A2" s="157" t="s">
        <v>113</v>
      </c>
      <c r="B2" s="157"/>
      <c r="C2" s="157"/>
      <c r="D2" s="157"/>
      <c r="E2" s="157"/>
      <c r="F2" s="157"/>
      <c r="G2" s="157"/>
      <c r="H2" s="164"/>
      <c r="I2" s="158"/>
      <c r="J2" s="158"/>
    </row>
    <row r="3" spans="1:10" ht="15" customHeight="1" x14ac:dyDescent="0.2">
      <c r="A3" s="4"/>
      <c r="B3" s="4"/>
      <c r="C3" s="4"/>
      <c r="D3" s="4"/>
      <c r="E3" s="4"/>
      <c r="F3" s="4"/>
      <c r="G3" s="4"/>
      <c r="H3" s="4"/>
    </row>
    <row r="4" spans="1:10" ht="16.5" customHeight="1" x14ac:dyDescent="0.2">
      <c r="A4" s="4"/>
      <c r="B4" s="4"/>
      <c r="C4" s="4"/>
      <c r="D4" s="4"/>
      <c r="E4" s="4"/>
      <c r="F4" s="4"/>
      <c r="G4" s="4"/>
      <c r="H4" s="4"/>
    </row>
    <row r="5" spans="1:10" ht="15.75" customHeight="1" x14ac:dyDescent="0.2">
      <c r="A5" s="4"/>
      <c r="B5" s="4"/>
      <c r="C5" s="4"/>
      <c r="D5" s="4"/>
      <c r="E5" s="4"/>
      <c r="F5" s="4"/>
      <c r="G5" s="4"/>
      <c r="H5" s="4"/>
    </row>
    <row r="6" spans="1:10" ht="15" customHeight="1" x14ac:dyDescent="0.2">
      <c r="A6" s="4"/>
      <c r="B6" s="4"/>
      <c r="C6" s="4"/>
      <c r="D6" s="4"/>
      <c r="E6" s="4"/>
      <c r="F6" s="4"/>
      <c r="G6" s="4"/>
      <c r="H6" s="4"/>
    </row>
    <row r="7" spans="1:10" ht="15.75" customHeight="1" x14ac:dyDescent="0.2">
      <c r="A7" s="4"/>
      <c r="B7" s="4"/>
      <c r="C7" s="4"/>
      <c r="D7" s="4"/>
      <c r="E7" s="4"/>
      <c r="F7" s="4"/>
      <c r="G7" s="4"/>
      <c r="H7" s="4"/>
    </row>
    <row r="8" spans="1:10" ht="15.75" customHeight="1" x14ac:dyDescent="0.2">
      <c r="A8" s="4"/>
      <c r="B8" s="4"/>
      <c r="C8" s="4"/>
      <c r="D8" s="4"/>
      <c r="E8" s="4"/>
      <c r="F8" s="4"/>
      <c r="G8" s="4"/>
      <c r="H8" s="4"/>
    </row>
    <row r="9" spans="1:10" ht="15.75" customHeight="1" x14ac:dyDescent="0.2">
      <c r="A9" s="4"/>
      <c r="B9" s="4"/>
      <c r="C9" s="4"/>
      <c r="D9" s="4"/>
      <c r="E9" s="4"/>
      <c r="F9" s="4"/>
      <c r="G9" s="4"/>
      <c r="H9" s="4"/>
    </row>
    <row r="10" spans="1:10" ht="15" customHeight="1" x14ac:dyDescent="0.2">
      <c r="A10" s="4"/>
      <c r="B10" s="4"/>
      <c r="C10" s="4"/>
      <c r="D10" s="4"/>
      <c r="E10" s="4"/>
      <c r="F10" s="4"/>
      <c r="G10" s="4"/>
      <c r="H10" s="4"/>
    </row>
    <row r="11" spans="1:10" ht="17.25" customHeight="1" x14ac:dyDescent="0.2">
      <c r="A11" s="4"/>
      <c r="B11" s="4"/>
      <c r="C11" s="4"/>
      <c r="D11" s="4"/>
      <c r="E11" s="4"/>
      <c r="F11" s="4"/>
      <c r="G11" s="4"/>
      <c r="H11" s="4"/>
    </row>
    <row r="12" spans="1:10" ht="16.5" customHeight="1" x14ac:dyDescent="0.2">
      <c r="A12" s="4"/>
      <c r="B12" s="4"/>
      <c r="C12" s="4"/>
      <c r="D12" s="4"/>
      <c r="E12" s="4"/>
      <c r="F12" s="4"/>
      <c r="G12" s="4"/>
      <c r="H12" s="4"/>
    </row>
    <row r="13" spans="1:10" ht="15" customHeight="1" x14ac:dyDescent="0.2">
      <c r="A13" s="4"/>
      <c r="B13" s="4"/>
      <c r="C13" s="4"/>
      <c r="D13" s="4"/>
      <c r="E13" s="4"/>
      <c r="F13" s="4"/>
      <c r="G13" s="4"/>
      <c r="H13" s="4"/>
    </row>
    <row r="14" spans="1:10" ht="17.25" customHeight="1" x14ac:dyDescent="0.2">
      <c r="A14" s="4"/>
      <c r="B14" s="4"/>
      <c r="C14" s="4"/>
      <c r="D14" s="4"/>
      <c r="E14" s="4"/>
      <c r="F14" s="4"/>
      <c r="G14" s="4"/>
      <c r="H14" s="4"/>
    </row>
    <row r="15" spans="1:10" ht="15" customHeight="1" x14ac:dyDescent="0.2">
      <c r="A15" s="4"/>
      <c r="B15" s="4"/>
      <c r="C15" s="4"/>
      <c r="D15" s="4"/>
      <c r="E15" s="4"/>
      <c r="F15" s="4"/>
      <c r="G15" s="4"/>
      <c r="H15" s="4"/>
    </row>
    <row r="16" spans="1:10" ht="15" customHeight="1" x14ac:dyDescent="0.2">
      <c r="A16" s="4"/>
      <c r="B16" s="4"/>
      <c r="C16" s="4"/>
      <c r="D16" s="4"/>
      <c r="E16" s="4"/>
      <c r="F16" s="4"/>
      <c r="G16" s="4"/>
      <c r="H16" s="4"/>
    </row>
    <row r="17" spans="1:11" ht="15.75" customHeight="1" x14ac:dyDescent="0.2">
      <c r="A17" s="4"/>
      <c r="B17" s="4"/>
      <c r="C17" s="4"/>
      <c r="D17" s="4"/>
      <c r="E17" s="4"/>
      <c r="F17" s="4"/>
      <c r="G17" s="4"/>
      <c r="H17" s="4"/>
    </row>
    <row r="18" spans="1:11" ht="15" customHeight="1" x14ac:dyDescent="0.2">
      <c r="A18" s="4"/>
      <c r="B18" s="4"/>
      <c r="C18" s="4"/>
      <c r="D18" s="4"/>
      <c r="E18" s="4"/>
      <c r="F18" s="4"/>
      <c r="G18" s="4"/>
      <c r="H18" s="4"/>
    </row>
    <row r="19" spans="1:11" x14ac:dyDescent="0.2">
      <c r="A19" s="4"/>
      <c r="B19" s="4"/>
      <c r="C19" s="4"/>
      <c r="D19" s="4"/>
      <c r="E19" s="4"/>
      <c r="F19" s="4"/>
      <c r="G19" s="4"/>
      <c r="H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J20" s="6"/>
      <c r="K20" s="6"/>
    </row>
    <row r="21" spans="1:11" x14ac:dyDescent="0.2">
      <c r="A21" s="5"/>
      <c r="J21" s="6"/>
      <c r="K21" s="6"/>
    </row>
    <row r="22" spans="1:11" ht="14.25" customHeight="1" x14ac:dyDescent="0.2">
      <c r="A22" s="5"/>
      <c r="J22" s="6"/>
      <c r="K22" s="6"/>
    </row>
    <row r="23" spans="1:11" ht="23.25" customHeight="1" x14ac:dyDescent="0.2">
      <c r="A23" s="85"/>
      <c r="B23" s="13" t="s">
        <v>98</v>
      </c>
      <c r="C23" s="13" t="s">
        <v>97</v>
      </c>
      <c r="D23" s="13" t="s">
        <v>96</v>
      </c>
      <c r="E23" s="13" t="s">
        <v>95</v>
      </c>
      <c r="F23" s="13" t="s">
        <v>94</v>
      </c>
      <c r="G23" s="13" t="s">
        <v>93</v>
      </c>
      <c r="J23" s="94"/>
      <c r="K23" s="6"/>
    </row>
    <row r="24" spans="1:11" x14ac:dyDescent="0.2">
      <c r="A24" s="145" t="s">
        <v>33</v>
      </c>
      <c r="B24" s="110">
        <f>IF(OR(349000.74254="",349000.74254="***"),"-",349000.74254/1427663.68281*100)</f>
        <v>24.445585241271885</v>
      </c>
      <c r="C24" s="110">
        <f>IF(488303.58459="","-",488303.58459/1752232.13505*100)</f>
        <v>27.86751679885532</v>
      </c>
      <c r="D24" s="110">
        <f>IF(507799.77685="","-",507799.77685/1787183.4192*100)</f>
        <v>28.413411370910513</v>
      </c>
      <c r="E24" s="110">
        <f>IF(414068.16234="","-",414068.16234/1525216.45469*100)</f>
        <v>27.14815730362411</v>
      </c>
      <c r="F24" s="110">
        <f>IF(495361.60105="","-",495361.60105/1808523.91457*100)</f>
        <v>27.390381573570654</v>
      </c>
      <c r="G24" s="111">
        <f>IF(836576.05788="","-",836576.05788/2959137.72403*100)</f>
        <v>28.270940250144257</v>
      </c>
      <c r="J24" s="94"/>
      <c r="K24" s="6"/>
    </row>
    <row r="25" spans="1:11" x14ac:dyDescent="0.2">
      <c r="A25" s="146" t="s">
        <v>38</v>
      </c>
      <c r="B25" s="112">
        <f>IF(OR(43125.68389="",43125.68389="***"),"-",43125.68389/1427663.68281*100)</f>
        <v>3.0207173026295555</v>
      </c>
      <c r="C25" s="112">
        <f>IF(52659.7922="","-",52659.7922/1752232.13505*100)</f>
        <v>3.0052977083711201</v>
      </c>
      <c r="D25" s="112">
        <f>IF(46509.82247="","-",46509.82247/1787183.4192*100)</f>
        <v>2.6024090180301287</v>
      </c>
      <c r="E25" s="112">
        <f>IF(38862.21319="","-",38862.21319/1525216.45469*100)</f>
        <v>2.5479801945815446</v>
      </c>
      <c r="F25" s="112">
        <f>IF(55957.02821="","-",55957.02821/1808523.91457*100)</f>
        <v>3.094071787450182</v>
      </c>
      <c r="G25" s="113">
        <f>IF(410394.66613="","-",410394.66613/2959137.72403*100)</f>
        <v>13.868724757125882</v>
      </c>
      <c r="J25" s="94"/>
      <c r="K25" s="6"/>
    </row>
    <row r="26" spans="1:11" x14ac:dyDescent="0.2">
      <c r="A26" s="146" t="s">
        <v>35</v>
      </c>
      <c r="B26" s="112">
        <f>IF(OR(58926.15799="",58926.15799="***"),"-",58926.15799/1427663.68281*100)</f>
        <v>4.1274537343429891</v>
      </c>
      <c r="C26" s="112">
        <f>IF(57413.12792="","-",57413.12792/1752232.13505*100)</f>
        <v>3.276570881880426</v>
      </c>
      <c r="D26" s="112">
        <f>IF(132831.03339="","-",132831.03339/1787183.4192*100)</f>
        <v>7.4324231057078292</v>
      </c>
      <c r="E26" s="112">
        <f>IF(103062.19451="","-",103062.19451/1525216.45469*100)</f>
        <v>6.7572175865980526</v>
      </c>
      <c r="F26" s="112">
        <f>IF(162103.29763="","-",162103.29763/1808523.91457*100)</f>
        <v>8.9632930106175657</v>
      </c>
      <c r="G26" s="113">
        <f>IF(256256.69789="","-",256256.69789/2959137.72403*100)</f>
        <v>8.6598435689234599</v>
      </c>
      <c r="J26" s="94"/>
      <c r="K26" s="6"/>
    </row>
    <row r="27" spans="1:11" x14ac:dyDescent="0.2">
      <c r="A27" s="146" t="s">
        <v>36</v>
      </c>
      <c r="B27" s="112">
        <f>IF(OR(132189.34841="",132189.34841="***"),"-",132189.34841/1427663.68281*100)</f>
        <v>9.2591378488957741</v>
      </c>
      <c r="C27" s="112">
        <f>IF(206057.59192="","-",206057.59192/1752232.13505*100)</f>
        <v>11.759719947957702</v>
      </c>
      <c r="D27" s="112">
        <f>IF(185030.51636="","-",185030.51636/1787183.4192*100)</f>
        <v>10.353191193035215</v>
      </c>
      <c r="E27" s="112">
        <f>IF(138598.84888="","-",138598.84888/1525216.45469*100)</f>
        <v>9.0871592981974612</v>
      </c>
      <c r="F27" s="112">
        <f>IF(138686.14444="","-",138686.14444/1808523.91457*100)</f>
        <v>7.6684716924506038</v>
      </c>
      <c r="G27" s="113">
        <f>IF(242488.53423="","-",242488.53423/2959137.72403*100)</f>
        <v>8.1945673653796316</v>
      </c>
      <c r="J27" s="94"/>
      <c r="K27" s="6"/>
    </row>
    <row r="28" spans="1:11" x14ac:dyDescent="0.2">
      <c r="A28" s="146" t="s">
        <v>34</v>
      </c>
      <c r="B28" s="112">
        <f>IF(OR(95606.99673="",95606.99673="***"),"-",95606.99673/1427663.68281*100)</f>
        <v>6.6967450304417264</v>
      </c>
      <c r="C28" s="112">
        <f>IF(147326.28363="","-",147326.28363/1752232.13505*100)</f>
        <v>8.4079204280656583</v>
      </c>
      <c r="D28" s="112">
        <f>IF(160901.24785="","-",160901.24785/1787183.4192*100)</f>
        <v>9.0030629269168418</v>
      </c>
      <c r="E28" s="112">
        <f>IF(138067.93702="","-",138067.93702/1525216.45469*100)</f>
        <v>9.0523503464340926</v>
      </c>
      <c r="F28" s="112">
        <f>IF(168868.66032="","-",168868.66032/1808523.91457*100)</f>
        <v>9.3373750249883045</v>
      </c>
      <c r="G28" s="113">
        <f>IF(161391.7298="","-",161391.7298/2959137.72403*100)</f>
        <v>5.4540121093182279</v>
      </c>
      <c r="J28" s="94"/>
      <c r="K28" s="6"/>
    </row>
    <row r="29" spans="1:11" x14ac:dyDescent="0.2">
      <c r="A29" s="146" t="s">
        <v>60</v>
      </c>
      <c r="B29" s="112">
        <f>IF(OR(162223.89266="",162223.89266="***"),"-",162223.89266/1427663.68281*100)</f>
        <v>11.362892718592011</v>
      </c>
      <c r="C29" s="112">
        <f>IF(144095.94283="","-",144095.94283/1752232.13505*100)</f>
        <v>8.2235646720340636</v>
      </c>
      <c r="D29" s="112">
        <f>IF(147796.11404="","-",147796.11404/1787183.4192*100)</f>
        <v>8.2697787172935069</v>
      </c>
      <c r="E29" s="112">
        <f>IF(150604.40687="","-",150604.40687/1525216.45469*100)</f>
        <v>9.874297278061448</v>
      </c>
      <c r="F29" s="112">
        <f>IF(168922.78548="","-",168922.78548/1808523.91457*100)</f>
        <v>9.3403678059830124</v>
      </c>
      <c r="G29" s="113">
        <f>IF(146647.08607="","-",146647.08607/2959137.72403*100)</f>
        <v>4.9557371013568021</v>
      </c>
      <c r="J29" s="94"/>
      <c r="K29" s="6"/>
    </row>
    <row r="30" spans="1:11" x14ac:dyDescent="0.2">
      <c r="A30" s="146" t="s">
        <v>42</v>
      </c>
      <c r="B30" s="112">
        <f>IF(OR(52506.9555099999="",52506.9555099999="***"),"-",52506.9555099999/1427663.68281*100)</f>
        <v>3.6778238560115959</v>
      </c>
      <c r="C30" s="112">
        <f>IF(34274.24713="","-",34274.24713/1752232.13505*100)</f>
        <v>1.9560334754973541</v>
      </c>
      <c r="D30" s="112">
        <f>IF(26849.87302="","-",26849.87302/1787183.4192*100)</f>
        <v>1.5023568779537388</v>
      </c>
      <c r="E30" s="112">
        <f>IF(23259.39528="","-",23259.39528/1525216.45469*100)</f>
        <v>1.5249897946273774</v>
      </c>
      <c r="F30" s="112">
        <f>IF(28158.42324="","-",28158.42324/1808523.91457*100)</f>
        <v>1.5569837375744644</v>
      </c>
      <c r="G30" s="113">
        <f>IF(124128.1671="","-",124128.1671/2959137.72403*100)</f>
        <v>4.1947411265114063</v>
      </c>
      <c r="J30" s="94"/>
      <c r="K30" s="6"/>
    </row>
    <row r="31" spans="1:11" x14ac:dyDescent="0.2">
      <c r="A31" s="146" t="s">
        <v>37</v>
      </c>
      <c r="B31" s="112">
        <f>IF(OR(46804.91862="",46804.91862="***"),"-",46804.91862/1427663.68281*100)</f>
        <v>3.27842748845976</v>
      </c>
      <c r="C31" s="112">
        <f>IF(60837.52435="","-",60837.52435/1752232.13505*100)</f>
        <v>3.4720014051256971</v>
      </c>
      <c r="D31" s="112">
        <f>IF(69163.57169="","-",69163.57169/1787183.4192*100)</f>
        <v>3.8699761281894505</v>
      </c>
      <c r="E31" s="112">
        <f>IF(63168.76583="","-",63168.76583/1525216.45469*100)</f>
        <v>4.1416263006970402</v>
      </c>
      <c r="F31" s="112">
        <f>IF(66306.10299="","-",66306.10299/1808523.91457*100)</f>
        <v>3.666310545070405</v>
      </c>
      <c r="G31" s="113">
        <f>IF(81807.10274="","-",81807.10274/2959137.72403*100)</f>
        <v>2.7645588130514005</v>
      </c>
      <c r="J31" s="94"/>
      <c r="K31" s="6"/>
    </row>
    <row r="32" spans="1:11" x14ac:dyDescent="0.2">
      <c r="A32" s="146" t="s">
        <v>63</v>
      </c>
      <c r="B32" s="112">
        <f>IF(OR(19460.93556="",19460.93556="***"),"-",19460.93556/1427663.68281*100)</f>
        <v>1.3631316530862509</v>
      </c>
      <c r="C32" s="112">
        <f>IF(26519.42261="","-",26519.42261/1752232.13505*100)</f>
        <v>1.5134651442312048</v>
      </c>
      <c r="D32" s="112">
        <f>IF(35346.32434="","-",35346.32434/1787183.4192*100)</f>
        <v>1.977767024932569</v>
      </c>
      <c r="E32" s="112">
        <f>IF(51162.64291="","-",51162.64291/1525216.45469*100)</f>
        <v>3.3544512815001593</v>
      </c>
      <c r="F32" s="112">
        <f>IF(54329.48313="","-",54329.48313/1808523.91457*100)</f>
        <v>3.0040787789592232</v>
      </c>
      <c r="G32" s="113">
        <f>IF(65766.64695="","-",65766.64695/2959137.72403*100)</f>
        <v>2.2224936141341032</v>
      </c>
      <c r="J32" s="94"/>
      <c r="K32" s="6"/>
    </row>
    <row r="33" spans="1:11" x14ac:dyDescent="0.2">
      <c r="A33" s="146" t="s">
        <v>61</v>
      </c>
      <c r="B33" s="112">
        <f>IF(OR(17672.52476="",17672.52476="***"),"-",17672.52476/1427663.68281*100)</f>
        <v>1.2378632988139084</v>
      </c>
      <c r="C33" s="112">
        <f>IF(34721.95069="","-",34721.95069/1752232.13505*100)</f>
        <v>1.9815839462965452</v>
      </c>
      <c r="D33" s="112">
        <f>IF(53231.2027="","-",53231.2027/1787183.4192*100)</f>
        <v>2.9784968978633417</v>
      </c>
      <c r="E33" s="112">
        <f>IF(42732.16752="","-",42732.16752/1525216.45469*100)</f>
        <v>2.801711677617936</v>
      </c>
      <c r="F33" s="112">
        <f>IF(44195.36787="","-",44195.36787/1808523.91457*100)</f>
        <v>2.4437259310728008</v>
      </c>
      <c r="G33" s="113">
        <f>IF(57923.17365="","-",57923.17365/2959137.72403*100)</f>
        <v>1.9574341937392288</v>
      </c>
      <c r="J33" s="94"/>
      <c r="K33" s="6"/>
    </row>
    <row r="34" spans="1:11" x14ac:dyDescent="0.2">
      <c r="A34" s="146" t="s">
        <v>86</v>
      </c>
      <c r="B34" s="112">
        <f>IF(OR(29.44221="",29.44221="***"),"-",29.44221/1427663.68281*100)</f>
        <v>2.0622651086879477E-3</v>
      </c>
      <c r="C34" s="112">
        <f>IF(188.42651="","-",188.42651/1752232.13505*100)</f>
        <v>1.0753512975301258E-2</v>
      </c>
      <c r="D34" s="112" t="str">
        <f>IF(""="","-",""/1787183.4192*100)</f>
        <v>-</v>
      </c>
      <c r="E34" s="112">
        <f>IF(70.05237="","-",70.05237/1525216.45469*100)</f>
        <v>4.5929461214892367E-3</v>
      </c>
      <c r="F34" s="112">
        <f>IF(17.81651="","-",17.81651/1808523.91457*100)</f>
        <v>9.851409680825872E-4</v>
      </c>
      <c r="G34" s="113">
        <f>IF(51848.50889="","-",51848.50889/2959137.72403*100)</f>
        <v>1.7521492314791074</v>
      </c>
      <c r="J34" s="94"/>
      <c r="K34" s="6"/>
    </row>
    <row r="35" spans="1:11" x14ac:dyDescent="0.2">
      <c r="A35" s="146" t="s">
        <v>83</v>
      </c>
      <c r="B35" s="112">
        <f>IF(OR(14651.06905="",14651.06905="***"),"-",14651.06905/1427663.68281*100)</f>
        <v>1.0262269206962682</v>
      </c>
      <c r="C35" s="112">
        <f>IF(25070.94463="","-",25070.94463/1752232.13505*100)</f>
        <v>1.4308004132845447</v>
      </c>
      <c r="D35" s="112">
        <f>IF(23820.61778="","-",23820.61778/1787183.4192*100)</f>
        <v>1.3328580337133424</v>
      </c>
      <c r="E35" s="112">
        <f>IF(22797.84012="","-",22797.84012/1525216.45469*100)</f>
        <v>1.4947281777545245</v>
      </c>
      <c r="F35" s="112">
        <f>IF(23263.64499="","-",23263.64499/1808523.91457*100)</f>
        <v>1.2863332800070399</v>
      </c>
      <c r="G35" s="113">
        <f>IF(50966.64602="","-",50966.64602/2959137.72403*100)</f>
        <v>1.7223478855384051</v>
      </c>
      <c r="J35" s="94"/>
      <c r="K35" s="6"/>
    </row>
    <row r="36" spans="1:11" x14ac:dyDescent="0.2">
      <c r="A36" s="146" t="s">
        <v>43</v>
      </c>
      <c r="B36" s="112">
        <f>IF(OR(86661.29131="",86661.29131="***"),"-",86661.29131/1427663.68281*100)</f>
        <v>6.0701474971632576</v>
      </c>
      <c r="C36" s="112">
        <f>IF(58030.20152="","-",58030.20152/1752232.13505*100)</f>
        <v>3.3117873116933851</v>
      </c>
      <c r="D36" s="112">
        <f>IF(35611.19338="","-",35611.19338/1787183.4192*100)</f>
        <v>1.9925874981506206</v>
      </c>
      <c r="E36" s="112">
        <f>IF(26275.86633="","-",26275.86633/1525216.45469*100)</f>
        <v>1.7227631035058932</v>
      </c>
      <c r="F36" s="112">
        <f>IF(39221.13315="","-",39221.13315/1808523.91457*100)</f>
        <v>2.168682030357632</v>
      </c>
      <c r="G36" s="113">
        <f>IF(47566.64201="","-",47566.64201/2959137.72403*100)</f>
        <v>1.607449414190151</v>
      </c>
      <c r="J36" s="94"/>
      <c r="K36" s="6"/>
    </row>
    <row r="37" spans="1:11" x14ac:dyDescent="0.2">
      <c r="A37" s="146" t="s">
        <v>39</v>
      </c>
      <c r="B37" s="112">
        <f>IF(OR(73560.19898="",73560.19898="***"),"-",73560.19898/1427663.68281*100)</f>
        <v>5.1524879329573681</v>
      </c>
      <c r="C37" s="112">
        <f>IF(62373.84694="","-",62373.84694/1752232.13505*100)</f>
        <v>3.5596794335825925</v>
      </c>
      <c r="D37" s="112">
        <f>IF(53744.81118="","-",53744.81118/1787183.4192*100)</f>
        <v>3.0072353292119218</v>
      </c>
      <c r="E37" s="112">
        <f>IF(42482.22502="","-",42482.22502/1525216.45469*100)</f>
        <v>2.785324331465759</v>
      </c>
      <c r="F37" s="112">
        <f>IF(40820.77061="","-",40820.77061/1808523.91457*100)</f>
        <v>2.2571319229530715</v>
      </c>
      <c r="G37" s="113">
        <f>IF(44723.75091="","-",44723.75091/2959137.72403*100)</f>
        <v>1.5113778093806149</v>
      </c>
      <c r="J37" s="94"/>
      <c r="K37" s="6"/>
    </row>
    <row r="38" spans="1:11" x14ac:dyDescent="0.2">
      <c r="A38" s="146" t="s">
        <v>40</v>
      </c>
      <c r="B38" s="112">
        <f>IF(OR(6285.8914="",6285.8914="***"),"-",6285.8914/1427663.68281*100)</f>
        <v>0.44029216934535947</v>
      </c>
      <c r="C38" s="112">
        <f>IF(5124.84493="","-",5124.84493/1752232.13505*100)</f>
        <v>0.29247522788147945</v>
      </c>
      <c r="D38" s="112">
        <f>IF(5536.91966="","-",5536.91966/1787183.4192*100)</f>
        <v>0.30981261355247469</v>
      </c>
      <c r="E38" s="112">
        <f>IF(12999.28927="","-",12999.28927/1525216.45469*100)</f>
        <v>0.85229143903001636</v>
      </c>
      <c r="F38" s="112">
        <f>IF(25329.29058="","-",25329.29058/1808523.91457*100)</f>
        <v>1.4005504918093585</v>
      </c>
      <c r="G38" s="113">
        <f>IF(36415.45027="","-",36415.45027/2959137.72403*100)</f>
        <v>1.2306101866866272</v>
      </c>
      <c r="J38" s="94"/>
      <c r="K38" s="6"/>
    </row>
    <row r="39" spans="1:11" x14ac:dyDescent="0.2">
      <c r="A39" s="146" t="s">
        <v>62</v>
      </c>
      <c r="B39" s="112">
        <f>IF(OR(24002.11956="",24002.11956="***"),"-",24002.11956/1427663.68281*100)</f>
        <v>1.6812166513024842</v>
      </c>
      <c r="C39" s="112">
        <f>IF(36747.47085="","-",36747.47085/1752232.13505*100)</f>
        <v>2.0971805113568132</v>
      </c>
      <c r="D39" s="112">
        <f>IF(23005.98346="","-",23005.98346/1787183.4192*100)</f>
        <v>1.2872760127943785</v>
      </c>
      <c r="E39" s="112">
        <f>IF(21506.17834="","-",21506.17834/1525216.45469*100)</f>
        <v>1.4100410649169874</v>
      </c>
      <c r="F39" s="112">
        <f>IF(21633.29758="","-",21633.29758/1808523.91457*100)</f>
        <v>1.1961853202888719</v>
      </c>
      <c r="G39" s="113">
        <f>IF(28108.79762="","-",28108.79762/2959137.72403*100)</f>
        <v>0.94989825555395579</v>
      </c>
      <c r="J39" s="94"/>
      <c r="K39" s="6"/>
    </row>
    <row r="40" spans="1:11" x14ac:dyDescent="0.2">
      <c r="A40" s="146" t="s">
        <v>64</v>
      </c>
      <c r="B40" s="112">
        <f>IF(OR(11892.06208="",11892.06208="***"),"-",11892.06208/1427663.68281*100)</f>
        <v>0.83297363540084191</v>
      </c>
      <c r="C40" s="112">
        <f>IF(14220.74894="","-",14220.74894/1752232.13505*100)</f>
        <v>0.81157905140201136</v>
      </c>
      <c r="D40" s="112">
        <f>IF(14530.80149="","-",14530.80149/1787183.4192*100)</f>
        <v>0.81305597029903331</v>
      </c>
      <c r="E40" s="112">
        <f>IF(16849.31254="","-",16849.31254/1525216.45469*100)</f>
        <v>1.104716152791875</v>
      </c>
      <c r="F40" s="112">
        <f>IF(15805.10137="","-",15805.10137/1808523.91457*100)</f>
        <v>0.87392271911194874</v>
      </c>
      <c r="G40" s="113">
        <f>IF(25664.33844="","-",25664.33844/2959137.72403*100)</f>
        <v>0.86729111090673283</v>
      </c>
      <c r="J40" s="94"/>
      <c r="K40" s="6"/>
    </row>
    <row r="41" spans="1:11" x14ac:dyDescent="0.2">
      <c r="A41" s="146" t="s">
        <v>41</v>
      </c>
      <c r="B41" s="112">
        <f>IF(OR(14431.01796="",14431.01796="***"),"-",14431.01796/1427663.68281*100)</f>
        <v>1.0108135504011799</v>
      </c>
      <c r="C41" s="112">
        <f>IF(19081.05023="","-",19081.05023/1752232.13505*100)</f>
        <v>1.0889567568315099</v>
      </c>
      <c r="D41" s="112">
        <f>IF(21365.10907="","-",21365.10907/1787183.4192*100)</f>
        <v>1.1954625832173231</v>
      </c>
      <c r="E41" s="112">
        <f>IF(23082.78459="","-",23082.78459/1525216.45469*100)</f>
        <v>1.5134104093239389</v>
      </c>
      <c r="F41" s="112">
        <f>IF(20057.65553="","-",20057.65553/1808523.91457*100)</f>
        <v>1.1090622229769611</v>
      </c>
      <c r="G41" s="113">
        <f>IF(24722.08417="","-",24722.08417/2959137.72403*100)</f>
        <v>0.8354489204487382</v>
      </c>
      <c r="J41" s="94"/>
      <c r="K41" s="6"/>
    </row>
    <row r="42" spans="1:11" x14ac:dyDescent="0.2">
      <c r="A42" s="146" t="s">
        <v>59</v>
      </c>
      <c r="B42" s="112">
        <f>IF(OR(20170.43962="",20170.43962="***"),"-",20170.43962/1427663.68281*100)</f>
        <v>1.4128285157677696</v>
      </c>
      <c r="C42" s="112">
        <f>IF(24204.58155="","-",24204.58155/1752232.13505*100)</f>
        <v>1.3813570169062859</v>
      </c>
      <c r="D42" s="112">
        <f>IF(18451.73903="","-",18451.73903/1787183.4192*100)</f>
        <v>1.0324479754998839</v>
      </c>
      <c r="E42" s="112">
        <f>IF(23080.49045="","-",23080.49045/1525216.45469*100)</f>
        <v>1.5132599952634991</v>
      </c>
      <c r="F42" s="112">
        <f>IF(18448.49642="","-",18448.49642/1808523.91457*100)</f>
        <v>1.0200858430111701</v>
      </c>
      <c r="G42" s="113">
        <f>IF(23150.79121="","-",23150.79121/2959137.72403*100)</f>
        <v>0.78234923038564497</v>
      </c>
      <c r="J42" s="94"/>
      <c r="K42" s="6"/>
    </row>
    <row r="43" spans="1:11" x14ac:dyDescent="0.2">
      <c r="A43" s="146" t="s">
        <v>80</v>
      </c>
      <c r="B43" s="112">
        <f>IF(OR(6520.2657="",6520.2657="***"),"-",6520.2657/1427663.68281*100)</f>
        <v>0.45670880183535129</v>
      </c>
      <c r="C43" s="112">
        <f>IF(11389.66175="","-",11389.66175/1752232.13505*100)</f>
        <v>0.65000872442480317</v>
      </c>
      <c r="D43" s="112">
        <f>IF(9520.08056="","-",9520.08056/1787183.4192*100)</f>
        <v>0.53268626251364237</v>
      </c>
      <c r="E43" s="112">
        <f>IF(9515.48221="","-",9515.48221/1525216.45469*100)</f>
        <v>0.62387749494441558</v>
      </c>
      <c r="F43" s="112">
        <f>IF(14629.00065="","-",14629.00065/1808523.91457*100)</f>
        <v>0.808891744927699</v>
      </c>
      <c r="G43" s="113">
        <f>IF(15671.90769="","-",15671.90769/2959137.72403*100)</f>
        <v>0.52961062145687132</v>
      </c>
      <c r="J43" s="6"/>
      <c r="K43" s="6"/>
    </row>
    <row r="44" spans="1:11" x14ac:dyDescent="0.2">
      <c r="A44" s="146" t="s">
        <v>82</v>
      </c>
      <c r="B44" s="112">
        <f>IF(OR(77.08266="",77.08266="***"),"-",77.08266/1427663.68281*100)</f>
        <v>5.3992169814309496E-3</v>
      </c>
      <c r="C44" s="112">
        <f>IF(9350.27607="","-",9350.27607/1752232.13505*100)</f>
        <v>0.53362085325145514</v>
      </c>
      <c r="D44" s="112">
        <f>IF(89.34737="","-",89.34737/1787183.4192*100)</f>
        <v>4.9993396894871993E-3</v>
      </c>
      <c r="E44" s="112">
        <f>IF(9049.47396="","-",9049.47396/1525216.45469*100)</f>
        <v>0.59332391361062942</v>
      </c>
      <c r="F44" s="112">
        <f>IF(16154.27511="","-",16154.27511/1808523.91457*100)</f>
        <v>0.89322983123730981</v>
      </c>
      <c r="G44" s="113">
        <f>IF(14852.1983="","-",14852.1983/2959137.72403*100)</f>
        <v>0.50190966710981733</v>
      </c>
      <c r="J44" s="6"/>
      <c r="K44" s="6"/>
    </row>
    <row r="45" spans="1:11" x14ac:dyDescent="0.2">
      <c r="A45" s="147" t="s">
        <v>52</v>
      </c>
      <c r="B45" s="114">
        <f>IF(OR(19995.0708="",19995.0708="***"),"-",19995.0708/1427663.68281*100)</f>
        <v>1.4005448930832709</v>
      </c>
      <c r="C45" s="114">
        <f>IF(27309.01585="","-",27309.01585/1752232.13505*100)</f>
        <v>1.558527280931344</v>
      </c>
      <c r="D45" s="114">
        <f>IF(18522.65353="","-",18522.65353/1787183.4192*100)</f>
        <v>1.0364159230109313</v>
      </c>
      <c r="E45" s="114">
        <f>IF(11920.12224="","-",11920.12224/1525216.45469*100)</f>
        <v>0.7815364306715904</v>
      </c>
      <c r="F45" s="114">
        <f>IF(12721.41744="","-",12721.41744/1808523.91457*100)</f>
        <v>0.70341438880141549</v>
      </c>
      <c r="G45" s="115">
        <f>IF(14365.03148="","-",14365.03148/2959137.72403*100)</f>
        <v>0.4854465327296934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5"/>
  <sheetViews>
    <sheetView workbookViewId="0">
      <selection activeCell="A2" sqref="A2:XFD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8" s="159" customFormat="1" ht="15" customHeight="1" x14ac:dyDescent="0.2">
      <c r="A2" s="163" t="s">
        <v>112</v>
      </c>
      <c r="B2" s="163"/>
      <c r="C2" s="163"/>
      <c r="D2" s="163"/>
      <c r="E2" s="163"/>
      <c r="F2" s="163"/>
      <c r="G2" s="163"/>
    </row>
    <row r="3" spans="1:8" ht="15" customHeight="1" x14ac:dyDescent="0.2">
      <c r="A3" s="89"/>
      <c r="B3" s="89"/>
      <c r="C3" s="89"/>
      <c r="D3" s="89"/>
      <c r="E3" s="89"/>
      <c r="F3" s="89"/>
      <c r="G3" s="89"/>
    </row>
    <row r="4" spans="1:8" x14ac:dyDescent="0.2">
      <c r="A4" s="154"/>
      <c r="B4" s="154"/>
      <c r="C4" s="154"/>
      <c r="D4" s="154"/>
      <c r="E4" s="154"/>
      <c r="F4" s="154"/>
      <c r="G4" s="154"/>
      <c r="H4" s="154"/>
    </row>
    <row r="27" spans="1:2" ht="16.5" customHeight="1" x14ac:dyDescent="0.2">
      <c r="A27" s="52" t="s">
        <v>101</v>
      </c>
      <c r="B27" s="88" t="s">
        <v>44</v>
      </c>
    </row>
    <row r="28" spans="1:2" x14ac:dyDescent="0.2">
      <c r="A28" s="137" t="s">
        <v>66</v>
      </c>
      <c r="B28" s="134">
        <v>8.1</v>
      </c>
    </row>
    <row r="29" spans="1:2" x14ac:dyDescent="0.2">
      <c r="A29" s="138" t="s">
        <v>71</v>
      </c>
      <c r="B29" s="135">
        <v>19.600000000000001</v>
      </c>
    </row>
    <row r="30" spans="1:2" x14ac:dyDescent="0.2">
      <c r="A30" s="138" t="s">
        <v>99</v>
      </c>
      <c r="B30" s="135">
        <v>0.8</v>
      </c>
    </row>
    <row r="31" spans="1:2" x14ac:dyDescent="0.2">
      <c r="A31" s="138" t="s">
        <v>68</v>
      </c>
      <c r="B31" s="135">
        <v>6.5</v>
      </c>
    </row>
    <row r="32" spans="1:2" x14ac:dyDescent="0.2">
      <c r="A32" s="138" t="s">
        <v>69</v>
      </c>
      <c r="B32" s="135">
        <v>2.5</v>
      </c>
    </row>
    <row r="33" spans="1:2" ht="13.5" customHeight="1" x14ac:dyDescent="0.2">
      <c r="A33" s="138" t="s">
        <v>67</v>
      </c>
      <c r="B33" s="135">
        <v>9.5</v>
      </c>
    </row>
    <row r="34" spans="1:2" x14ac:dyDescent="0.2">
      <c r="A34" s="138" t="s">
        <v>73</v>
      </c>
      <c r="B34" s="135">
        <v>10</v>
      </c>
    </row>
    <row r="35" spans="1:2" x14ac:dyDescent="0.2">
      <c r="A35" s="138" t="s">
        <v>75</v>
      </c>
      <c r="B35" s="135">
        <v>6.8</v>
      </c>
    </row>
    <row r="36" spans="1:2" x14ac:dyDescent="0.2">
      <c r="A36" s="138" t="s">
        <v>72</v>
      </c>
      <c r="B36" s="135">
        <v>5.7</v>
      </c>
    </row>
    <row r="37" spans="1:2" x14ac:dyDescent="0.2">
      <c r="A37" s="138" t="s">
        <v>79</v>
      </c>
      <c r="B37" s="135">
        <v>2.1</v>
      </c>
    </row>
    <row r="38" spans="1:2" x14ac:dyDescent="0.2">
      <c r="A38" s="138" t="s">
        <v>100</v>
      </c>
      <c r="B38" s="135">
        <v>2.9</v>
      </c>
    </row>
    <row r="39" spans="1:2" x14ac:dyDescent="0.2">
      <c r="A39" s="138" t="s">
        <v>91</v>
      </c>
      <c r="B39" s="135">
        <v>2.2999999999999998</v>
      </c>
    </row>
    <row r="40" spans="1:2" x14ac:dyDescent="0.2">
      <c r="A40" s="139" t="s">
        <v>74</v>
      </c>
      <c r="B40" s="136">
        <v>23.2</v>
      </c>
    </row>
    <row r="41" spans="1:2" x14ac:dyDescent="0.2">
      <c r="A41" s="140"/>
      <c r="B41" s="65"/>
    </row>
    <row r="42" spans="1:2" x14ac:dyDescent="0.2">
      <c r="A42" s="141" t="s">
        <v>102</v>
      </c>
      <c r="B42" s="39" t="s">
        <v>44</v>
      </c>
    </row>
    <row r="43" spans="1:2" x14ac:dyDescent="0.2">
      <c r="A43" s="137" t="s">
        <v>66</v>
      </c>
      <c r="B43" s="134">
        <v>13</v>
      </c>
    </row>
    <row r="44" spans="1:2" x14ac:dyDescent="0.2">
      <c r="A44" s="138" t="s">
        <v>71</v>
      </c>
      <c r="B44" s="135">
        <v>12</v>
      </c>
    </row>
    <row r="45" spans="1:2" x14ac:dyDescent="0.2">
      <c r="A45" s="138" t="s">
        <v>99</v>
      </c>
      <c r="B45" s="135">
        <v>10.9</v>
      </c>
    </row>
    <row r="46" spans="1:2" x14ac:dyDescent="0.2">
      <c r="A46" s="138" t="s">
        <v>68</v>
      </c>
      <c r="B46" s="135">
        <v>10</v>
      </c>
    </row>
    <row r="47" spans="1:2" x14ac:dyDescent="0.2">
      <c r="A47" s="138" t="s">
        <v>69</v>
      </c>
      <c r="B47" s="135">
        <v>9.5</v>
      </c>
    </row>
    <row r="48" spans="1:2" x14ac:dyDescent="0.2">
      <c r="A48" s="138" t="s">
        <v>67</v>
      </c>
      <c r="B48" s="135">
        <v>7.9</v>
      </c>
    </row>
    <row r="49" spans="1:2" x14ac:dyDescent="0.2">
      <c r="A49" s="138" t="s">
        <v>73</v>
      </c>
      <c r="B49" s="135">
        <v>6.7</v>
      </c>
    </row>
    <row r="50" spans="1:2" x14ac:dyDescent="0.2">
      <c r="A50" s="138" t="s">
        <v>75</v>
      </c>
      <c r="B50" s="135">
        <v>3.6</v>
      </c>
    </row>
    <row r="51" spans="1:2" x14ac:dyDescent="0.2">
      <c r="A51" s="138" t="s">
        <v>72</v>
      </c>
      <c r="B51" s="135">
        <v>3.3</v>
      </c>
    </row>
    <row r="52" spans="1:2" x14ac:dyDescent="0.2">
      <c r="A52" s="138" t="s">
        <v>79</v>
      </c>
      <c r="B52" s="135">
        <v>2.1</v>
      </c>
    </row>
    <row r="53" spans="1:2" x14ac:dyDescent="0.2">
      <c r="A53" s="138" t="s">
        <v>100</v>
      </c>
      <c r="B53" s="135">
        <v>2</v>
      </c>
    </row>
    <row r="54" spans="1:2" x14ac:dyDescent="0.2">
      <c r="A54" s="138" t="s">
        <v>91</v>
      </c>
      <c r="B54" s="135">
        <v>2</v>
      </c>
    </row>
    <row r="55" spans="1:2" x14ac:dyDescent="0.2">
      <c r="A55" s="139" t="s">
        <v>74</v>
      </c>
      <c r="B55" s="136">
        <v>17</v>
      </c>
    </row>
  </sheetData>
  <mergeCells count="2">
    <mergeCell ref="A4:H4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A2" sqref="A2:XFD2"/>
    </sheetView>
  </sheetViews>
  <sheetFormatPr defaultRowHeight="12" x14ac:dyDescent="0.2"/>
  <cols>
    <col min="1" max="1" width="9.85546875" style="3" customWidth="1"/>
    <col min="2" max="2" width="8.140625" style="3" customWidth="1"/>
    <col min="3" max="3" width="9.28515625" style="3" customWidth="1"/>
    <col min="4" max="4" width="7.42578125" style="3" customWidth="1"/>
    <col min="5" max="5" width="7.5703125" style="3" customWidth="1"/>
    <col min="6" max="6" width="7.28515625" style="3" customWidth="1"/>
    <col min="7" max="7" width="6.42578125" style="3" customWidth="1"/>
    <col min="8" max="8" width="6.85546875" style="3" customWidth="1"/>
    <col min="9" max="9" width="7.42578125" style="3" customWidth="1"/>
    <col min="10" max="10" width="11" style="3" customWidth="1"/>
    <col min="11" max="12" width="10" style="3" customWidth="1"/>
    <col min="13" max="13" width="9.8554687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s="159" customFormat="1" x14ac:dyDescent="0.2">
      <c r="A2" s="157" t="s">
        <v>111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37" t="s">
        <v>0</v>
      </c>
      <c r="B21" s="37" t="s">
        <v>1</v>
      </c>
      <c r="C21" s="51" t="s">
        <v>2</v>
      </c>
      <c r="D21" s="51" t="s">
        <v>3</v>
      </c>
      <c r="E21" s="51" t="s">
        <v>4</v>
      </c>
      <c r="F21" s="51" t="s">
        <v>5</v>
      </c>
      <c r="G21" s="51" t="s">
        <v>6</v>
      </c>
      <c r="H21" s="51" t="s">
        <v>7</v>
      </c>
      <c r="I21" s="51" t="s">
        <v>8</v>
      </c>
      <c r="J21" s="51" t="s">
        <v>9</v>
      </c>
      <c r="K21" s="51" t="s">
        <v>10</v>
      </c>
      <c r="L21" s="51" t="s">
        <v>11</v>
      </c>
      <c r="M21" s="51" t="s">
        <v>12</v>
      </c>
    </row>
    <row r="22" spans="1:13" x14ac:dyDescent="0.2">
      <c r="A22" s="41">
        <v>2017</v>
      </c>
      <c r="B22" s="50">
        <v>266.8</v>
      </c>
      <c r="C22" s="50">
        <v>332.7</v>
      </c>
      <c r="D22" s="50">
        <v>431.2</v>
      </c>
      <c r="E22" s="50">
        <v>361.5</v>
      </c>
      <c r="F22" s="50">
        <v>400.4</v>
      </c>
      <c r="G22" s="50">
        <v>388.8</v>
      </c>
      <c r="H22" s="50">
        <v>396.9</v>
      </c>
      <c r="I22" s="50">
        <v>429.7</v>
      </c>
      <c r="J22" s="50">
        <v>430.8</v>
      </c>
      <c r="K22" s="50">
        <v>465.9</v>
      </c>
      <c r="L22" s="50">
        <v>455.3</v>
      </c>
      <c r="M22" s="47">
        <v>471.4</v>
      </c>
    </row>
    <row r="23" spans="1:13" x14ac:dyDescent="0.2">
      <c r="A23" s="41">
        <v>2018</v>
      </c>
      <c r="B23" s="50">
        <v>374.3</v>
      </c>
      <c r="C23" s="50">
        <v>427.6</v>
      </c>
      <c r="D23" s="50">
        <v>524.1</v>
      </c>
      <c r="E23" s="50">
        <v>444.6</v>
      </c>
      <c r="F23" s="50">
        <v>505.6</v>
      </c>
      <c r="G23" s="50">
        <v>458.7</v>
      </c>
      <c r="H23" s="50">
        <v>488</v>
      </c>
      <c r="I23" s="50">
        <v>480.7</v>
      </c>
      <c r="J23" s="50">
        <v>474</v>
      </c>
      <c r="K23" s="50">
        <v>540.6</v>
      </c>
      <c r="L23" s="50">
        <v>522.6</v>
      </c>
      <c r="M23" s="47">
        <v>519.29999999999995</v>
      </c>
    </row>
    <row r="24" spans="1:13" x14ac:dyDescent="0.2">
      <c r="A24" s="41">
        <v>2019</v>
      </c>
      <c r="B24" s="50">
        <v>372.6</v>
      </c>
      <c r="C24" s="50">
        <v>459.3</v>
      </c>
      <c r="D24" s="50">
        <v>533.79999999999995</v>
      </c>
      <c r="E24" s="50">
        <v>515.6</v>
      </c>
      <c r="F24" s="50">
        <v>481.6</v>
      </c>
      <c r="G24" s="50">
        <v>445.4</v>
      </c>
      <c r="H24" s="50">
        <v>499.1</v>
      </c>
      <c r="I24" s="50">
        <v>464.3</v>
      </c>
      <c r="J24" s="50">
        <v>501.7</v>
      </c>
      <c r="K24" s="50">
        <v>525.29999999999995</v>
      </c>
      <c r="L24" s="50">
        <v>504.1</v>
      </c>
      <c r="M24" s="47">
        <v>539.70000000000005</v>
      </c>
    </row>
    <row r="25" spans="1:13" x14ac:dyDescent="0.2">
      <c r="A25" s="41">
        <v>2020</v>
      </c>
      <c r="B25" s="46">
        <v>379.8</v>
      </c>
      <c r="C25" s="46">
        <v>484.8</v>
      </c>
      <c r="D25" s="46">
        <v>500.5</v>
      </c>
      <c r="E25" s="46">
        <v>285.60000000000002</v>
      </c>
      <c r="F25" s="46">
        <v>329.4</v>
      </c>
      <c r="G25" s="46">
        <v>413.5</v>
      </c>
      <c r="H25" s="46">
        <v>496.6</v>
      </c>
      <c r="I25" s="46">
        <v>433.6</v>
      </c>
      <c r="J25" s="46">
        <v>508.3</v>
      </c>
      <c r="K25" s="46">
        <v>493.6</v>
      </c>
      <c r="L25" s="46">
        <v>522.9</v>
      </c>
      <c r="M25" s="47">
        <v>567.29999999999995</v>
      </c>
    </row>
    <row r="26" spans="1:13" x14ac:dyDescent="0.2">
      <c r="A26" s="41">
        <v>2021</v>
      </c>
      <c r="B26" s="46">
        <v>399.4</v>
      </c>
      <c r="C26" s="46">
        <v>521.4</v>
      </c>
      <c r="D26" s="46">
        <v>630.1</v>
      </c>
      <c r="E26" s="46">
        <v>562.20000000000005</v>
      </c>
      <c r="F26" s="46">
        <v>563.4</v>
      </c>
      <c r="G26" s="46">
        <v>589.6</v>
      </c>
      <c r="H26" s="46">
        <v>562</v>
      </c>
      <c r="I26" s="46">
        <v>574.9</v>
      </c>
      <c r="J26" s="46">
        <v>671.2</v>
      </c>
      <c r="K26" s="46">
        <v>646.79999999999995</v>
      </c>
      <c r="L26" s="46">
        <v>701.5</v>
      </c>
      <c r="M26" s="47">
        <v>754.2</v>
      </c>
    </row>
    <row r="27" spans="1:13" x14ac:dyDescent="0.2">
      <c r="A27" s="42">
        <v>2022</v>
      </c>
      <c r="B27" s="48">
        <v>621.70000000000005</v>
      </c>
      <c r="C27" s="48">
        <v>669.1</v>
      </c>
      <c r="D27" s="48">
        <v>748.3</v>
      </c>
      <c r="E27" s="48">
        <v>770.5</v>
      </c>
      <c r="F27" s="48">
        <v>772.7</v>
      </c>
      <c r="G27" s="48">
        <v>768.3</v>
      </c>
      <c r="H27" s="48">
        <v>761.2</v>
      </c>
      <c r="I27" s="48">
        <v>780</v>
      </c>
      <c r="J27" s="48"/>
      <c r="K27" s="48"/>
      <c r="L27" s="48"/>
      <c r="M27" s="49"/>
    </row>
  </sheetData>
  <mergeCells count="1"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O32"/>
  <sheetViews>
    <sheetView workbookViewId="0">
      <selection activeCell="A2" sqref="A2:XFD2"/>
    </sheetView>
  </sheetViews>
  <sheetFormatPr defaultRowHeight="12" x14ac:dyDescent="0.2"/>
  <cols>
    <col min="1" max="1" width="19.140625" style="3" customWidth="1"/>
    <col min="2" max="2" width="5.140625" style="3" customWidth="1"/>
    <col min="3" max="5" width="5.42578125" style="3" customWidth="1"/>
    <col min="6" max="6" width="6.140625" style="3" customWidth="1"/>
    <col min="7" max="7" width="6" style="3" customWidth="1"/>
    <col min="8" max="8" width="5.85546875" style="3" customWidth="1"/>
    <col min="9" max="9" width="5.7109375" style="3" customWidth="1"/>
    <col min="10" max="11" width="6" style="3" customWidth="1"/>
    <col min="12" max="12" width="6.140625" style="3" customWidth="1"/>
    <col min="13" max="13" width="6.28515625" style="3" customWidth="1"/>
    <col min="14" max="16" width="5.42578125" style="3" customWidth="1"/>
    <col min="17" max="17" width="5.5703125" style="3" customWidth="1"/>
    <col min="18" max="18" width="5.42578125" style="3" customWidth="1"/>
    <col min="19" max="19" width="6" style="3" customWidth="1"/>
    <col min="20" max="20" width="5.28515625" style="3" customWidth="1"/>
    <col min="21" max="23" width="5.7109375" style="3" customWidth="1"/>
    <col min="24" max="24" width="5.42578125" style="3" customWidth="1"/>
    <col min="25" max="26" width="5.5703125" style="3" customWidth="1"/>
    <col min="27" max="28" width="5.85546875" style="3" customWidth="1"/>
    <col min="29" max="29" width="5.5703125" style="3" customWidth="1"/>
    <col min="30" max="30" width="5.42578125" style="3" customWidth="1"/>
    <col min="31" max="31" width="6" style="3" customWidth="1"/>
    <col min="32" max="32" width="5.42578125" style="3" customWidth="1"/>
    <col min="33" max="36" width="6" style="3" customWidth="1"/>
    <col min="37" max="38" width="6.42578125" style="3" customWidth="1"/>
    <col min="39" max="39" width="6.5703125" style="3" customWidth="1"/>
    <col min="40" max="40" width="7.28515625" style="3" customWidth="1"/>
    <col min="41" max="42" width="6.7109375" style="3" customWidth="1"/>
    <col min="43" max="43" width="6.5703125" style="3" customWidth="1"/>
    <col min="44" max="16384" width="9.140625" style="3"/>
  </cols>
  <sheetData>
    <row r="2" spans="1:23" s="159" customFormat="1" x14ac:dyDescent="0.2">
      <c r="A2" s="160" t="s">
        <v>110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2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2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2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2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2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2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2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2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2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1" x14ac:dyDescent="0.2">
      <c r="A23" s="155"/>
      <c r="B23" s="150">
        <v>2020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>
        <v>2021</v>
      </c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  <c r="Z23" s="151">
        <v>2022</v>
      </c>
      <c r="AA23" s="152"/>
      <c r="AB23" s="152"/>
      <c r="AC23" s="152"/>
      <c r="AD23" s="152"/>
      <c r="AE23" s="152"/>
      <c r="AF23" s="152"/>
      <c r="AG23" s="153"/>
    </row>
    <row r="24" spans="1:41" x14ac:dyDescent="0.2">
      <c r="A24" s="156"/>
      <c r="B24" s="30" t="s">
        <v>13</v>
      </c>
      <c r="C24" s="30" t="s">
        <v>14</v>
      </c>
      <c r="D24" s="30" t="s">
        <v>15</v>
      </c>
      <c r="E24" s="30" t="s">
        <v>16</v>
      </c>
      <c r="F24" s="30" t="s">
        <v>17</v>
      </c>
      <c r="G24" s="30" t="s">
        <v>22</v>
      </c>
      <c r="H24" s="30" t="s">
        <v>18</v>
      </c>
      <c r="I24" s="30" t="s">
        <v>23</v>
      </c>
      <c r="J24" s="30" t="s">
        <v>19</v>
      </c>
      <c r="K24" s="30" t="s">
        <v>24</v>
      </c>
      <c r="L24" s="30" t="s">
        <v>20</v>
      </c>
      <c r="M24" s="30" t="s">
        <v>21</v>
      </c>
      <c r="N24" s="59" t="s">
        <v>13</v>
      </c>
      <c r="O24" s="59" t="s">
        <v>14</v>
      </c>
      <c r="P24" s="60" t="s">
        <v>15</v>
      </c>
      <c r="Q24" s="59" t="s">
        <v>16</v>
      </c>
      <c r="R24" s="59" t="s">
        <v>17</v>
      </c>
      <c r="S24" s="59" t="s">
        <v>22</v>
      </c>
      <c r="T24" s="59" t="s">
        <v>18</v>
      </c>
      <c r="U24" s="59" t="s">
        <v>23</v>
      </c>
      <c r="V24" s="64" t="s">
        <v>19</v>
      </c>
      <c r="W24" s="42" t="s">
        <v>24</v>
      </c>
      <c r="X24" s="39" t="s">
        <v>20</v>
      </c>
      <c r="Y24" s="39" t="s">
        <v>21</v>
      </c>
      <c r="Z24" s="90" t="s">
        <v>13</v>
      </c>
      <c r="AA24" s="90" t="s">
        <v>14</v>
      </c>
      <c r="AB24" s="90" t="s">
        <v>15</v>
      </c>
      <c r="AC24" s="59" t="s">
        <v>16</v>
      </c>
      <c r="AD24" s="59" t="s">
        <v>17</v>
      </c>
      <c r="AE24" s="106" t="s">
        <v>22</v>
      </c>
      <c r="AF24" s="106" t="s">
        <v>18</v>
      </c>
      <c r="AG24" s="106" t="s">
        <v>23</v>
      </c>
    </row>
    <row r="25" spans="1:41" ht="27.75" customHeight="1" x14ac:dyDescent="0.2">
      <c r="A25" s="27" t="s">
        <v>57</v>
      </c>
      <c r="B25" s="19">
        <v>70.382208343865415</v>
      </c>
      <c r="C25" s="19">
        <v>127.63158194440297</v>
      </c>
      <c r="D25" s="19">
        <v>103.24095247310265</v>
      </c>
      <c r="E25" s="19">
        <v>57.064146061655876</v>
      </c>
      <c r="F25" s="19">
        <v>115.32045479750228</v>
      </c>
      <c r="G25" s="19">
        <v>125.55839051166471</v>
      </c>
      <c r="H25" s="19">
        <v>120.09478099934977</v>
      </c>
      <c r="I25" s="19">
        <v>87.312042792465732</v>
      </c>
      <c r="J25" s="19">
        <v>117.22959939467061</v>
      </c>
      <c r="K25" s="19">
        <v>97.096953437578748</v>
      </c>
      <c r="L25" s="19">
        <v>105.93754706899317</v>
      </c>
      <c r="M25" s="15">
        <v>108.49423751970338</v>
      </c>
      <c r="N25" s="102">
        <v>70.397914008513311</v>
      </c>
      <c r="O25" s="20">
        <v>130.56565598353049</v>
      </c>
      <c r="P25" s="20">
        <v>120.83026196604835</v>
      </c>
      <c r="Q25" s="103">
        <v>89.231037795592442</v>
      </c>
      <c r="R25" s="20">
        <v>100.2114807539604</v>
      </c>
      <c r="S25" s="20">
        <v>104.66057637383682</v>
      </c>
      <c r="T25" s="20">
        <v>95.30942393156748</v>
      </c>
      <c r="U25" s="20">
        <v>102.30310816744974</v>
      </c>
      <c r="V25" s="20">
        <v>116.7433114933096</v>
      </c>
      <c r="W25" s="20">
        <v>96.368466717330918</v>
      </c>
      <c r="X25" s="99">
        <v>108.45193596997535</v>
      </c>
      <c r="Y25" s="101">
        <v>107.60757399325725</v>
      </c>
      <c r="Z25" s="122">
        <v>82.428114796228584</v>
      </c>
      <c r="AA25" s="99">
        <v>107.62832138935146</v>
      </c>
      <c r="AB25" s="99">
        <v>111.83648900221725</v>
      </c>
      <c r="AC25" s="99">
        <v>102.9712600305761</v>
      </c>
      <c r="AD25" s="20">
        <v>100.2829822644897</v>
      </c>
      <c r="AE25" s="125">
        <v>99.426283819396033</v>
      </c>
      <c r="AF25" s="125">
        <v>99.079444566557498</v>
      </c>
      <c r="AG25" s="107">
        <v>102.46989358109404</v>
      </c>
    </row>
    <row r="26" spans="1:41" ht="42" customHeight="1" x14ac:dyDescent="0.2">
      <c r="A26" s="28" t="s">
        <v>58</v>
      </c>
      <c r="B26" s="14">
        <f>IF(372548.49281="","-",379831.59944/372548.49281*100)</f>
        <v>101.95494191241148</v>
      </c>
      <c r="C26" s="14">
        <f>IF(459248.98718="","-",484785.07909/459248.98718*100)</f>
        <v>105.56040244460927</v>
      </c>
      <c r="D26" s="14">
        <f>IF(533847.81488="","-",500496.7331/533847.81488*100)</f>
        <v>93.752698643620619</v>
      </c>
      <c r="E26" s="14">
        <f>IF(515591.42554="","-",285604.18681/515591.42554*100)</f>
        <v>55.393509795256001</v>
      </c>
      <c r="F26" s="14">
        <f>IF(481606.75367="","-",329360.04715/481606.75367*100)</f>
        <v>68.38775508029515</v>
      </c>
      <c r="G26" s="14">
        <f>IF(445438.91205="","-",413539.17419/445438.91205*100)</f>
        <v>92.838583025180498</v>
      </c>
      <c r="H26" s="14">
        <f>IF(499106.13257="","-",496638.96559/499106.13257*100)</f>
        <v>99.505682896081424</v>
      </c>
      <c r="I26" s="14">
        <f>IF(464269.56222="","-",433625.62616/464269.56222*100)</f>
        <v>93.399537993946922</v>
      </c>
      <c r="J26" s="14">
        <f>IF(501694.30423="","-",508337.58442/501694.30423*100)</f>
        <v>101.32416894790069</v>
      </c>
      <c r="K26" s="14">
        <f>IF(525340.24848="","-",493580.30765/525340.24848*100)</f>
        <v>93.954405564414117</v>
      </c>
      <c r="L26" s="14">
        <f>IF(504121.79757="","-",522886.87074/504121.79757*100)</f>
        <v>103.7223292586142</v>
      </c>
      <c r="M26" s="16">
        <f>IF(539669.9086="","-",567302.1235/539669.9086*100)</f>
        <v>105.12020671519058</v>
      </c>
      <c r="N26" s="26">
        <f>IF(379831.59944="","-",399368.86107/379831.59944*100)</f>
        <v>105.14366410240868</v>
      </c>
      <c r="O26" s="14">
        <f>IF(484785.07909="","-",521438.57325/484785.07909*100)</f>
        <v>107.56077192573727</v>
      </c>
      <c r="P26" s="14">
        <f>IF(500496.7331="","-",630055.59405/500496.7331*100)</f>
        <v>125.88605526903886</v>
      </c>
      <c r="Q26" s="14">
        <f>IF(285604.18681="","-",562205.14526/285604.18681*100)</f>
        <v>196.84765533007069</v>
      </c>
      <c r="R26" s="14">
        <f>IF(329360.04715="","-",563394.10094/329360.04715*100)</f>
        <v>171.05720800538208</v>
      </c>
      <c r="S26" s="14">
        <f>IF(413539.17419="","-",589651.5133/413539.17419*100)</f>
        <v>142.58661575531545</v>
      </c>
      <c r="T26" s="14">
        <f>IF(496638.96559="","-",561993.46053/496638.96559*100)</f>
        <v>113.15935709199938</v>
      </c>
      <c r="U26" s="14">
        <f>IF(433625.62616="","-",574936.77782/433625.62616*100)</f>
        <v>132.58828425602752</v>
      </c>
      <c r="V26" s="14">
        <f>IF(508337.58442="","-",671200.23342/508337.58442*100)</f>
        <v>132.03828597207149</v>
      </c>
      <c r="W26" s="14">
        <f>IF(493580.30765="","-",646825.37355/493580.30765*100)</f>
        <v>131.0476458490858</v>
      </c>
      <c r="X26" s="121">
        <f>IF(522886.87074="","-",701494.63996/522886.87074*100)</f>
        <v>134.15801375299989</v>
      </c>
      <c r="Y26" s="16">
        <f>IF(567302.1235="","-",754196.91196/567302.1235*100)</f>
        <v>132.94448949123316</v>
      </c>
      <c r="Z26" s="123">
        <f>IF(399368.86107="","-",621670.29638/399368.86107*100)</f>
        <v>155.66318683795325</v>
      </c>
      <c r="AA26" s="121">
        <f>IF(521438.57325="","-",669093.30457/521438.57325*100)</f>
        <v>128.31680257172076</v>
      </c>
      <c r="AB26" s="121">
        <f>IF(630055.59405="","-",748290.45998/630055.59405*100)</f>
        <v>118.765783058918</v>
      </c>
      <c r="AC26" s="121">
        <f>IF(562205.14526="","-",770524.11533/562205.14526*100)</f>
        <v>137.05390671472063</v>
      </c>
      <c r="AD26" s="121">
        <f>IF(563394.10094="","-",772704.56192/563394.10094*100)</f>
        <v>137.15169552375045</v>
      </c>
      <c r="AE26" s="121">
        <f>IF(589651.5133="","-",768271.43082/589651.5133*100)</f>
        <v>130.29245469418862</v>
      </c>
      <c r="AF26" s="121">
        <f>IF(561993.46053="","-",761199.06642/561993.46053*100)</f>
        <v>135.44624980193453</v>
      </c>
      <c r="AG26" s="108">
        <f>IF(574936.77782="","-",779999.87451/574936.77782*100)</f>
        <v>135.66706890234821</v>
      </c>
    </row>
    <row r="27" spans="1:4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</row>
    <row r="28" spans="1:4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  <c r="Z28" s="61"/>
      <c r="AA28" s="61"/>
      <c r="AB28" s="62"/>
      <c r="AC28" s="63"/>
      <c r="AD28" s="61"/>
      <c r="AE28" s="58"/>
      <c r="AF28" s="58"/>
      <c r="AG28" s="58"/>
      <c r="AH28" s="58"/>
    </row>
    <row r="31" spans="1:41" ht="15.75" x14ac:dyDescent="0.25">
      <c r="S31" s="79"/>
      <c r="T31" s="80"/>
      <c r="U31" s="81"/>
      <c r="V31" s="80"/>
      <c r="W31" s="79"/>
      <c r="X31" s="80"/>
      <c r="Y31" s="81"/>
      <c r="Z31" s="80"/>
      <c r="AA31" s="81"/>
      <c r="AB31" s="80"/>
      <c r="AC31" s="78"/>
      <c r="AD31" s="80"/>
      <c r="AE31" s="78"/>
      <c r="AF31" s="80"/>
      <c r="AG31" s="78"/>
      <c r="AH31" s="80"/>
      <c r="AI31" s="82"/>
      <c r="AJ31" s="80"/>
      <c r="AK31" s="70"/>
      <c r="AL31" s="80"/>
      <c r="AM31" s="78"/>
      <c r="AN31" s="80"/>
      <c r="AO31" s="77"/>
    </row>
    <row r="32" spans="1:41" ht="15.75" x14ac:dyDescent="0.2">
      <c r="X32" s="78"/>
    </row>
  </sheetData>
  <mergeCells count="5">
    <mergeCell ref="A23:A24"/>
    <mergeCell ref="B23:M23"/>
    <mergeCell ref="N23:Y23"/>
    <mergeCell ref="Z23:AG23"/>
    <mergeCell ref="A2:W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2"/>
  <sheetViews>
    <sheetView workbookViewId="0">
      <selection activeCell="A2" sqref="A2:XFD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s="159" customFormat="1" x14ac:dyDescent="0.2">
      <c r="A2" s="160" t="s">
        <v>109</v>
      </c>
      <c r="B2" s="160"/>
      <c r="C2" s="160"/>
      <c r="D2" s="160"/>
      <c r="E2" s="160"/>
      <c r="F2" s="160"/>
      <c r="G2" s="160"/>
      <c r="H2" s="158"/>
      <c r="I2" s="158"/>
      <c r="J2" s="158"/>
      <c r="K2" s="158"/>
      <c r="L2" s="158"/>
      <c r="M2" s="158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0"/>
      <c r="B22" s="40"/>
      <c r="C22" s="40"/>
      <c r="D22" s="40"/>
      <c r="E22" s="40"/>
      <c r="F22" s="40"/>
      <c r="G22" s="40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ht="24" x14ac:dyDescent="0.2">
      <c r="A24" s="52" t="s">
        <v>25</v>
      </c>
      <c r="B24" s="36" t="s">
        <v>93</v>
      </c>
      <c r="C24" s="13" t="s">
        <v>94</v>
      </c>
      <c r="D24" s="13" t="s">
        <v>95</v>
      </c>
      <c r="E24" s="13" t="s">
        <v>96</v>
      </c>
      <c r="F24" s="13" t="s">
        <v>97</v>
      </c>
      <c r="G24" s="13" t="s">
        <v>98</v>
      </c>
    </row>
    <row r="25" spans="1:7" x14ac:dyDescent="0.2">
      <c r="A25" s="43" t="s">
        <v>26</v>
      </c>
      <c r="B25" s="127">
        <v>7.4</v>
      </c>
      <c r="C25" s="109">
        <v>2.8</v>
      </c>
      <c r="D25" s="109">
        <v>1.6</v>
      </c>
      <c r="E25" s="109">
        <v>2.1</v>
      </c>
      <c r="F25" s="109">
        <v>3</v>
      </c>
      <c r="G25" s="116">
        <v>2.6</v>
      </c>
    </row>
    <row r="26" spans="1:7" x14ac:dyDescent="0.2">
      <c r="A26" s="44" t="s">
        <v>27</v>
      </c>
      <c r="B26" s="128">
        <v>4.8</v>
      </c>
      <c r="C26" s="117">
        <v>4.8</v>
      </c>
      <c r="D26" s="117">
        <v>5.3</v>
      </c>
      <c r="E26" s="117">
        <v>4.8</v>
      </c>
      <c r="F26" s="117">
        <v>5.6</v>
      </c>
      <c r="G26" s="118">
        <v>5.7</v>
      </c>
    </row>
    <row r="27" spans="1:7" x14ac:dyDescent="0.2">
      <c r="A27" s="44" t="s">
        <v>28</v>
      </c>
      <c r="B27" s="128">
        <v>76.8</v>
      </c>
      <c r="C27" s="117">
        <v>85.9</v>
      </c>
      <c r="D27" s="117">
        <v>86.4</v>
      </c>
      <c r="E27" s="117">
        <v>84.7</v>
      </c>
      <c r="F27" s="117">
        <v>83.4</v>
      </c>
      <c r="G27" s="118">
        <v>83.5</v>
      </c>
    </row>
    <row r="28" spans="1:7" x14ac:dyDescent="0.2">
      <c r="A28" s="44" t="s">
        <v>29</v>
      </c>
      <c r="B28" s="128">
        <v>1.6</v>
      </c>
      <c r="C28" s="117">
        <v>2.4</v>
      </c>
      <c r="D28" s="117">
        <v>2.2999999999999998</v>
      </c>
      <c r="E28" s="117">
        <v>2.7</v>
      </c>
      <c r="F28" s="117">
        <v>2.6</v>
      </c>
      <c r="G28" s="118">
        <v>2.6</v>
      </c>
    </row>
    <row r="29" spans="1:7" x14ac:dyDescent="0.2">
      <c r="A29" s="44" t="s">
        <v>45</v>
      </c>
      <c r="B29" s="128">
        <v>0.1</v>
      </c>
      <c r="C29" s="117">
        <v>0.2</v>
      </c>
      <c r="D29" s="117">
        <v>0.3</v>
      </c>
      <c r="E29" s="117">
        <v>0.2</v>
      </c>
      <c r="F29" s="117">
        <v>0.3</v>
      </c>
      <c r="G29" s="118">
        <v>0.3</v>
      </c>
    </row>
    <row r="30" spans="1:7" x14ac:dyDescent="0.2">
      <c r="A30" s="44" t="s">
        <v>46</v>
      </c>
      <c r="B30" s="128">
        <v>8.6999999999999993</v>
      </c>
      <c r="C30" s="117">
        <v>3.3</v>
      </c>
      <c r="D30" s="117">
        <v>3.6</v>
      </c>
      <c r="E30" s="117">
        <v>4.8</v>
      </c>
      <c r="F30" s="117">
        <v>4.5</v>
      </c>
      <c r="G30" s="118">
        <v>4.7</v>
      </c>
    </row>
    <row r="31" spans="1:7" x14ac:dyDescent="0.2">
      <c r="A31" s="45" t="s">
        <v>47</v>
      </c>
      <c r="B31" s="129">
        <v>0.6</v>
      </c>
      <c r="C31" s="119">
        <v>0.6</v>
      </c>
      <c r="D31" s="119">
        <v>0.5</v>
      </c>
      <c r="E31" s="119">
        <v>0.7</v>
      </c>
      <c r="F31" s="119">
        <v>0.6</v>
      </c>
      <c r="G31" s="120">
        <v>0.6</v>
      </c>
    </row>
    <row r="36" spans="2:7" ht="15" x14ac:dyDescent="0.2">
      <c r="B36" s="92"/>
      <c r="C36" s="92"/>
      <c r="D36" s="93"/>
      <c r="E36" s="93"/>
      <c r="F36" s="93"/>
      <c r="G36" s="93"/>
    </row>
    <row r="37" spans="2:7" ht="15" x14ac:dyDescent="0.2">
      <c r="B37" s="92"/>
      <c r="C37" s="92"/>
      <c r="D37" s="93"/>
      <c r="E37" s="93"/>
      <c r="F37" s="93"/>
      <c r="G37" s="93"/>
    </row>
    <row r="38" spans="2:7" ht="15" x14ac:dyDescent="0.2">
      <c r="B38" s="92"/>
      <c r="C38" s="92"/>
      <c r="D38" s="93"/>
      <c r="E38" s="93"/>
      <c r="F38" s="93"/>
      <c r="G38" s="93"/>
    </row>
    <row r="39" spans="2:7" ht="15" x14ac:dyDescent="0.2">
      <c r="B39" s="92"/>
      <c r="C39" s="92"/>
      <c r="D39" s="93"/>
      <c r="E39" s="93"/>
      <c r="F39" s="93"/>
      <c r="G39" s="93"/>
    </row>
    <row r="40" spans="2:7" ht="15" x14ac:dyDescent="0.2">
      <c r="B40" s="92"/>
      <c r="C40" s="92"/>
      <c r="D40" s="93"/>
      <c r="E40" s="93"/>
      <c r="F40" s="93"/>
      <c r="G40" s="93"/>
    </row>
    <row r="41" spans="2:7" ht="15" x14ac:dyDescent="0.2">
      <c r="B41" s="92"/>
      <c r="C41" s="92"/>
      <c r="D41" s="93"/>
      <c r="E41" s="93"/>
      <c r="F41" s="93"/>
      <c r="G41" s="93"/>
    </row>
    <row r="42" spans="2:7" ht="15" x14ac:dyDescent="0.2">
      <c r="B42" s="92"/>
      <c r="C42" s="92"/>
      <c r="D42" s="93"/>
      <c r="E42" s="93"/>
      <c r="F42" s="93"/>
      <c r="G42" s="93"/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Cebotari</cp:lastModifiedBy>
  <dcterms:created xsi:type="dcterms:W3CDTF">2017-02-13T11:50:10Z</dcterms:created>
  <dcterms:modified xsi:type="dcterms:W3CDTF">2022-10-16T15:42:33Z</dcterms:modified>
</cp:coreProperties>
</file>