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tables/table1.xml" ContentType="application/vnd.openxmlformats-officedocument.spreadsheetml.tab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Doina Vudvud\Desktop\New folder\"/>
    </mc:Choice>
  </mc:AlternateContent>
  <xr:revisionPtr revIDLastSave="0" documentId="13_ncr:1_{C0B0473A-3992-4525-A19A-29AB6AC6A113}" xr6:coauthVersionLast="37" xr6:coauthVersionMax="37" xr10:uidLastSave="{00000000-0000-0000-0000-000000000000}"/>
  <bookViews>
    <workbookView xWindow="0" yWindow="0" windowWidth="28800" windowHeight="11925" tabRatio="857" xr2:uid="{00000000-000D-0000-FFFF-FFFF00000000}"/>
  </bookViews>
  <sheets>
    <sheet name="Figura 1" sheetId="1" r:id="rId1"/>
    <sheet name="Figura 2" sheetId="2" r:id="rId2"/>
    <sheet name="Figura 3" sheetId="3" r:id="rId3"/>
    <sheet name="Figura 4" sheetId="4" r:id="rId4"/>
    <sheet name="Figura 5" sheetId="5" r:id="rId5"/>
    <sheet name="Figura 6" sheetId="17" r:id="rId6"/>
    <sheet name="Figura 7" sheetId="7" r:id="rId7"/>
    <sheet name="Figura 8" sheetId="8" r:id="rId8"/>
    <sheet name="Figura 9" sheetId="9" r:id="rId9"/>
    <sheet name="Figura 10" sheetId="10" r:id="rId10"/>
    <sheet name="Figura 11" sheetId="16" r:id="rId11"/>
    <sheet name="Figura 12" sheetId="12" r:id="rId12"/>
    <sheet name="Figura 13" sheetId="13" r:id="rId13"/>
    <sheet name="Figura 14" sheetId="14" r:id="rId14"/>
  </sheets>
  <calcPr calcId="1790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6" l="1"/>
  <c r="F46" i="16"/>
  <c r="E46" i="16"/>
  <c r="D46" i="16"/>
  <c r="C46" i="16"/>
  <c r="B46" i="16"/>
  <c r="G45" i="16"/>
  <c r="F45" i="16"/>
  <c r="E45" i="16"/>
  <c r="D45" i="16"/>
  <c r="C45" i="16"/>
  <c r="B45" i="16"/>
  <c r="G44" i="16"/>
  <c r="F44" i="16"/>
  <c r="E44" i="16"/>
  <c r="D44" i="16"/>
  <c r="C44" i="16"/>
  <c r="B44" i="16"/>
  <c r="G43" i="16"/>
  <c r="F43" i="16"/>
  <c r="E43" i="16"/>
  <c r="D43" i="16"/>
  <c r="C43" i="16"/>
  <c r="B43" i="16"/>
  <c r="G42" i="16"/>
  <c r="F42" i="16"/>
  <c r="E42" i="16"/>
  <c r="D42" i="16"/>
  <c r="C42" i="16"/>
  <c r="B42" i="16"/>
  <c r="G41" i="16"/>
  <c r="F41" i="16"/>
  <c r="E41" i="16"/>
  <c r="D41" i="16"/>
  <c r="C41" i="16"/>
  <c r="B41" i="16"/>
  <c r="G40" i="16"/>
  <c r="F40" i="16"/>
  <c r="E40" i="16"/>
  <c r="D40" i="16"/>
  <c r="C40" i="16"/>
  <c r="B40" i="16"/>
  <c r="G39" i="16"/>
  <c r="F39" i="16"/>
  <c r="E39" i="16"/>
  <c r="D39" i="16"/>
  <c r="C39" i="16"/>
  <c r="B39" i="16"/>
  <c r="G38" i="16"/>
  <c r="F38" i="16"/>
  <c r="E38" i="16"/>
  <c r="D38" i="16"/>
  <c r="C38" i="16"/>
  <c r="B38" i="16"/>
  <c r="G37" i="16"/>
  <c r="F37" i="16"/>
  <c r="E37" i="16"/>
  <c r="D37" i="16"/>
  <c r="C37" i="16"/>
  <c r="B37" i="16"/>
  <c r="G36" i="16"/>
  <c r="F36" i="16"/>
  <c r="E36" i="16"/>
  <c r="D36" i="16"/>
  <c r="C36" i="16"/>
  <c r="B36" i="16"/>
  <c r="G35" i="16"/>
  <c r="F35" i="16"/>
  <c r="E35" i="16"/>
  <c r="D35" i="16"/>
  <c r="C35" i="16"/>
  <c r="B35" i="16"/>
  <c r="G34" i="16"/>
  <c r="F34" i="16"/>
  <c r="E34" i="16"/>
  <c r="D34" i="16"/>
  <c r="C34" i="16"/>
  <c r="B34" i="16"/>
  <c r="G33" i="16"/>
  <c r="F33" i="16"/>
  <c r="E33" i="16"/>
  <c r="D33" i="16"/>
  <c r="C33" i="16"/>
  <c r="B33" i="16"/>
  <c r="G32" i="16"/>
  <c r="F32" i="16"/>
  <c r="E32" i="16"/>
  <c r="D32" i="16"/>
  <c r="C32" i="16"/>
  <c r="B32" i="16"/>
  <c r="G31" i="16"/>
  <c r="F31" i="16"/>
  <c r="E31" i="16"/>
  <c r="D31" i="16"/>
  <c r="C31" i="16"/>
  <c r="B31" i="16"/>
  <c r="G30" i="16"/>
  <c r="F30" i="16"/>
  <c r="E30" i="16"/>
  <c r="D30" i="16"/>
  <c r="C30" i="16"/>
  <c r="B30" i="16"/>
  <c r="G29" i="16"/>
  <c r="F29" i="16"/>
  <c r="E29" i="16"/>
  <c r="D29" i="16"/>
  <c r="C29" i="16"/>
  <c r="B29" i="16"/>
  <c r="G28" i="16"/>
  <c r="F28" i="16"/>
  <c r="E28" i="16"/>
  <c r="D28" i="16"/>
  <c r="C28" i="16"/>
  <c r="B28" i="16"/>
  <c r="G27" i="16"/>
  <c r="F27" i="16"/>
  <c r="E27" i="16"/>
  <c r="D27" i="16"/>
  <c r="C27" i="16"/>
  <c r="B27" i="16"/>
  <c r="AP28" i="8" l="1"/>
  <c r="AO28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G48" i="5" l="1"/>
  <c r="F48" i="5"/>
  <c r="E48" i="5"/>
  <c r="D48" i="5"/>
  <c r="C48" i="5"/>
  <c r="B48" i="5"/>
  <c r="G47" i="5"/>
  <c r="F47" i="5"/>
  <c r="E47" i="5"/>
  <c r="D47" i="5"/>
  <c r="C47" i="5"/>
  <c r="B47" i="5"/>
  <c r="G46" i="5"/>
  <c r="F46" i="5"/>
  <c r="E46" i="5"/>
  <c r="D46" i="5"/>
  <c r="C46" i="5"/>
  <c r="B46" i="5"/>
  <c r="G45" i="5"/>
  <c r="F45" i="5"/>
  <c r="E45" i="5"/>
  <c r="D45" i="5"/>
  <c r="C45" i="5"/>
  <c r="B45" i="5"/>
  <c r="G44" i="5"/>
  <c r="F44" i="5"/>
  <c r="E44" i="5"/>
  <c r="D44" i="5"/>
  <c r="C44" i="5"/>
  <c r="B44" i="5"/>
  <c r="G43" i="5"/>
  <c r="F43" i="5"/>
  <c r="E43" i="5"/>
  <c r="D43" i="5"/>
  <c r="C43" i="5"/>
  <c r="B43" i="5"/>
  <c r="G42" i="5"/>
  <c r="F42" i="5"/>
  <c r="E42" i="5"/>
  <c r="D42" i="5"/>
  <c r="C42" i="5"/>
  <c r="B42" i="5"/>
  <c r="G41" i="5"/>
  <c r="F41" i="5"/>
  <c r="E41" i="5"/>
  <c r="D41" i="5"/>
  <c r="C41" i="5"/>
  <c r="B41" i="5"/>
  <c r="G40" i="5"/>
  <c r="F40" i="5"/>
  <c r="E40" i="5"/>
  <c r="D40" i="5"/>
  <c r="C40" i="5"/>
  <c r="B40" i="5"/>
  <c r="G39" i="5"/>
  <c r="F39" i="5"/>
  <c r="E39" i="5"/>
  <c r="D39" i="5"/>
  <c r="C39" i="5"/>
  <c r="B39" i="5"/>
  <c r="G38" i="5"/>
  <c r="F38" i="5"/>
  <c r="E38" i="5"/>
  <c r="D38" i="5"/>
  <c r="C38" i="5"/>
  <c r="B38" i="5"/>
  <c r="G37" i="5"/>
  <c r="F37" i="5"/>
  <c r="E37" i="5"/>
  <c r="D37" i="5"/>
  <c r="C37" i="5"/>
  <c r="B37" i="5"/>
  <c r="G36" i="5"/>
  <c r="F36" i="5"/>
  <c r="E36" i="5"/>
  <c r="D36" i="5"/>
  <c r="C36" i="5"/>
  <c r="B36" i="5"/>
  <c r="G35" i="5"/>
  <c r="F35" i="5"/>
  <c r="E35" i="5"/>
  <c r="D35" i="5"/>
  <c r="C35" i="5"/>
  <c r="B35" i="5"/>
  <c r="G34" i="5"/>
  <c r="F34" i="5"/>
  <c r="E34" i="5"/>
  <c r="D34" i="5"/>
  <c r="C34" i="5"/>
  <c r="B34" i="5"/>
  <c r="G33" i="5"/>
  <c r="F33" i="5"/>
  <c r="E33" i="5"/>
  <c r="D33" i="5"/>
  <c r="C33" i="5"/>
  <c r="B33" i="5"/>
  <c r="G32" i="5"/>
  <c r="F32" i="5"/>
  <c r="E32" i="5"/>
  <c r="D32" i="5"/>
  <c r="C32" i="5"/>
  <c r="B32" i="5"/>
  <c r="G31" i="5"/>
  <c r="F31" i="5"/>
  <c r="E31" i="5"/>
  <c r="D31" i="5"/>
  <c r="C31" i="5"/>
  <c r="B31" i="5"/>
  <c r="G30" i="5"/>
  <c r="F30" i="5"/>
  <c r="E30" i="5"/>
  <c r="D30" i="5"/>
  <c r="C30" i="5"/>
  <c r="B30" i="5"/>
  <c r="G29" i="5"/>
  <c r="F29" i="5"/>
  <c r="E29" i="5"/>
  <c r="D29" i="5"/>
  <c r="C29" i="5"/>
  <c r="B29" i="5"/>
  <c r="AP23" i="2" l="1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B23" i="2" l="1"/>
  <c r="C23" i="2"/>
  <c r="D23" i="2"/>
  <c r="E23" i="2"/>
  <c r="F23" i="2"/>
  <c r="G23" i="2"/>
  <c r="H23" i="2"/>
  <c r="I23" i="2"/>
  <c r="J23" i="2"/>
  <c r="K23" i="2"/>
  <c r="L23" i="2"/>
  <c r="M23" i="2"/>
  <c r="T23" i="2" l="1"/>
  <c r="Y28" i="8" l="1"/>
  <c r="X28" i="8"/>
  <c r="W28" i="8"/>
  <c r="V28" i="8"/>
  <c r="U28" i="8"/>
  <c r="T28" i="8"/>
  <c r="S28" i="8"/>
  <c r="R28" i="8"/>
  <c r="Q28" i="8"/>
  <c r="P28" i="8"/>
  <c r="O28" i="8"/>
  <c r="N28" i="8"/>
  <c r="Y23" i="2" l="1"/>
  <c r="X23" i="2"/>
  <c r="W23" i="2"/>
  <c r="V23" i="2"/>
  <c r="U23" i="2"/>
  <c r="S23" i="2"/>
  <c r="R23" i="2"/>
  <c r="Q23" i="2"/>
  <c r="P23" i="2"/>
  <c r="O23" i="2"/>
  <c r="N23" i="2"/>
  <c r="M28" i="8" l="1"/>
  <c r="L28" i="8"/>
  <c r="K28" i="8"/>
  <c r="J28" i="8"/>
  <c r="I28" i="8"/>
  <c r="H28" i="8"/>
  <c r="G28" i="8"/>
  <c r="F28" i="8"/>
  <c r="E28" i="8"/>
  <c r="D28" i="8"/>
  <c r="C28" i="8"/>
  <c r="B28" i="8"/>
</calcChain>
</file>

<file path=xl/sharedStrings.xml><?xml version="1.0" encoding="utf-8"?>
<sst xmlns="http://schemas.openxmlformats.org/spreadsheetml/2006/main" count="299" uniqueCount="114">
  <si>
    <t xml:space="preserve"> 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</si>
  <si>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</si>
  <si>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</si>
  <si>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</si>
  <si>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</si>
  <si>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</si>
  <si>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</si>
  <si>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</si>
  <si>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</si>
  <si>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</si>
  <si>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</si>
  <si>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</si>
  <si>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</si>
  <si>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I</t>
  </si>
  <si>
    <t>II</t>
  </si>
  <si>
    <t>III</t>
  </si>
  <si>
    <t>IV</t>
  </si>
  <si>
    <t>V</t>
  </si>
  <si>
    <t xml:space="preserve">VI </t>
  </si>
  <si>
    <t>VII</t>
  </si>
  <si>
    <t xml:space="preserve">VIII </t>
  </si>
  <si>
    <t>IX</t>
  </si>
  <si>
    <t xml:space="preserve">X </t>
  </si>
  <si>
    <t>XI</t>
  </si>
  <si>
    <t>XII</t>
  </si>
  <si>
    <t>VI</t>
  </si>
  <si>
    <t>VIII</t>
  </si>
  <si>
    <t>X</t>
  </si>
  <si>
    <t>Moduri de transport</t>
  </si>
  <si>
    <t>Transport maritim</t>
  </si>
  <si>
    <t>Transport feroviar</t>
  </si>
  <si>
    <t>Transport rutier</t>
  </si>
  <si>
    <t>Transport aerian</t>
  </si>
  <si>
    <t xml:space="preserve">Ţările Uniunii Europene </t>
  </si>
  <si>
    <t xml:space="preserve">Ţările CSI </t>
  </si>
  <si>
    <t xml:space="preserve">Celelalte ţări ale lumii </t>
  </si>
  <si>
    <t>România</t>
  </si>
  <si>
    <t>Germania</t>
  </si>
  <si>
    <t>Turcia</t>
  </si>
  <si>
    <t>Italia</t>
  </si>
  <si>
    <t>Polonia</t>
  </si>
  <si>
    <t>Ucraina</t>
  </si>
  <si>
    <t>Belarus</t>
  </si>
  <si>
    <t>Ungaria</t>
  </si>
  <si>
    <t>Spania</t>
  </si>
  <si>
    <t>Bulgaria</t>
  </si>
  <si>
    <t xml:space="preserve">Regatul Unit </t>
  </si>
  <si>
    <t>%</t>
  </si>
  <si>
    <t>Expedieri poştale</t>
  </si>
  <si>
    <t>Instalaţii fixe de transport</t>
  </si>
  <si>
    <t>Autopropulsie</t>
  </si>
  <si>
    <t>Ţările Uniunii Europene - total</t>
  </si>
  <si>
    <t>Ţările CSI - total</t>
  </si>
  <si>
    <t>Celelalte ţări ale lumii - total</t>
  </si>
  <si>
    <t>China</t>
  </si>
  <si>
    <t>Austria</t>
  </si>
  <si>
    <t>Perioada</t>
  </si>
  <si>
    <t>Export</t>
  </si>
  <si>
    <t>Import</t>
  </si>
  <si>
    <t>Balanţa Comercială</t>
  </si>
  <si>
    <t>În % faţă de luna precedentă</t>
  </si>
  <si>
    <t>În % faţă de luna corespunzătoare din anul precedent</t>
  </si>
  <si>
    <t>Grecia</t>
  </si>
  <si>
    <t>Federația Rusă</t>
  </si>
  <si>
    <t>Elveția</t>
  </si>
  <si>
    <t>Franța</t>
  </si>
  <si>
    <t>Cehia</t>
  </si>
  <si>
    <t>S.U.A.</t>
  </si>
  <si>
    <t>Coreea de Sud</t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</si>
  <si>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Evoluţia lunară a exporturilor de mărfuri,  în anii 2017-2022 (milioane dolari SUA)</t>
    </r>
  </si>
  <si>
    <r>
      <t xml:space="preserve">Figura 2. </t>
    </r>
    <r>
      <rPr>
        <b/>
        <i/>
        <sz val="9"/>
        <color indexed="8"/>
        <rFont val="Arial"/>
        <family val="2"/>
        <charset val="204"/>
      </rPr>
      <t>Evoluţia lunară a indicilor valorici ai exporturilor de mărfuri, în anii 2019-2022 (%)</t>
    </r>
  </si>
  <si>
    <t>Cereale şi preparate pe bază de cereale</t>
  </si>
  <si>
    <t>Legume şi fructe</t>
  </si>
  <si>
    <t>Seminţe şi fructe oleaginoase</t>
  </si>
  <si>
    <t xml:space="preserve">Grăsimi şi uleiuri vegetale </t>
  </si>
  <si>
    <t>Produse medicinale şi farmaceutice</t>
  </si>
  <si>
    <t xml:space="preserve">Maşini şi aparate electrice </t>
  </si>
  <si>
    <t>Mobilă şi părţile ei</t>
  </si>
  <si>
    <t>Îmbrăcăminte şi accesorii</t>
  </si>
  <si>
    <t>Alte mărfuri</t>
  </si>
  <si>
    <t>Băuturi alcoolice şi nealcoolice</t>
  </si>
  <si>
    <r>
      <rPr>
        <b/>
        <sz val="9"/>
        <color indexed="8"/>
        <rFont val="Arial"/>
        <family val="2"/>
        <charset val="204"/>
      </rPr>
      <t>Figura 7.</t>
    </r>
    <r>
      <rPr>
        <b/>
        <i/>
        <sz val="9"/>
        <color indexed="8"/>
        <rFont val="Arial"/>
        <family val="2"/>
        <charset val="204"/>
      </rPr>
      <t xml:space="preserve"> Evoluţia lunară a importurilor de mărfuri, în anii 2017-2022 (milioane dolari SUA)</t>
    </r>
  </si>
  <si>
    <t>India</t>
  </si>
  <si>
    <r>
      <t xml:space="preserve">Figura 13. </t>
    </r>
    <r>
      <rPr>
        <b/>
        <i/>
        <sz val="9"/>
        <color indexed="8"/>
        <rFont val="Arial"/>
        <family val="2"/>
        <charset val="204"/>
      </rPr>
      <t>Evoluţia lunară a balanţei comerciale, în anii 2017-2022 (milioane dolari SUA)</t>
    </r>
  </si>
  <si>
    <t>Gaz şi produse industriale obţinute din gaz</t>
  </si>
  <si>
    <t xml:space="preserve">Maşini şi aparate specializate </t>
  </si>
  <si>
    <t xml:space="preserve">Vehicule rutiere </t>
  </si>
  <si>
    <t>Liban</t>
  </si>
  <si>
    <t xml:space="preserve">Petrol şi produse petroliere </t>
  </si>
  <si>
    <t xml:space="preserve">Fire, tesături şi articole textile </t>
  </si>
  <si>
    <t xml:space="preserve">Maşini şi aparate industriale </t>
  </si>
  <si>
    <r>
      <t xml:space="preserve">Figura 12. </t>
    </r>
    <r>
      <rPr>
        <b/>
        <i/>
        <sz val="9"/>
        <color theme="1"/>
        <rFont val="Arial"/>
        <family val="2"/>
        <charset val="204"/>
      </rPr>
      <t>Structura importurilor, pe grupe de mărfuri (%)</t>
    </r>
  </si>
  <si>
    <r>
      <rPr>
        <b/>
        <sz val="9"/>
        <color theme="1"/>
        <rFont val="Arial"/>
        <family val="2"/>
        <charset val="204"/>
      </rPr>
      <t xml:space="preserve">Figura 6. </t>
    </r>
    <r>
      <rPr>
        <b/>
        <i/>
        <sz val="9"/>
        <color theme="1"/>
        <rFont val="Arial"/>
        <family val="2"/>
        <charset val="204"/>
      </rPr>
      <t>Structura exporturilor, pe grupe de mărfuri (%)</t>
    </r>
  </si>
  <si>
    <t>Portugalia</t>
  </si>
  <si>
    <t>Netherlands</t>
  </si>
  <si>
    <t>Ianuarie-mai 2022</t>
  </si>
  <si>
    <t>Ianuarie-mai 2021</t>
  </si>
  <si>
    <t>Ianuarie-mai 2020</t>
  </si>
  <si>
    <t>Ianuarie-mai 2019</t>
  </si>
  <si>
    <t>Ianuarie-mai 2018</t>
  </si>
  <si>
    <t>Ianuarie-mai 2017</t>
  </si>
  <si>
    <t>S.U.A</t>
  </si>
  <si>
    <t>Vehicule rutiere</t>
  </si>
  <si>
    <t>Ianuarie - mai 2021</t>
  </si>
  <si>
    <t>Ianuarie - mai 2022</t>
  </si>
  <si>
    <t>Fier şi oţel</t>
  </si>
  <si>
    <r>
      <rPr>
        <b/>
        <sz val="9"/>
        <color indexed="8"/>
        <rFont val="Arial"/>
        <family val="2"/>
        <charset val="204"/>
      </rPr>
      <t>Figura 14.</t>
    </r>
    <r>
      <rPr>
        <b/>
        <i/>
        <sz val="9"/>
        <color indexed="8"/>
        <rFont val="Arial"/>
        <family val="2"/>
        <charset val="204"/>
      </rPr>
      <t xml:space="preserve"> Tendinţele comerţului internaţional cu mărfuri, în ianuarie-mai 2017-2022 (milioane dolari SUA)</t>
    </r>
  </si>
  <si>
    <r>
      <t xml:space="preserve">Figura 11. </t>
    </r>
    <r>
      <rPr>
        <b/>
        <i/>
        <sz val="9"/>
        <color rgb="FF000000"/>
        <rFont val="Arial"/>
        <family val="2"/>
        <charset val="204"/>
      </rPr>
      <t>Structura importurilor, în ianuarie-mai 2017-2022, pe principalele ţări de origine a mărfurilor (%)</t>
    </r>
  </si>
  <si>
    <r>
      <t xml:space="preserve">    Figura 10.</t>
    </r>
    <r>
      <rPr>
        <b/>
        <i/>
        <sz val="9"/>
        <color theme="1"/>
        <rFont val="Arial"/>
        <family val="2"/>
        <charset val="204"/>
      </rPr>
      <t xml:space="preserve"> Structura importurilor de mărfuri, în ianuarie-mai 2017-2022, pe grupe de ţări (%)</t>
    </r>
  </si>
  <si>
    <r>
      <t xml:space="preserve">Figura 9. </t>
    </r>
    <r>
      <rPr>
        <b/>
        <i/>
        <sz val="9"/>
        <color indexed="8"/>
        <rFont val="Arial"/>
        <family val="2"/>
        <charset val="204"/>
      </rPr>
      <t>Structura importurilor de mărfuri, în ianuarie-mai 2017-2022, după modul de transport (%)</t>
    </r>
  </si>
  <si>
    <r>
      <t xml:space="preserve">Figura 8. </t>
    </r>
    <r>
      <rPr>
        <b/>
        <i/>
        <sz val="9"/>
        <color indexed="8"/>
        <rFont val="Arial"/>
        <family val="2"/>
        <charset val="204"/>
      </rPr>
      <t>Evoluţia lunară a indicilor valorici ai importurilor de mărfuri, în anii 2020-2022 (%)</t>
    </r>
  </si>
  <si>
    <r>
      <rPr>
        <b/>
        <sz val="9"/>
        <color indexed="8"/>
        <rFont val="Arial"/>
        <family val="2"/>
        <charset val="204"/>
      </rPr>
      <t>Figura 5.</t>
    </r>
    <r>
      <rPr>
        <b/>
        <i/>
        <sz val="9"/>
        <color indexed="8"/>
        <rFont val="Arial"/>
        <family val="2"/>
        <charset val="204"/>
      </rPr>
      <t xml:space="preserve"> Structura exporturilor, în ianuarie-mai 2017-2022, pe principalele ţări de destinaţie a mărfurilor (%)</t>
    </r>
  </si>
  <si>
    <r>
      <rPr>
        <b/>
        <sz val="9"/>
        <color indexed="8"/>
        <rFont val="Arial"/>
        <family val="2"/>
        <charset val="204"/>
      </rPr>
      <t>Figura 4.</t>
    </r>
    <r>
      <rPr>
        <b/>
        <i/>
        <sz val="9"/>
        <color indexed="8"/>
        <rFont val="Arial"/>
        <family val="2"/>
        <charset val="204"/>
      </rPr>
      <t xml:space="preserve"> Structura exporturilor de mărfuri, în ianuarie-mai 2017-2022, pe grupe de ţări (%)</t>
    </r>
  </si>
  <si>
    <r>
      <rPr>
        <b/>
        <sz val="9"/>
        <color indexed="8"/>
        <rFont val="Arial"/>
        <family val="2"/>
        <charset val="204"/>
      </rPr>
      <t>Figura 3.</t>
    </r>
    <r>
      <rPr>
        <b/>
        <i/>
        <sz val="9"/>
        <color indexed="8"/>
        <rFont val="Arial"/>
        <family val="2"/>
        <charset val="204"/>
      </rPr>
      <t xml:space="preserve"> Structura exporturilor de mărfuri, în ianuarie-mai 2017-2022, după modul de transport (%)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</si>
</sst>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000"/>
  </numFmts>
  <fonts count="2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38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rgb="FF008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8" tint="-0.49998474074526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5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b/>
      <i/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16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/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Alignment="1" applyProtection="1"/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Fill="1" applyBorder="1" applyAlignment="1" applyProtection="1">
      <alignment horizontal="center" vertical="justify"/>
    </xf>
    <xf numFmtId="164" fontId="4" fillId="0" borderId="0" xfId="0" applyNumberFormat="1" applyFont="1" applyFill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165" fontId="4" fillId="0" borderId="6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>
      <alignment horizontal="left" wrapText="1" indent="1"/>
    </xf>
    <xf numFmtId="0" fontId="6" fillId="0" borderId="5" xfId="0" applyNumberFormat="1" applyFont="1" applyFill="1" applyBorder="1" applyAlignment="1" applyProtection="1">
      <alignment horizontal="left" wrapText="1" indent="1"/>
    </xf>
    <xf numFmtId="165" fontId="4" fillId="0" borderId="2" xfId="0" applyNumberFormat="1" applyFont="1" applyFill="1" applyBorder="1" applyAlignment="1" applyProtection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165" fontId="4" fillId="0" borderId="0" xfId="0" applyNumberFormat="1" applyFont="1" applyBorder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wrapText="1" indent="1"/>
    </xf>
    <xf numFmtId="0" fontId="6" fillId="0" borderId="13" xfId="0" applyNumberFormat="1" applyFont="1" applyFill="1" applyBorder="1" applyAlignment="1" applyProtection="1">
      <alignment horizontal="left" wrapText="1" indent="1"/>
    </xf>
    <xf numFmtId="0" fontId="6" fillId="0" borderId="8" xfId="0" applyNumberFormat="1" applyFont="1" applyFill="1" applyBorder="1" applyAlignment="1" applyProtection="1">
      <alignment horizontal="left" wrapText="1" indent="1"/>
    </xf>
    <xf numFmtId="165" fontId="4" fillId="0" borderId="9" xfId="0" applyNumberFormat="1" applyFont="1" applyFill="1" applyBorder="1" applyAlignment="1" applyProtection="1">
      <alignment horizontal="center"/>
    </xf>
    <xf numFmtId="0" fontId="6" fillId="0" borderId="12" xfId="0" applyFont="1" applyBorder="1" applyAlignment="1">
      <alignment horizontal="left" wrapText="1" indent="1"/>
    </xf>
    <xf numFmtId="0" fontId="6" fillId="0" borderId="8" xfId="0" applyFont="1" applyBorder="1" applyAlignment="1">
      <alignment horizontal="left" wrapText="1" indent="1"/>
    </xf>
    <xf numFmtId="0" fontId="6" fillId="0" borderId="5" xfId="0" applyFont="1" applyBorder="1" applyAlignment="1">
      <alignment horizontal="left" wrapText="1" inden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4" xfId="0" applyFont="1" applyBorder="1"/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left" indent="1"/>
    </xf>
    <xf numFmtId="0" fontId="3" fillId="0" borderId="6" xfId="0" applyFont="1" applyBorder="1" applyAlignment="1">
      <alignment horizontal="left" indent="1"/>
    </xf>
    <xf numFmtId="165" fontId="4" fillId="0" borderId="10" xfId="0" applyNumberFormat="1" applyFont="1" applyFill="1" applyBorder="1" applyAlignment="1" applyProtection="1">
      <alignment horizontal="center"/>
    </xf>
    <xf numFmtId="2" fontId="3" fillId="0" borderId="4" xfId="0" applyNumberFormat="1" applyFont="1" applyBorder="1" applyAlignment="1">
      <alignment horizontal="left" indent="1"/>
    </xf>
    <xf numFmtId="2" fontId="3" fillId="0" borderId="5" xfId="0" applyNumberFormat="1" applyFont="1" applyBorder="1" applyAlignment="1">
      <alignment horizontal="left" indent="1"/>
    </xf>
    <xf numFmtId="2" fontId="3" fillId="0" borderId="6" xfId="0" applyNumberFormat="1" applyFont="1" applyBorder="1" applyAlignment="1">
      <alignment horizontal="left" indent="1"/>
    </xf>
    <xf numFmtId="165" fontId="2" fillId="0" borderId="0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164" fontId="4" fillId="0" borderId="0" xfId="0" applyNumberFormat="1" applyFont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 vertical="top"/>
    </xf>
    <xf numFmtId="165" fontId="4" fillId="0" borderId="0" xfId="0" applyNumberFormat="1" applyFont="1" applyAlignment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 vertical="top" wrapText="1"/>
    </xf>
    <xf numFmtId="0" fontId="3" fillId="0" borderId="3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top"/>
    </xf>
    <xf numFmtId="165" fontId="11" fillId="0" borderId="0" xfId="0" applyNumberFormat="1" applyFont="1" applyAlignment="1">
      <alignment horizontal="center" vertical="top"/>
    </xf>
    <xf numFmtId="164" fontId="12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13" fillId="0" borderId="0" xfId="0" applyNumberFormat="1" applyFont="1" applyBorder="1" applyAlignment="1">
      <alignment horizontal="center" vertical="top"/>
    </xf>
    <xf numFmtId="164" fontId="14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15" fillId="0" borderId="0" xfId="0" applyNumberFormat="1" applyFont="1" applyFill="1" applyBorder="1" applyAlignment="1" applyProtection="1">
      <alignment horizontal="center" vertical="top"/>
    </xf>
    <xf numFmtId="164" fontId="16" fillId="0" borderId="0" xfId="0" applyNumberFormat="1" applyFont="1" applyFill="1" applyBorder="1" applyAlignment="1" applyProtection="1">
      <alignment horizontal="center" vertical="top"/>
    </xf>
    <xf numFmtId="165" fontId="16" fillId="0" borderId="0" xfId="1" applyNumberFormat="1" applyFont="1" applyFill="1" applyAlignment="1" applyProtection="1">
      <alignment horizontal="center" vertical="top"/>
    </xf>
    <xf numFmtId="164" fontId="17" fillId="0" borderId="0" xfId="0" applyNumberFormat="1" applyFont="1" applyFill="1" applyBorder="1" applyAlignment="1" applyProtection="1">
      <alignment horizontal="center" vertical="top"/>
    </xf>
    <xf numFmtId="164" fontId="14" fillId="0" borderId="0" xfId="0" applyNumberFormat="1" applyFont="1" applyFill="1" applyBorder="1" applyAlignment="1" applyProtection="1">
      <alignment horizontal="center" vertical="top"/>
    </xf>
    <xf numFmtId="165" fontId="14" fillId="0" borderId="0" xfId="0" applyNumberFormat="1" applyFont="1" applyFill="1" applyBorder="1" applyAlignment="1" applyProtection="1">
      <alignment horizontal="center" vertical="center" wrapText="1"/>
    </xf>
    <xf numFmtId="165" fontId="14" fillId="0" borderId="0" xfId="0" applyNumberFormat="1" applyFont="1" applyFill="1" applyBorder="1" applyAlignment="1" applyProtection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 applyProtection="1">
      <alignment horizontal="center" vertical="center"/>
    </xf>
    <xf numFmtId="165" fontId="14" fillId="0" borderId="0" xfId="0" applyNumberFormat="1" applyFont="1" applyFill="1" applyAlignment="1" applyProtection="1">
      <alignment horizontal="center" vertical="center"/>
    </xf>
    <xf numFmtId="164" fontId="14" fillId="0" borderId="0" xfId="0" applyNumberFormat="1" applyFont="1" applyFill="1" applyBorder="1" applyAlignment="1" applyProtection="1">
      <alignment horizontal="center"/>
    </xf>
    <xf numFmtId="0" fontId="14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8" fontId="4" fillId="0" borderId="0" xfId="0" applyNumberFormat="1" applyFont="1" applyFill="1" applyBorder="1" applyAlignment="1" applyProtection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2" xfId="0" applyFont="1" applyBorder="1"/>
    <xf numFmtId="166" fontId="19" fillId="0" borderId="0" xfId="0" applyNumberFormat="1" applyFont="1" applyFill="1" applyAlignment="1" applyProtection="1">
      <alignment horizontal="center" vertical="top"/>
    </xf>
    <xf numFmtId="166" fontId="19" fillId="0" borderId="0" xfId="0" applyNumberFormat="1" applyFont="1" applyFill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20" fillId="0" borderId="0" xfId="0" applyNumberFormat="1" applyFont="1" applyFill="1" applyAlignment="1" applyProtection="1">
      <alignment horizontal="center" vertical="center"/>
    </xf>
    <xf numFmtId="166" fontId="20" fillId="0" borderId="0" xfId="0" applyNumberFormat="1" applyFont="1" applyFill="1" applyAlignment="1" applyProtection="1">
      <alignment horizontal="center" vertical="center"/>
    </xf>
    <xf numFmtId="38" fontId="4" fillId="0" borderId="3" xfId="0" applyNumberFormat="1" applyFont="1" applyFill="1" applyBorder="1" applyAlignment="1" applyProtection="1">
      <alignment horizontal="left" vertical="top" wrapText="1"/>
    </xf>
    <xf numFmtId="165" fontId="4" fillId="0" borderId="3" xfId="0" applyNumberFormat="1" applyFont="1" applyFill="1" applyBorder="1" applyAlignment="1" applyProtection="1">
      <alignment horizontal="center" vertical="top"/>
    </xf>
    <xf numFmtId="0" fontId="0" fillId="0" borderId="0" xfId="0" applyAlignment="1">
      <alignment vertical="top"/>
    </xf>
    <xf numFmtId="0" fontId="5" fillId="0" borderId="7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165" fontId="4" fillId="0" borderId="0" xfId="0" applyNumberFormat="1" applyFont="1" applyFill="1" applyAlignment="1" applyProtection="1">
      <alignment horizontal="center" vertical="top"/>
    </xf>
    <xf numFmtId="165" fontId="4" fillId="0" borderId="0" xfId="0" applyNumberFormat="1" applyFont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/>
    </xf>
    <xf numFmtId="165" fontId="4" fillId="0" borderId="0" xfId="0" applyNumberFormat="1" applyFont="1" applyFill="1" applyAlignment="1" applyProtection="1">
      <alignment horizontal="center"/>
    </xf>
    <xf numFmtId="165" fontId="4" fillId="0" borderId="0" xfId="0" applyNumberFormat="1" applyFont="1" applyFill="1" applyAlignment="1" applyProtection="1">
      <alignment horizontal="center" vertical="center"/>
    </xf>
    <xf numFmtId="165" fontId="4" fillId="0" borderId="9" xfId="0" applyNumberFormat="1" applyFont="1" applyFill="1" applyBorder="1" applyAlignment="1" applyProtection="1">
      <alignment horizontal="center" vertical="center"/>
    </xf>
    <xf numFmtId="165" fontId="4" fillId="0" borderId="3" xfId="0" applyNumberFormat="1" applyFont="1" applyFill="1" applyBorder="1" applyAlignment="1" applyProtection="1">
      <alignment horizontal="center" vertical="center"/>
    </xf>
    <xf numFmtId="165" fontId="4" fillId="0" borderId="4" xfId="0" applyNumberFormat="1" applyFont="1" applyFill="1" applyBorder="1" applyAlignment="1" applyProtection="1">
      <alignment horizontal="center" vertical="center"/>
    </xf>
    <xf numFmtId="165" fontId="4" fillId="0" borderId="5" xfId="0" applyNumberFormat="1" applyFont="1" applyFill="1" applyBorder="1" applyAlignment="1" applyProtection="1">
      <alignment horizontal="center" vertical="center"/>
    </xf>
    <xf numFmtId="165" fontId="4" fillId="0" borderId="6" xfId="0" applyNumberFormat="1" applyFont="1" applyFill="1" applyBorder="1" applyAlignment="1" applyProtection="1">
      <alignment horizontal="center" vertical="center"/>
    </xf>
    <xf numFmtId="165" fontId="4" fillId="0" borderId="5" xfId="0" applyNumberFormat="1" applyFont="1" applyFill="1" applyBorder="1" applyAlignment="1" applyProtection="1">
      <alignment horizontal="center"/>
    </xf>
    <xf numFmtId="38" fontId="6" fillId="0" borderId="0" xfId="0" applyNumberFormat="1" applyFont="1" applyFill="1" applyAlignment="1" applyProtection="1">
      <alignment horizontal="left" wrapText="1" indent="1"/>
    </xf>
    <xf numFmtId="38" fontId="6" fillId="0" borderId="0" xfId="0" applyNumberFormat="1" applyFont="1" applyFill="1" applyBorder="1" applyAlignment="1" applyProtection="1">
      <alignment horizontal="left" wrapText="1" indent="1"/>
    </xf>
    <xf numFmtId="38" fontId="6" fillId="0" borderId="3" xfId="0" applyNumberFormat="1" applyFont="1" applyFill="1" applyBorder="1" applyAlignment="1" applyProtection="1">
      <alignment horizontal="left" wrapText="1" indent="1"/>
    </xf>
    <xf numFmtId="38" fontId="4" fillId="0" borderId="0" xfId="0" applyNumberFormat="1" applyFont="1" applyFill="1" applyAlignment="1" applyProtection="1">
      <alignment horizontal="left" vertical="top" wrapText="1"/>
    </xf>
    <xf numFmtId="38" fontId="4" fillId="0" borderId="0" xfId="0" applyNumberFormat="1" applyFont="1" applyFill="1" applyAlignment="1" applyProtection="1">
      <alignment horizontal="left" vertical="top" wrapText="1" indent="1"/>
    </xf>
    <xf numFmtId="38" fontId="4" fillId="0" borderId="0" xfId="0" applyNumberFormat="1" applyFont="1" applyFill="1" applyBorder="1" applyAlignment="1" applyProtection="1">
      <alignment horizontal="left" vertical="top" wrapText="1" indent="1"/>
    </xf>
    <xf numFmtId="165" fontId="4" fillId="0" borderId="12" xfId="0" applyNumberFormat="1" applyFont="1" applyFill="1" applyBorder="1" applyAlignment="1" applyProtection="1">
      <alignment horizontal="center" vertical="top"/>
    </xf>
    <xf numFmtId="165" fontId="4" fillId="0" borderId="13" xfId="0" applyNumberFormat="1" applyFont="1" applyFill="1" applyBorder="1" applyAlignment="1" applyProtection="1">
      <alignment horizontal="center" vertical="top"/>
    </xf>
    <xf numFmtId="38" fontId="4" fillId="0" borderId="3" xfId="0" applyNumberFormat="1" applyFont="1" applyFill="1" applyBorder="1" applyAlignment="1" applyProtection="1">
      <alignment horizontal="left" vertical="top" wrapText="1" indent="1"/>
    </xf>
    <xf numFmtId="165" fontId="4" fillId="0" borderId="8" xfId="0" applyNumberFormat="1" applyFont="1" applyFill="1" applyBorder="1" applyAlignment="1" applyProtection="1">
      <alignment horizontal="center" vertical="top"/>
    </xf>
    <xf numFmtId="165" fontId="4" fillId="0" borderId="10" xfId="0" applyNumberFormat="1" applyFont="1" applyBorder="1" applyAlignment="1">
      <alignment horizontal="center"/>
    </xf>
    <xf numFmtId="165" fontId="4" fillId="0" borderId="2" xfId="0" applyNumberFormat="1" applyFont="1" applyFill="1" applyBorder="1" applyAlignment="1" applyProtection="1">
      <alignment horizontal="center" wrapText="1"/>
    </xf>
    <xf numFmtId="165" fontId="4" fillId="0" borderId="11" xfId="0" applyNumberFormat="1" applyFont="1" applyFill="1" applyBorder="1" applyAlignment="1" applyProtection="1">
      <alignment horizontal="center" wrapText="1"/>
    </xf>
    <xf numFmtId="165" fontId="4" fillId="0" borderId="11" xfId="0" applyNumberFormat="1" applyFont="1" applyFill="1" applyBorder="1" applyAlignment="1" applyProtection="1">
      <alignment horizontal="center"/>
    </xf>
    <xf numFmtId="165" fontId="4" fillId="0" borderId="9" xfId="0" applyNumberFormat="1" applyFont="1" applyFill="1" applyBorder="1" applyAlignment="1" applyProtection="1">
      <alignment horizontal="center" vertical="top"/>
    </xf>
    <xf numFmtId="38" fontId="4" fillId="0" borderId="10" xfId="0" applyNumberFormat="1" applyFont="1" applyFill="1" applyBorder="1" applyAlignment="1" applyProtection="1">
      <alignment horizontal="left" vertical="top" wrapText="1"/>
    </xf>
    <xf numFmtId="38" fontId="4" fillId="0" borderId="11" xfId="0" applyNumberFormat="1" applyFont="1" applyFill="1" applyBorder="1" applyAlignment="1" applyProtection="1">
      <alignment horizontal="left" vertical="top" wrapText="1"/>
    </xf>
    <xf numFmtId="165" fontId="4" fillId="0" borderId="12" xfId="0" applyNumberFormat="1" applyFont="1" applyFill="1" applyBorder="1" applyAlignment="1" applyProtection="1">
      <alignment horizontal="center"/>
    </xf>
    <xf numFmtId="165" fontId="4" fillId="0" borderId="13" xfId="0" applyNumberFormat="1" applyFont="1" applyFill="1" applyBorder="1" applyAlignment="1" applyProtection="1">
      <alignment horizontal="center"/>
    </xf>
    <xf numFmtId="38" fontId="4" fillId="0" borderId="9" xfId="0" applyNumberFormat="1" applyFont="1" applyFill="1" applyBorder="1" applyAlignment="1" applyProtection="1">
      <alignment horizontal="left" vertical="top" wrapText="1"/>
    </xf>
    <xf numFmtId="165" fontId="2" fillId="0" borderId="8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0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3">
    <cellStyle name="Normal" xfId="0" builtinId="0"/>
    <cellStyle name="Normal 2" xfId="1" xr:uid="{00000000-0005-0000-0000-000000000000}"/>
    <cellStyle name="Normal 3" xfId="2" xr:uid="{00000000-0005-0000-0000-000001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4541834308329E-2"/>
          <c:y val="8.2707060720548939E-2"/>
          <c:w val="0.93883343365230676"/>
          <c:h val="0.7093322975883620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'Figura 1'!$B$24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1'!$A$25:$A$30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1'!$B$25:$B$30</c:f>
              <c:numCache>
                <c:formatCode>#\ ##0,0</c:formatCode>
                <c:ptCount val="6"/>
                <c:pt idx="0">
                  <c:v>139.5</c:v>
                </c:pt>
                <c:pt idx="1">
                  <c:v>220.3</c:v>
                </c:pt>
                <c:pt idx="2">
                  <c:v>234.3</c:v>
                </c:pt>
                <c:pt idx="3">
                  <c:v>219.5</c:v>
                </c:pt>
                <c:pt idx="4">
                  <c:v>198.4</c:v>
                </c:pt>
                <c:pt idx="5">
                  <c:v>330.3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20-4AA7-9226-374D1498C729}"/>
            </c:ext>
          </c:extLst>
        </c:ser>
        <c:ser>
          <c:idx val="3"/>
          <c:order val="1"/>
          <c:tx>
            <c:strRef>
              <c:f>'Figura 1'!$C$24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1'!$A$25:$A$30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1'!$C$25:$C$30</c:f>
              <c:numCache>
                <c:formatCode>#\ ##0,0</c:formatCode>
                <c:ptCount val="6"/>
                <c:pt idx="0">
                  <c:v>176.6</c:v>
                </c:pt>
                <c:pt idx="1">
                  <c:v>215.5</c:v>
                </c:pt>
                <c:pt idx="2">
                  <c:v>241.4</c:v>
                </c:pt>
                <c:pt idx="3">
                  <c:v>245.3</c:v>
                </c:pt>
                <c:pt idx="4">
                  <c:v>227</c:v>
                </c:pt>
                <c:pt idx="5">
                  <c:v>336.6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20-4AA7-9226-374D1498C729}"/>
            </c:ext>
          </c:extLst>
        </c:ser>
        <c:ser>
          <c:idx val="4"/>
          <c:order val="2"/>
          <c:tx>
            <c:strRef>
              <c:f>'Figura 1'!$D$24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1'!$A$25:$A$30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1'!$D$25:$D$30</c:f>
              <c:numCache>
                <c:formatCode>#\ ##0,0</c:formatCode>
                <c:ptCount val="6"/>
                <c:pt idx="0">
                  <c:v>212.1</c:v>
                </c:pt>
                <c:pt idx="1">
                  <c:v>242.1</c:v>
                </c:pt>
                <c:pt idx="2">
                  <c:v>257.2</c:v>
                </c:pt>
                <c:pt idx="3">
                  <c:v>210.2</c:v>
                </c:pt>
                <c:pt idx="4">
                  <c:v>259.3</c:v>
                </c:pt>
                <c:pt idx="5">
                  <c:v>395.8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20-4AA7-9226-374D1498C729}"/>
            </c:ext>
          </c:extLst>
        </c:ser>
        <c:ser>
          <c:idx val="5"/>
          <c:order val="3"/>
          <c:tx>
            <c:strRef>
              <c:f>'Figura 1'!$E$24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1'!$A$25:$A$30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1'!$E$25:$E$30</c:f>
              <c:numCache>
                <c:formatCode>#\ ##0,0</c:formatCode>
                <c:ptCount val="6"/>
                <c:pt idx="0">
                  <c:v>154.19999999999999</c:v>
                </c:pt>
                <c:pt idx="1">
                  <c:v>199.7</c:v>
                </c:pt>
                <c:pt idx="2">
                  <c:v>215.6</c:v>
                </c:pt>
                <c:pt idx="3">
                  <c:v>149.80000000000001</c:v>
                </c:pt>
                <c:pt idx="4">
                  <c:v>218.2</c:v>
                </c:pt>
                <c:pt idx="5">
                  <c:v>396.3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20-4AA7-9226-374D1498C729}"/>
            </c:ext>
          </c:extLst>
        </c:ser>
        <c:ser>
          <c:idx val="6"/>
          <c:order val="4"/>
          <c:tx>
            <c:strRef>
              <c:f>'Figura 1'!$F$24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1'!$A$25:$A$30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1'!$F$25:$F$30</c:f>
              <c:numCache>
                <c:formatCode>#\ ##0,0</c:formatCode>
                <c:ptCount val="6"/>
                <c:pt idx="0">
                  <c:v>174.7</c:v>
                </c:pt>
                <c:pt idx="1">
                  <c:v>223</c:v>
                </c:pt>
                <c:pt idx="2">
                  <c:v>210.5</c:v>
                </c:pt>
                <c:pt idx="3">
                  <c:v>155.69999999999999</c:v>
                </c:pt>
                <c:pt idx="4">
                  <c:v>201.7</c:v>
                </c:pt>
                <c:pt idx="5">
                  <c:v>416.1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20-4AA7-9226-374D1498C729}"/>
            </c:ext>
          </c:extLst>
        </c:ser>
        <c:ser>
          <c:idx val="7"/>
          <c:order val="5"/>
          <c:tx>
            <c:strRef>
              <c:f>'Figura 1'!$G$24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1'!$A$25:$A$30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1'!$G$25:$G$30</c:f>
              <c:numCache>
                <c:formatCode>#\ ##0,0</c:formatCode>
                <c:ptCount val="6"/>
                <c:pt idx="0">
                  <c:v>171.1</c:v>
                </c:pt>
                <c:pt idx="1">
                  <c:v>214.1</c:v>
                </c:pt>
                <c:pt idx="2">
                  <c:v>202.2</c:v>
                </c:pt>
                <c:pt idx="3">
                  <c:v>189.6</c:v>
                </c:pt>
                <c:pt idx="4">
                  <c:v>226.8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520-4AA7-9226-374D1498C729}"/>
            </c:ext>
          </c:extLst>
        </c:ser>
        <c:ser>
          <c:idx val="8"/>
          <c:order val="6"/>
          <c:tx>
            <c:strRef>
              <c:f>'Figura 1'!$H$24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1'!$A$25:$A$30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1'!$H$25:$H$30</c:f>
              <c:numCache>
                <c:formatCode>#\ ##0,0</c:formatCode>
                <c:ptCount val="6"/>
                <c:pt idx="0">
                  <c:v>191.6</c:v>
                </c:pt>
                <c:pt idx="1">
                  <c:v>218.8</c:v>
                </c:pt>
                <c:pt idx="2">
                  <c:v>220.2</c:v>
                </c:pt>
                <c:pt idx="3">
                  <c:v>191.1</c:v>
                </c:pt>
                <c:pt idx="4">
                  <c:v>240.7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520-4AA7-9226-374D1498C729}"/>
            </c:ext>
          </c:extLst>
        </c:ser>
        <c:ser>
          <c:idx val="9"/>
          <c:order val="7"/>
          <c:tx>
            <c:strRef>
              <c:f>'Figura 1'!$I$24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1'!$A$25:$A$30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1'!$I$25:$I$30</c:f>
              <c:numCache>
                <c:formatCode>#\ ##0,0</c:formatCode>
                <c:ptCount val="6"/>
                <c:pt idx="0">
                  <c:v>207.9</c:v>
                </c:pt>
                <c:pt idx="1">
                  <c:v>218.6</c:v>
                </c:pt>
                <c:pt idx="2">
                  <c:v>205.8</c:v>
                </c:pt>
                <c:pt idx="3">
                  <c:v>163.9</c:v>
                </c:pt>
                <c:pt idx="4">
                  <c:v>236.3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520-4AA7-9226-374D1498C729}"/>
            </c:ext>
          </c:extLst>
        </c:ser>
        <c:ser>
          <c:idx val="10"/>
          <c:order val="8"/>
          <c:tx>
            <c:strRef>
              <c:f>'Figura 1'!$J$24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1'!$A$25:$A$30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1'!$J$25:$J$30</c:f>
              <c:numCache>
                <c:formatCode>#\ ##0,0</c:formatCode>
                <c:ptCount val="6"/>
                <c:pt idx="0">
                  <c:v>223.9</c:v>
                </c:pt>
                <c:pt idx="1">
                  <c:v>207.3</c:v>
                </c:pt>
                <c:pt idx="2">
                  <c:v>238.8</c:v>
                </c:pt>
                <c:pt idx="3">
                  <c:v>212.3</c:v>
                </c:pt>
                <c:pt idx="4">
                  <c:v>294.89999999999998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20-4AA7-9226-374D1498C729}"/>
            </c:ext>
          </c:extLst>
        </c:ser>
        <c:ser>
          <c:idx val="11"/>
          <c:order val="9"/>
          <c:tx>
            <c:strRef>
              <c:f>'Figura 1'!$K$24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1'!$A$25:$A$30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1'!$K$25:$K$30</c:f>
              <c:numCache>
                <c:formatCode>#\ ##0,0</c:formatCode>
                <c:ptCount val="6"/>
                <c:pt idx="0">
                  <c:v>268.2</c:v>
                </c:pt>
                <c:pt idx="1">
                  <c:v>259</c:v>
                </c:pt>
                <c:pt idx="2">
                  <c:v>268.3</c:v>
                </c:pt>
                <c:pt idx="3">
                  <c:v>249.4</c:v>
                </c:pt>
                <c:pt idx="4">
                  <c:v>352.3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520-4AA7-9226-374D1498C729}"/>
            </c:ext>
          </c:extLst>
        </c:ser>
        <c:ser>
          <c:idx val="12"/>
          <c:order val="10"/>
          <c:tx>
            <c:strRef>
              <c:f>'Figura 1'!$L$24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1'!$A$25:$A$30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1'!$L$25:$L$30</c:f>
              <c:numCache>
                <c:formatCode>#\ ##0,0</c:formatCode>
                <c:ptCount val="6"/>
                <c:pt idx="0">
                  <c:v>272.10000000000002</c:v>
                </c:pt>
                <c:pt idx="1">
                  <c:v>268.89999999999998</c:v>
                </c:pt>
                <c:pt idx="2">
                  <c:v>266.60000000000002</c:v>
                </c:pt>
                <c:pt idx="3">
                  <c:v>262</c:v>
                </c:pt>
                <c:pt idx="4">
                  <c:v>363.9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6-4ABF-AE3A-BDB053FBE632}"/>
            </c:ext>
          </c:extLst>
        </c:ser>
        <c:ser>
          <c:idx val="0"/>
          <c:order val="11"/>
          <c:tx>
            <c:strRef>
              <c:f>'Figura 1'!$M$24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tint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1'!$A$25:$A$30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1'!$M$25:$M$30</c:f>
              <c:numCache>
                <c:formatCode>#\ ##0,0</c:formatCode>
                <c:ptCount val="6"/>
                <c:pt idx="0">
                  <c:v>233.1</c:v>
                </c:pt>
                <c:pt idx="1">
                  <c:v>218.8</c:v>
                </c:pt>
                <c:pt idx="2">
                  <c:v>218.3</c:v>
                </c:pt>
                <c:pt idx="3">
                  <c:v>218.3</c:v>
                </c:pt>
                <c:pt idx="4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06-4ABF-AE3A-BDB053FBE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44834544"/>
        <c:axId val="244835104"/>
      </c:barChart>
      <c:catAx>
        <c:axId val="24483454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4835104"/>
        <c:crosses val="autoZero"/>
        <c:auto val="0"/>
        <c:lblAlgn val="ctr"/>
        <c:lblOffset val="100"/>
        <c:tickLblSkip val="1"/>
        <c:noMultiLvlLbl val="0"/>
      </c:catAx>
      <c:valAx>
        <c:axId val="244835104"/>
        <c:scaling>
          <c:orientation val="minMax"/>
          <c:max val="45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\ ##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483454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0.91116886173981615"/>
          <c:w val="1"/>
          <c:h val="8.87628732507091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32002627004616"/>
          <c:y val="3.3573141486810551E-2"/>
          <c:w val="0.79820902780739089"/>
          <c:h val="0.736821314601861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9'!$B$25</c:f>
              <c:strCache>
                <c:ptCount val="1"/>
                <c:pt idx="0">
                  <c:v>Ianuarie-mai 2022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9'!$A$26:$A$32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9'!$B$26:$B$32</c:f>
              <c:numCache>
                <c:formatCode>#\ ##0,0</c:formatCode>
                <c:ptCount val="7"/>
                <c:pt idx="0">
                  <c:v>6.2</c:v>
                </c:pt>
                <c:pt idx="1">
                  <c:v>4.5</c:v>
                </c:pt>
                <c:pt idx="2">
                  <c:v>76.099999999999994</c:v>
                </c:pt>
                <c:pt idx="3">
                  <c:v>1.7</c:v>
                </c:pt>
                <c:pt idx="4">
                  <c:v>0.1</c:v>
                </c:pt>
                <c:pt idx="5">
                  <c:v>10.9</c:v>
                </c:pt>
                <c:pt idx="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54-4901-8F26-F774DF753091}"/>
            </c:ext>
          </c:extLst>
        </c:ser>
        <c:ser>
          <c:idx val="1"/>
          <c:order val="1"/>
          <c:tx>
            <c:strRef>
              <c:f>'Figura 9'!$C$25</c:f>
              <c:strCache>
                <c:ptCount val="1"/>
                <c:pt idx="0">
                  <c:v>Ianuarie-mai 2021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9'!$A$26:$A$32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9'!$C$26:$C$32</c:f>
              <c:numCache>
                <c:formatCode>#\ ##0,0</c:formatCode>
                <c:ptCount val="7"/>
                <c:pt idx="0">
                  <c:v>2.1</c:v>
                </c:pt>
                <c:pt idx="1">
                  <c:v>4.5</c:v>
                </c:pt>
                <c:pt idx="2">
                  <c:v>86.4</c:v>
                </c:pt>
                <c:pt idx="3">
                  <c:v>2.4</c:v>
                </c:pt>
                <c:pt idx="4">
                  <c:v>0.2</c:v>
                </c:pt>
                <c:pt idx="5">
                  <c:v>3.9</c:v>
                </c:pt>
                <c:pt idx="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54-4901-8F26-F774DF753091}"/>
            </c:ext>
          </c:extLst>
        </c:ser>
        <c:ser>
          <c:idx val="2"/>
          <c:order val="2"/>
          <c:tx>
            <c:strRef>
              <c:f>'Figura 9'!$D$25</c:f>
              <c:strCache>
                <c:ptCount val="1"/>
                <c:pt idx="0">
                  <c:v>Ianuarie-mai 2020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9'!$A$26:$A$32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9'!$D$26:$D$32</c:f>
              <c:numCache>
                <c:formatCode>#\ ##0,0</c:formatCode>
                <c:ptCount val="7"/>
                <c:pt idx="0">
                  <c:v>1.8</c:v>
                </c:pt>
                <c:pt idx="1">
                  <c:v>4.2</c:v>
                </c:pt>
                <c:pt idx="2">
                  <c:v>85.7</c:v>
                </c:pt>
                <c:pt idx="3">
                  <c:v>2.4</c:v>
                </c:pt>
                <c:pt idx="4">
                  <c:v>0.2</c:v>
                </c:pt>
                <c:pt idx="5">
                  <c:v>5.3</c:v>
                </c:pt>
                <c:pt idx="6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54-4901-8F26-F774DF753091}"/>
            </c:ext>
          </c:extLst>
        </c:ser>
        <c:ser>
          <c:idx val="3"/>
          <c:order val="3"/>
          <c:tx>
            <c:strRef>
              <c:f>'Figura 9'!$E$25</c:f>
              <c:strCache>
                <c:ptCount val="1"/>
                <c:pt idx="0">
                  <c:v>Ianuarie-mai 2019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9'!$A$26:$A$32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9'!$E$26:$E$32</c:f>
              <c:numCache>
                <c:formatCode>#\ ##0,0</c:formatCode>
                <c:ptCount val="7"/>
                <c:pt idx="0">
                  <c:v>2.2000000000000002</c:v>
                </c:pt>
                <c:pt idx="1">
                  <c:v>4.7</c:v>
                </c:pt>
                <c:pt idx="2">
                  <c:v>83</c:v>
                </c:pt>
                <c:pt idx="3">
                  <c:v>2.6</c:v>
                </c:pt>
                <c:pt idx="4">
                  <c:v>0.2</c:v>
                </c:pt>
                <c:pt idx="5">
                  <c:v>6.7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54-4901-8F26-F774DF753091}"/>
            </c:ext>
          </c:extLst>
        </c:ser>
        <c:ser>
          <c:idx val="4"/>
          <c:order val="4"/>
          <c:tx>
            <c:strRef>
              <c:f>'Figura 9'!$F$25</c:f>
              <c:strCache>
                <c:ptCount val="1"/>
                <c:pt idx="0">
                  <c:v>Ianuarie-mai 2018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9'!$A$26:$A$32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9'!$F$26:$F$32</c:f>
              <c:numCache>
                <c:formatCode>#\ ##0,0</c:formatCode>
                <c:ptCount val="7"/>
                <c:pt idx="0">
                  <c:v>2.8</c:v>
                </c:pt>
                <c:pt idx="1">
                  <c:v>5.3</c:v>
                </c:pt>
                <c:pt idx="2">
                  <c:v>82.7</c:v>
                </c:pt>
                <c:pt idx="3">
                  <c:v>2.5</c:v>
                </c:pt>
                <c:pt idx="4">
                  <c:v>0.3</c:v>
                </c:pt>
                <c:pt idx="5">
                  <c:v>5.8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54-4901-8F26-F774DF753091}"/>
            </c:ext>
          </c:extLst>
        </c:ser>
        <c:ser>
          <c:idx val="5"/>
          <c:order val="5"/>
          <c:tx>
            <c:strRef>
              <c:f>'Figura 9'!$G$25</c:f>
              <c:strCache>
                <c:ptCount val="1"/>
                <c:pt idx="0">
                  <c:v>Ianuarie-mai 2017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9'!$A$26:$A$32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9'!$G$26:$G$32</c:f>
              <c:numCache>
                <c:formatCode>#\ ##0,0</c:formatCode>
                <c:ptCount val="7"/>
                <c:pt idx="0">
                  <c:v>2.5</c:v>
                </c:pt>
                <c:pt idx="1">
                  <c:v>5.6</c:v>
                </c:pt>
                <c:pt idx="2">
                  <c:v>82.1</c:v>
                </c:pt>
                <c:pt idx="3">
                  <c:v>2.6</c:v>
                </c:pt>
                <c:pt idx="4">
                  <c:v>0.3</c:v>
                </c:pt>
                <c:pt idx="5">
                  <c:v>6.3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54-4901-8F26-F774DF753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8075968"/>
        <c:axId val="248076528"/>
      </c:barChart>
      <c:catAx>
        <c:axId val="248075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8076528"/>
        <c:crossesAt val="0"/>
        <c:auto val="1"/>
        <c:lblAlgn val="ctr"/>
        <c:lblOffset val="100"/>
        <c:noMultiLvlLbl val="0"/>
      </c:catAx>
      <c:valAx>
        <c:axId val="24807652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8075968"/>
        <c:crosses val="autoZero"/>
        <c:crossBetween val="between"/>
        <c:minorUnit val="1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3.9307337647098435E-2"/>
          <c:y val="0.91065886860605449"/>
          <c:w val="0.9601343114865486"/>
          <c:h val="8.77227806331282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069977473288278E-2"/>
          <c:y val="6.8484183803067242E-2"/>
          <c:w val="0.93986930373860744"/>
          <c:h val="0.672207556789214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10'!$A$27</c:f>
              <c:strCache>
                <c:ptCount val="1"/>
                <c:pt idx="0">
                  <c:v>Ţările Uniunii Europene - total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10'!$B$26:$G$26</c:f>
              <c:strCache>
                <c:ptCount val="6"/>
                <c:pt idx="0">
                  <c:v>Ianuarie-mai 2017</c:v>
                </c:pt>
                <c:pt idx="1">
                  <c:v>Ianuarie-mai 2018</c:v>
                </c:pt>
                <c:pt idx="2">
                  <c:v>Ianuarie-mai 2019</c:v>
                </c:pt>
                <c:pt idx="3">
                  <c:v>Ianuarie-mai 2020</c:v>
                </c:pt>
                <c:pt idx="4">
                  <c:v>Ianuarie-mai 2021</c:v>
                </c:pt>
                <c:pt idx="5">
                  <c:v>Ianuarie-mai 2022</c:v>
                </c:pt>
              </c:strCache>
            </c:strRef>
          </c:cat>
          <c:val>
            <c:numRef>
              <c:f>'Figura 10'!$B$27:$G$27</c:f>
              <c:numCache>
                <c:formatCode>#\ ##0,0</c:formatCode>
                <c:ptCount val="6"/>
                <c:pt idx="0">
                  <c:v>47.6</c:v>
                </c:pt>
                <c:pt idx="1">
                  <c:v>49.5</c:v>
                </c:pt>
                <c:pt idx="2">
                  <c:v>48.3</c:v>
                </c:pt>
                <c:pt idx="3">
                  <c:v>46.8</c:v>
                </c:pt>
                <c:pt idx="4">
                  <c:v>47.3</c:v>
                </c:pt>
                <c:pt idx="5">
                  <c:v>44.9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9-4350-AC6F-7B3B9B8C79B6}"/>
            </c:ext>
          </c:extLst>
        </c:ser>
        <c:ser>
          <c:idx val="1"/>
          <c:order val="1"/>
          <c:tx>
            <c:strRef>
              <c:f>'Figura 10'!$A$28</c:f>
              <c:strCache>
                <c:ptCount val="1"/>
                <c:pt idx="0">
                  <c:v>Ţările CSI -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10'!$B$26:$G$26</c:f>
              <c:strCache>
                <c:ptCount val="6"/>
                <c:pt idx="0">
                  <c:v>Ianuarie-mai 2017</c:v>
                </c:pt>
                <c:pt idx="1">
                  <c:v>Ianuarie-mai 2018</c:v>
                </c:pt>
                <c:pt idx="2">
                  <c:v>Ianuarie-mai 2019</c:v>
                </c:pt>
                <c:pt idx="3">
                  <c:v>Ianuarie-mai 2020</c:v>
                </c:pt>
                <c:pt idx="4">
                  <c:v>Ianuarie-mai 2021</c:v>
                </c:pt>
                <c:pt idx="5">
                  <c:v>Ianuarie-mai 2022</c:v>
                </c:pt>
              </c:strCache>
            </c:strRef>
          </c:cat>
          <c:val>
            <c:numRef>
              <c:f>'Figura 10'!$B$28:$G$28</c:f>
              <c:numCache>
                <c:formatCode>#\ ##0,0</c:formatCode>
                <c:ptCount val="6"/>
                <c:pt idx="0">
                  <c:v>25.3</c:v>
                </c:pt>
                <c:pt idx="1">
                  <c:v>23.4</c:v>
                </c:pt>
                <c:pt idx="2">
                  <c:v>25.4</c:v>
                </c:pt>
                <c:pt idx="3">
                  <c:v>24.7</c:v>
                </c:pt>
                <c:pt idx="4">
                  <c:v>22.9</c:v>
                </c:pt>
                <c:pt idx="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49-4350-AC6F-7B3B9B8C79B6}"/>
            </c:ext>
          </c:extLst>
        </c:ser>
        <c:ser>
          <c:idx val="2"/>
          <c:order val="2"/>
          <c:tx>
            <c:strRef>
              <c:f>'Figura 10'!$A$29</c:f>
              <c:strCache>
                <c:ptCount val="1"/>
                <c:pt idx="0">
                  <c:v>Celelalte ţări ale lumii - 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10'!$B$26:$G$26</c:f>
              <c:strCache>
                <c:ptCount val="6"/>
                <c:pt idx="0">
                  <c:v>Ianuarie-mai 2017</c:v>
                </c:pt>
                <c:pt idx="1">
                  <c:v>Ianuarie-mai 2018</c:v>
                </c:pt>
                <c:pt idx="2">
                  <c:v>Ianuarie-mai 2019</c:v>
                </c:pt>
                <c:pt idx="3">
                  <c:v>Ianuarie-mai 2020</c:v>
                </c:pt>
                <c:pt idx="4">
                  <c:v>Ianuarie-mai 2021</c:v>
                </c:pt>
                <c:pt idx="5">
                  <c:v>Ianuarie-mai 2022</c:v>
                </c:pt>
              </c:strCache>
            </c:strRef>
          </c:cat>
          <c:val>
            <c:numRef>
              <c:f>'Figura 10'!$B$29:$G$29</c:f>
              <c:numCache>
                <c:formatCode>#\ ##0,0</c:formatCode>
                <c:ptCount val="6"/>
                <c:pt idx="0">
                  <c:v>27.1</c:v>
                </c:pt>
                <c:pt idx="1">
                  <c:v>27.1</c:v>
                </c:pt>
                <c:pt idx="2">
                  <c:v>26.3</c:v>
                </c:pt>
                <c:pt idx="3">
                  <c:v>28.5</c:v>
                </c:pt>
                <c:pt idx="4">
                  <c:v>29.8</c:v>
                </c:pt>
                <c:pt idx="5">
                  <c:v>27.1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49-4350-AC6F-7B3B9B8C7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8552080"/>
        <c:axId val="248552640"/>
      </c:barChart>
      <c:catAx>
        <c:axId val="24855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8552640"/>
        <c:crosses val="autoZero"/>
        <c:auto val="0"/>
        <c:lblAlgn val="ctr"/>
        <c:lblOffset val="100"/>
        <c:noMultiLvlLbl val="0"/>
      </c:catAx>
      <c:valAx>
        <c:axId val="248552640"/>
        <c:scaling>
          <c:orientation val="minMax"/>
          <c:max val="100"/>
        </c:scaling>
        <c:delete val="0"/>
        <c:axPos val="l"/>
        <c:numFmt formatCode="#\ ##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8552080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3.7397873185027977E-2"/>
          <c:y val="0.86029316510874743"/>
          <c:w val="0.93105796047794498"/>
          <c:h val="8.5815523059617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668505608773423E-2"/>
          <c:y val="3.3602647495150066E-2"/>
          <c:w val="0.91068898658274244"/>
          <c:h val="0.65479992375254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11'!$B$26</c:f>
              <c:strCache>
                <c:ptCount val="1"/>
                <c:pt idx="0">
                  <c:v>Ianuarie-mai 2017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11'!$A$27:$A$46</c:f>
              <c:strCache>
                <c:ptCount val="20"/>
                <c:pt idx="0">
                  <c:v>Federația Rusă</c:v>
                </c:pt>
                <c:pt idx="1">
                  <c:v>România</c:v>
                </c:pt>
                <c:pt idx="2">
                  <c:v>China</c:v>
                </c:pt>
                <c:pt idx="3">
                  <c:v>Ucraina</c:v>
                </c:pt>
                <c:pt idx="4">
                  <c:v>Turcia</c:v>
                </c:pt>
                <c:pt idx="5">
                  <c:v>Germania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Ungaria</c:v>
                </c:pt>
                <c:pt idx="10">
                  <c:v>India</c:v>
                </c:pt>
                <c:pt idx="11">
                  <c:v>S.U.A.</c:v>
                </c:pt>
                <c:pt idx="12">
                  <c:v>Cehia</c:v>
                </c:pt>
                <c:pt idx="13">
                  <c:v>Bulgaria</c:v>
                </c:pt>
                <c:pt idx="14">
                  <c:v>Belarus</c:v>
                </c:pt>
                <c:pt idx="15">
                  <c:v>Spania</c:v>
                </c:pt>
                <c:pt idx="16">
                  <c:v>Netherlands</c:v>
                </c:pt>
                <c:pt idx="17">
                  <c:v>Austria</c:v>
                </c:pt>
                <c:pt idx="18">
                  <c:v>Regatul Unit </c:v>
                </c:pt>
                <c:pt idx="19">
                  <c:v>Coreea de Sud</c:v>
                </c:pt>
              </c:strCache>
            </c:strRef>
          </c:cat>
          <c:val>
            <c:numRef>
              <c:f>'Figura 11'!$B$27:$B$46</c:f>
              <c:numCache>
                <c:formatCode>#\ ##0,0</c:formatCode>
                <c:ptCount val="20"/>
                <c:pt idx="0">
                  <c:v>12.773112256111515</c:v>
                </c:pt>
                <c:pt idx="1">
                  <c:v>13.745556535940368</c:v>
                </c:pt>
                <c:pt idx="2">
                  <c:v>9.7710002857841989</c:v>
                </c:pt>
                <c:pt idx="3">
                  <c:v>9.8966059726365252</c:v>
                </c:pt>
                <c:pt idx="4">
                  <c:v>6.8005645652904789</c:v>
                </c:pt>
                <c:pt idx="5">
                  <c:v>7.9474059904351417</c:v>
                </c:pt>
                <c:pt idx="6">
                  <c:v>7.0280818423286719</c:v>
                </c:pt>
                <c:pt idx="7">
                  <c:v>3.154582940596748</c:v>
                </c:pt>
                <c:pt idx="8">
                  <c:v>2.8704275150044833</c:v>
                </c:pt>
                <c:pt idx="9">
                  <c:v>2.077407052251969</c:v>
                </c:pt>
                <c:pt idx="10">
                  <c:v>0.65389691764437208</c:v>
                </c:pt>
                <c:pt idx="11">
                  <c:v>1.9064491307746543</c:v>
                </c:pt>
                <c:pt idx="12">
                  <c:v>1.3459332599310734</c:v>
                </c:pt>
                <c:pt idx="13">
                  <c:v>1.3864466003227778</c:v>
                </c:pt>
                <c:pt idx="14">
                  <c:v>2.4724862535708136</c:v>
                </c:pt>
                <c:pt idx="15">
                  <c:v>1.402943060874914</c:v>
                </c:pt>
                <c:pt idx="16">
                  <c:v>1.0202064684891883</c:v>
                </c:pt>
                <c:pt idx="17">
                  <c:v>1.564598138660664</c:v>
                </c:pt>
                <c:pt idx="18">
                  <c:v>1.3635545877209372</c:v>
                </c:pt>
                <c:pt idx="19">
                  <c:v>0.49031191581467182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D-4027-9176-5A5FABFE2538}"/>
            </c:ext>
          </c:extLst>
        </c:ser>
        <c:ser>
          <c:idx val="1"/>
          <c:order val="1"/>
          <c:tx>
            <c:strRef>
              <c:f>'Figura 11'!$C$26</c:f>
              <c:strCache>
                <c:ptCount val="1"/>
                <c:pt idx="0">
                  <c:v>Ianuarie-mai 2018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11'!$A$27:$A$46</c:f>
              <c:strCache>
                <c:ptCount val="20"/>
                <c:pt idx="0">
                  <c:v>Federația Rusă</c:v>
                </c:pt>
                <c:pt idx="1">
                  <c:v>România</c:v>
                </c:pt>
                <c:pt idx="2">
                  <c:v>China</c:v>
                </c:pt>
                <c:pt idx="3">
                  <c:v>Ucraina</c:v>
                </c:pt>
                <c:pt idx="4">
                  <c:v>Turcia</c:v>
                </c:pt>
                <c:pt idx="5">
                  <c:v>Germania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Ungaria</c:v>
                </c:pt>
                <c:pt idx="10">
                  <c:v>India</c:v>
                </c:pt>
                <c:pt idx="11">
                  <c:v>S.U.A.</c:v>
                </c:pt>
                <c:pt idx="12">
                  <c:v>Cehia</c:v>
                </c:pt>
                <c:pt idx="13">
                  <c:v>Bulgaria</c:v>
                </c:pt>
                <c:pt idx="14">
                  <c:v>Belarus</c:v>
                </c:pt>
                <c:pt idx="15">
                  <c:v>Spania</c:v>
                </c:pt>
                <c:pt idx="16">
                  <c:v>Netherlands</c:v>
                </c:pt>
                <c:pt idx="17">
                  <c:v>Austria</c:v>
                </c:pt>
                <c:pt idx="18">
                  <c:v>Regatul Unit </c:v>
                </c:pt>
                <c:pt idx="19">
                  <c:v>Coreea de Sud</c:v>
                </c:pt>
              </c:strCache>
            </c:strRef>
          </c:cat>
          <c:val>
            <c:numRef>
              <c:f>'Figura 11'!$C$27:$C$46</c:f>
              <c:numCache>
                <c:formatCode>#\ ##0,0</c:formatCode>
                <c:ptCount val="20"/>
                <c:pt idx="0">
                  <c:v>12.572326241028426</c:v>
                </c:pt>
                <c:pt idx="1">
                  <c:v>13.745471632837653</c:v>
                </c:pt>
                <c:pt idx="2">
                  <c:v>10.49424634241891</c:v>
                </c:pt>
                <c:pt idx="3">
                  <c:v>8.9750311052380436</c:v>
                </c:pt>
                <c:pt idx="4">
                  <c:v>6.0848046115884848</c:v>
                </c:pt>
                <c:pt idx="5">
                  <c:v>8.6123219738419952</c:v>
                </c:pt>
                <c:pt idx="6">
                  <c:v>7.0410666542882003</c:v>
                </c:pt>
                <c:pt idx="7">
                  <c:v>3.4683374878214774</c:v>
                </c:pt>
                <c:pt idx="8">
                  <c:v>2.9884990981835489</c:v>
                </c:pt>
                <c:pt idx="9">
                  <c:v>2.2853785528109345</c:v>
                </c:pt>
                <c:pt idx="10">
                  <c:v>0.57076317835704127</c:v>
                </c:pt>
                <c:pt idx="11">
                  <c:v>1.4505010916243293</c:v>
                </c:pt>
                <c:pt idx="12">
                  <c:v>1.466999357498288</c:v>
                </c:pt>
                <c:pt idx="13">
                  <c:v>1.1507588581995856</c:v>
                </c:pt>
                <c:pt idx="14">
                  <c:v>1.7095831621320383</c:v>
                </c:pt>
                <c:pt idx="15">
                  <c:v>1.5134374774271027</c:v>
                </c:pt>
                <c:pt idx="16">
                  <c:v>1.1240771582749389</c:v>
                </c:pt>
                <c:pt idx="17">
                  <c:v>2.0470410331652369</c:v>
                </c:pt>
                <c:pt idx="18">
                  <c:v>1.0630852387439038</c:v>
                </c:pt>
                <c:pt idx="19">
                  <c:v>0.64146946599780708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5D-4027-9176-5A5FABFE2538}"/>
            </c:ext>
          </c:extLst>
        </c:ser>
        <c:ser>
          <c:idx val="2"/>
          <c:order val="2"/>
          <c:tx>
            <c:strRef>
              <c:f>'Figura 11'!$D$26</c:f>
              <c:strCache>
                <c:ptCount val="1"/>
                <c:pt idx="0">
                  <c:v>Ianuarie-mai 2019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11'!$A$27:$A$46</c:f>
              <c:strCache>
                <c:ptCount val="20"/>
                <c:pt idx="0">
                  <c:v>Federația Rusă</c:v>
                </c:pt>
                <c:pt idx="1">
                  <c:v>România</c:v>
                </c:pt>
                <c:pt idx="2">
                  <c:v>China</c:v>
                </c:pt>
                <c:pt idx="3">
                  <c:v>Ucraina</c:v>
                </c:pt>
                <c:pt idx="4">
                  <c:v>Turcia</c:v>
                </c:pt>
                <c:pt idx="5">
                  <c:v>Germania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Ungaria</c:v>
                </c:pt>
                <c:pt idx="10">
                  <c:v>India</c:v>
                </c:pt>
                <c:pt idx="11">
                  <c:v>S.U.A.</c:v>
                </c:pt>
                <c:pt idx="12">
                  <c:v>Cehia</c:v>
                </c:pt>
                <c:pt idx="13">
                  <c:v>Bulgaria</c:v>
                </c:pt>
                <c:pt idx="14">
                  <c:v>Belarus</c:v>
                </c:pt>
                <c:pt idx="15">
                  <c:v>Spania</c:v>
                </c:pt>
                <c:pt idx="16">
                  <c:v>Netherlands</c:v>
                </c:pt>
                <c:pt idx="17">
                  <c:v>Austria</c:v>
                </c:pt>
                <c:pt idx="18">
                  <c:v>Regatul Unit </c:v>
                </c:pt>
                <c:pt idx="19">
                  <c:v>Coreea de Sud</c:v>
                </c:pt>
              </c:strCache>
            </c:strRef>
          </c:cat>
          <c:val>
            <c:numRef>
              <c:f>'Figura 11'!$D$27:$D$46</c:f>
              <c:numCache>
                <c:formatCode>#\ ##0,0</c:formatCode>
                <c:ptCount val="20"/>
                <c:pt idx="0">
                  <c:v>13.220132519426631</c:v>
                </c:pt>
                <c:pt idx="1">
                  <c:v>13.963487929663396</c:v>
                </c:pt>
                <c:pt idx="2">
                  <c:v>9.9099105974919119</c:v>
                </c:pt>
                <c:pt idx="3">
                  <c:v>9.4865120613745226</c:v>
                </c:pt>
                <c:pt idx="4">
                  <c:v>6.5468461303908834</c:v>
                </c:pt>
                <c:pt idx="5">
                  <c:v>8.437064560428448</c:v>
                </c:pt>
                <c:pt idx="6">
                  <c:v>6.9821505613796848</c:v>
                </c:pt>
                <c:pt idx="7">
                  <c:v>3.2535577050838178</c:v>
                </c:pt>
                <c:pt idx="8">
                  <c:v>2.7683489853456678</c:v>
                </c:pt>
                <c:pt idx="9">
                  <c:v>2.0008887439489902</c:v>
                </c:pt>
                <c:pt idx="10">
                  <c:v>0.62993292375388443</c:v>
                </c:pt>
                <c:pt idx="11">
                  <c:v>1.2731384164883319</c:v>
                </c:pt>
                <c:pt idx="12">
                  <c:v>1.9038195116803132</c:v>
                </c:pt>
                <c:pt idx="13">
                  <c:v>0.79762987251359063</c:v>
                </c:pt>
                <c:pt idx="14">
                  <c:v>2.2335766481759398</c:v>
                </c:pt>
                <c:pt idx="15">
                  <c:v>1.4892549102813992</c:v>
                </c:pt>
                <c:pt idx="16">
                  <c:v>1.0341395732746994</c:v>
                </c:pt>
                <c:pt idx="17">
                  <c:v>1.6260432483772376</c:v>
                </c:pt>
                <c:pt idx="18">
                  <c:v>0.99590120031807405</c:v>
                </c:pt>
                <c:pt idx="19">
                  <c:v>0.58772285224720822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5D-4027-9176-5A5FABFE2538}"/>
            </c:ext>
          </c:extLst>
        </c:ser>
        <c:ser>
          <c:idx val="3"/>
          <c:order val="3"/>
          <c:tx>
            <c:strRef>
              <c:f>'Figura 11'!$E$26</c:f>
              <c:strCache>
                <c:ptCount val="1"/>
                <c:pt idx="0">
                  <c:v>Ianuarie-mai 2020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11'!$A$27:$A$46</c:f>
              <c:strCache>
                <c:ptCount val="20"/>
                <c:pt idx="0">
                  <c:v>Federația Rusă</c:v>
                </c:pt>
                <c:pt idx="1">
                  <c:v>România</c:v>
                </c:pt>
                <c:pt idx="2">
                  <c:v>China</c:v>
                </c:pt>
                <c:pt idx="3">
                  <c:v>Ucraina</c:v>
                </c:pt>
                <c:pt idx="4">
                  <c:v>Turcia</c:v>
                </c:pt>
                <c:pt idx="5">
                  <c:v>Germania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Ungaria</c:v>
                </c:pt>
                <c:pt idx="10">
                  <c:v>India</c:v>
                </c:pt>
                <c:pt idx="11">
                  <c:v>S.U.A.</c:v>
                </c:pt>
                <c:pt idx="12">
                  <c:v>Cehia</c:v>
                </c:pt>
                <c:pt idx="13">
                  <c:v>Bulgaria</c:v>
                </c:pt>
                <c:pt idx="14">
                  <c:v>Belarus</c:v>
                </c:pt>
                <c:pt idx="15">
                  <c:v>Spania</c:v>
                </c:pt>
                <c:pt idx="16">
                  <c:v>Netherlands</c:v>
                </c:pt>
                <c:pt idx="17">
                  <c:v>Austria</c:v>
                </c:pt>
                <c:pt idx="18">
                  <c:v>Regatul Unit </c:v>
                </c:pt>
                <c:pt idx="19">
                  <c:v>Coreea de Sud</c:v>
                </c:pt>
              </c:strCache>
            </c:strRef>
          </c:cat>
          <c:val>
            <c:numRef>
              <c:f>'Figura 11'!$E$27:$E$46</c:f>
              <c:numCache>
                <c:formatCode>#\ ##0,0</c:formatCode>
                <c:ptCount val="20"/>
                <c:pt idx="0">
                  <c:v>12.908219061977313</c:v>
                </c:pt>
                <c:pt idx="1">
                  <c:v>12.499526240863791</c:v>
                </c:pt>
                <c:pt idx="2">
                  <c:v>10.644625714018236</c:v>
                </c:pt>
                <c:pt idx="3">
                  <c:v>9.2914555456829273</c:v>
                </c:pt>
                <c:pt idx="4">
                  <c:v>6.8123335077502594</c:v>
                </c:pt>
                <c:pt idx="5">
                  <c:v>8.1982665397765366</c:v>
                </c:pt>
                <c:pt idx="6">
                  <c:v>6.3378267468196583</c:v>
                </c:pt>
                <c:pt idx="7">
                  <c:v>3.8635628037306065</c:v>
                </c:pt>
                <c:pt idx="8">
                  <c:v>2.9288887139938167</c:v>
                </c:pt>
                <c:pt idx="9">
                  <c:v>2.1362023683367424</c:v>
                </c:pt>
                <c:pt idx="10">
                  <c:v>0.70404830745140368</c:v>
                </c:pt>
                <c:pt idx="11">
                  <c:v>1.3672074865495225</c:v>
                </c:pt>
                <c:pt idx="12">
                  <c:v>1.5931759024833725</c:v>
                </c:pt>
                <c:pt idx="13">
                  <c:v>1.0837263002181925</c:v>
                </c:pt>
                <c:pt idx="14">
                  <c:v>1.8881749028008328</c:v>
                </c:pt>
                <c:pt idx="15">
                  <c:v>1.5769983363806781</c:v>
                </c:pt>
                <c:pt idx="16">
                  <c:v>1.0893404745031041</c:v>
                </c:pt>
                <c:pt idx="17">
                  <c:v>1.1668873218916305</c:v>
                </c:pt>
                <c:pt idx="18">
                  <c:v>1.0516903191336735</c:v>
                </c:pt>
                <c:pt idx="19">
                  <c:v>0.76216929440174563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5D-4027-9176-5A5FABFE2538}"/>
            </c:ext>
          </c:extLst>
        </c:ser>
        <c:ser>
          <c:idx val="4"/>
          <c:order val="4"/>
          <c:tx>
            <c:strRef>
              <c:f>'Figura 11'!$F$26</c:f>
              <c:strCache>
                <c:ptCount val="1"/>
                <c:pt idx="0">
                  <c:v>Ianuarie-mai 2021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11'!$A$27:$A$46</c:f>
              <c:strCache>
                <c:ptCount val="20"/>
                <c:pt idx="0">
                  <c:v>Federația Rusă</c:v>
                </c:pt>
                <c:pt idx="1">
                  <c:v>România</c:v>
                </c:pt>
                <c:pt idx="2">
                  <c:v>China</c:v>
                </c:pt>
                <c:pt idx="3">
                  <c:v>Ucraina</c:v>
                </c:pt>
                <c:pt idx="4">
                  <c:v>Turcia</c:v>
                </c:pt>
                <c:pt idx="5">
                  <c:v>Germania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Ungaria</c:v>
                </c:pt>
                <c:pt idx="10">
                  <c:v>India</c:v>
                </c:pt>
                <c:pt idx="11">
                  <c:v>S.U.A.</c:v>
                </c:pt>
                <c:pt idx="12">
                  <c:v>Cehia</c:v>
                </c:pt>
                <c:pt idx="13">
                  <c:v>Bulgaria</c:v>
                </c:pt>
                <c:pt idx="14">
                  <c:v>Belarus</c:v>
                </c:pt>
                <c:pt idx="15">
                  <c:v>Spania</c:v>
                </c:pt>
                <c:pt idx="16">
                  <c:v>Netherlands</c:v>
                </c:pt>
                <c:pt idx="17">
                  <c:v>Austria</c:v>
                </c:pt>
                <c:pt idx="18">
                  <c:v>Regatul Unit </c:v>
                </c:pt>
                <c:pt idx="19">
                  <c:v>Coreea de Sud</c:v>
                </c:pt>
              </c:strCache>
            </c:strRef>
          </c:cat>
          <c:val>
            <c:numRef>
              <c:f>'Figura 11'!$F$27:$F$46</c:f>
              <c:numCache>
                <c:formatCode>#\ ##0,0</c:formatCode>
                <c:ptCount val="20"/>
                <c:pt idx="0">
                  <c:v>11.851899766118063</c:v>
                </c:pt>
                <c:pt idx="1">
                  <c:v>12.48720759696473</c:v>
                </c:pt>
                <c:pt idx="2">
                  <c:v>11.758459465697547</c:v>
                </c:pt>
                <c:pt idx="3">
                  <c:v>8.7839077185487628</c:v>
                </c:pt>
                <c:pt idx="4">
                  <c:v>7.1525939430906487</c:v>
                </c:pt>
                <c:pt idx="5">
                  <c:v>8.4794646050619829</c:v>
                </c:pt>
                <c:pt idx="6">
                  <c:v>6.660348461613923</c:v>
                </c:pt>
                <c:pt idx="7">
                  <c:v>3.8759707351625825</c:v>
                </c:pt>
                <c:pt idx="8">
                  <c:v>2.7823981790277359</c:v>
                </c:pt>
                <c:pt idx="9">
                  <c:v>2.0015501099714421</c:v>
                </c:pt>
                <c:pt idx="10">
                  <c:v>0.71029481605729961</c:v>
                </c:pt>
                <c:pt idx="11">
                  <c:v>1.4789075237893763</c:v>
                </c:pt>
                <c:pt idx="12">
                  <c:v>1.7374890605350006</c:v>
                </c:pt>
                <c:pt idx="13">
                  <c:v>1.1240215098803623</c:v>
                </c:pt>
                <c:pt idx="14">
                  <c:v>1.7740767527772656</c:v>
                </c:pt>
                <c:pt idx="15">
                  <c:v>1.4427836755593342</c:v>
                </c:pt>
                <c:pt idx="16">
                  <c:v>1.0712451384956045</c:v>
                </c:pt>
                <c:pt idx="17">
                  <c:v>1.4571698391028445</c:v>
                </c:pt>
                <c:pt idx="18">
                  <c:v>0.9686196676979153</c:v>
                </c:pt>
                <c:pt idx="19">
                  <c:v>0.67600306351812167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5D-4027-9176-5A5FABFE2538}"/>
            </c:ext>
          </c:extLst>
        </c:ser>
        <c:ser>
          <c:idx val="5"/>
          <c:order val="5"/>
          <c:tx>
            <c:strRef>
              <c:f>'Figura 11'!$G$26</c:f>
              <c:strCache>
                <c:ptCount val="1"/>
                <c:pt idx="0">
                  <c:v>Ianuarie-mai 2022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11'!$A$27:$A$46</c:f>
              <c:strCache>
                <c:ptCount val="20"/>
                <c:pt idx="0">
                  <c:v>Federația Rusă</c:v>
                </c:pt>
                <c:pt idx="1">
                  <c:v>România</c:v>
                </c:pt>
                <c:pt idx="2">
                  <c:v>China</c:v>
                </c:pt>
                <c:pt idx="3">
                  <c:v>Ucraina</c:v>
                </c:pt>
                <c:pt idx="4">
                  <c:v>Turcia</c:v>
                </c:pt>
                <c:pt idx="5">
                  <c:v>Germania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Ungaria</c:v>
                </c:pt>
                <c:pt idx="10">
                  <c:v>India</c:v>
                </c:pt>
                <c:pt idx="11">
                  <c:v>S.U.A.</c:v>
                </c:pt>
                <c:pt idx="12">
                  <c:v>Cehia</c:v>
                </c:pt>
                <c:pt idx="13">
                  <c:v>Bulgaria</c:v>
                </c:pt>
                <c:pt idx="14">
                  <c:v>Belarus</c:v>
                </c:pt>
                <c:pt idx="15">
                  <c:v>Spania</c:v>
                </c:pt>
                <c:pt idx="16">
                  <c:v>Netherlands</c:v>
                </c:pt>
                <c:pt idx="17">
                  <c:v>Austria</c:v>
                </c:pt>
                <c:pt idx="18">
                  <c:v>Regatul Unit </c:v>
                </c:pt>
                <c:pt idx="19">
                  <c:v>Coreea de Sud</c:v>
                </c:pt>
              </c:strCache>
            </c:strRef>
          </c:cat>
          <c:val>
            <c:numRef>
              <c:f>'Figura 11'!$G$27:$G$46</c:f>
              <c:numCache>
                <c:formatCode>#\ ##0,0</c:formatCode>
                <c:ptCount val="20"/>
                <c:pt idx="0">
                  <c:v>17.107498670643693</c:v>
                </c:pt>
                <c:pt idx="1">
                  <c:v>14.952463382903561</c:v>
                </c:pt>
                <c:pt idx="2">
                  <c:v>9.2791888958891047</c:v>
                </c:pt>
                <c:pt idx="3">
                  <c:v>8.6880689132344084</c:v>
                </c:pt>
                <c:pt idx="4">
                  <c:v>7.0341139338628151</c:v>
                </c:pt>
                <c:pt idx="5">
                  <c:v>6.682445627978387</c:v>
                </c:pt>
                <c:pt idx="6">
                  <c:v>5.3004072147928749</c:v>
                </c:pt>
                <c:pt idx="7">
                  <c:v>3.2484026368229078</c:v>
                </c:pt>
                <c:pt idx="8">
                  <c:v>2.524754217925913</c:v>
                </c:pt>
                <c:pt idx="9">
                  <c:v>2.2038810659221699</c:v>
                </c:pt>
                <c:pt idx="10">
                  <c:v>2.2035993835044843</c:v>
                </c:pt>
                <c:pt idx="11">
                  <c:v>1.6852162376876325</c:v>
                </c:pt>
                <c:pt idx="12">
                  <c:v>1.477776501625496</c:v>
                </c:pt>
                <c:pt idx="13">
                  <c:v>1.396872597924024</c:v>
                </c:pt>
                <c:pt idx="14">
                  <c:v>1.3155239881251755</c:v>
                </c:pt>
                <c:pt idx="15">
                  <c:v>1.3021583837098767</c:v>
                </c:pt>
                <c:pt idx="16">
                  <c:v>1.0336834118465121</c:v>
                </c:pt>
                <c:pt idx="17">
                  <c:v>0.97571753847656928</c:v>
                </c:pt>
                <c:pt idx="18">
                  <c:v>0.83758150535455134</c:v>
                </c:pt>
                <c:pt idx="19">
                  <c:v>0.7357138589784582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5D-4027-9176-5A5FABFE2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8629776"/>
        <c:axId val="248630336"/>
      </c:barChart>
      <c:catAx>
        <c:axId val="24862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8630336"/>
        <c:crosses val="autoZero"/>
        <c:auto val="1"/>
        <c:lblAlgn val="ctr"/>
        <c:lblOffset val="100"/>
        <c:noMultiLvlLbl val="0"/>
      </c:catAx>
      <c:valAx>
        <c:axId val="24863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8629776"/>
        <c:crosses val="autoZero"/>
        <c:crossBetween val="between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8.9475736695799335E-3"/>
          <c:y val="0.90730555022085657"/>
          <c:w val="0.98947703806535203"/>
          <c:h val="9.0480442993406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1" baseline="0">
                <a:solidFill>
                  <a:sysClr val="windowText" lastClr="000000"/>
                </a:solidFill>
              </a:rPr>
              <a:t>Ianuarie-</a:t>
            </a:r>
            <a:r>
              <a:rPr lang="ro-RO" sz="800" b="1" baseline="0">
                <a:solidFill>
                  <a:sysClr val="windowText" lastClr="000000"/>
                </a:solidFill>
              </a:rPr>
              <a:t>mai</a:t>
            </a:r>
            <a:r>
              <a:rPr lang="en-US" sz="800" b="1" baseline="0">
                <a:solidFill>
                  <a:sysClr val="windowText" lastClr="000000"/>
                </a:solidFill>
              </a:rPr>
              <a:t>  2021</a:t>
            </a:r>
          </a:p>
        </c:rich>
      </c:tx>
      <c:layout>
        <c:manualLayout>
          <c:xMode val="edge"/>
          <c:yMode val="edge"/>
          <c:x val="0.34963801655940546"/>
          <c:y val="3.068465999272215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482687614867814"/>
          <c:y val="0.17907230622720835"/>
          <c:w val="0.45785686625237426"/>
          <c:h val="0.57671056604650095"/>
        </c:manualLayout>
      </c:layout>
      <c:pieChart>
        <c:varyColors val="1"/>
        <c:ser>
          <c:idx val="0"/>
          <c:order val="0"/>
          <c:tx>
            <c:strRef>
              <c:f>'Figura 12'!$B$24</c:f>
              <c:strCache>
                <c:ptCount val="1"/>
                <c:pt idx="0">
                  <c:v>%</c:v>
                </c:pt>
              </c:strCache>
            </c:strRef>
          </c:tx>
          <c:spPr>
            <a:effectLst>
              <a:outerShdw sx="1000" sy="1000" algn="ctr" rotWithShape="0">
                <a:schemeClr val="bg1"/>
              </a:outerShdw>
            </a:effectLst>
          </c:spPr>
          <c:dPt>
            <c:idx val="0"/>
            <c:bubble3D val="0"/>
            <c:spPr>
              <a:solidFill>
                <a:schemeClr val="accent1">
                  <a:tint val="54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631-4CA1-BC5D-E5ED86221948}"/>
              </c:ext>
            </c:extLst>
          </c:dPt>
          <c:dPt>
            <c:idx val="1"/>
            <c:bubble3D val="0"/>
            <c:spPr>
              <a:solidFill>
                <a:schemeClr val="accent1">
                  <a:tint val="42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631-4CA1-BC5D-E5ED86221948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631-4CA1-BC5D-E5ED86221948}"/>
              </c:ext>
            </c:extLst>
          </c:dPt>
          <c:dPt>
            <c:idx val="3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631-4CA1-BC5D-E5ED86221948}"/>
              </c:ext>
            </c:extLst>
          </c:dPt>
          <c:dPt>
            <c:idx val="4"/>
            <c:bubble3D val="0"/>
            <c:spPr>
              <a:solidFill>
                <a:schemeClr val="accent1">
                  <a:tint val="89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631-4CA1-BC5D-E5ED86221948}"/>
              </c:ext>
            </c:extLst>
          </c:dPt>
          <c:dPt>
            <c:idx val="5"/>
            <c:bubble3D val="0"/>
            <c:spPr>
              <a:solidFill>
                <a:schemeClr val="accent1">
                  <a:tint val="89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631-4CA1-BC5D-E5ED86221948}"/>
              </c:ext>
            </c:extLst>
          </c:dPt>
          <c:dPt>
            <c:idx val="6"/>
            <c:bubble3D val="0"/>
            <c:spPr>
              <a:solidFill>
                <a:schemeClr val="accent1">
                  <a:shade val="88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631-4CA1-BC5D-E5ED86221948}"/>
              </c:ext>
            </c:extLst>
          </c:dPt>
          <c:dPt>
            <c:idx val="7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631-4CA1-BC5D-E5ED86221948}"/>
              </c:ext>
            </c:extLst>
          </c:dPt>
          <c:dPt>
            <c:idx val="8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4C22-4D65-846D-9978192088CA}"/>
              </c:ext>
            </c:extLst>
          </c:dPt>
          <c:dPt>
            <c:idx val="9"/>
            <c:bubble3D val="0"/>
            <c:spPr>
              <a:solidFill>
                <a:schemeClr val="accent1">
                  <a:shade val="53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4C22-4D65-846D-9978192088CA}"/>
              </c:ext>
            </c:extLst>
          </c:dPt>
          <c:dPt>
            <c:idx val="10"/>
            <c:bubble3D val="0"/>
            <c:spPr>
              <a:solidFill>
                <a:schemeClr val="accent1">
                  <a:shade val="41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4C22-4D65-846D-9978192088CA}"/>
              </c:ext>
            </c:extLst>
          </c:dPt>
          <c:dLbls>
            <c:dLbl>
              <c:idx val="0"/>
              <c:layout>
                <c:manualLayout>
                  <c:x val="-0.14519881736094464"/>
                  <c:y val="9.833151387050070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9186904915574"/>
                      <c:h val="0.1363225172074729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631-4CA1-BC5D-E5ED86221948}"/>
                </c:ext>
              </c:extLst>
            </c:dLbl>
            <c:dLbl>
              <c:idx val="1"/>
              <c:layout>
                <c:manualLayout>
                  <c:x val="-7.8063889554789254E-2"/>
                  <c:y val="1.57327015538986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61670569867289"/>
                      <c:h val="0.155988200589970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631-4CA1-BC5D-E5ED86221948}"/>
                </c:ext>
              </c:extLst>
            </c:dLbl>
            <c:dLbl>
              <c:idx val="2"/>
              <c:layout>
                <c:manualLayout>
                  <c:x val="3.7470725995316159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31-4CA1-BC5D-E5ED86221948}"/>
                </c:ext>
              </c:extLst>
            </c:dLbl>
            <c:dLbl>
              <c:idx val="3"/>
              <c:layout>
                <c:manualLayout>
                  <c:x val="-1.873536299765808E-2"/>
                  <c:y val="-2.55655432451474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532396565183451"/>
                      <c:h val="0.1505211406096361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631-4CA1-BC5D-E5ED86221948}"/>
                </c:ext>
              </c:extLst>
            </c:dLbl>
            <c:dLbl>
              <c:idx val="4"/>
              <c:layout>
                <c:manualLayout>
                  <c:x val="1.873536299765808E-2"/>
                  <c:y val="-2.1632251720747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81120802522635"/>
                      <c:h val="0.131622573726956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631-4CA1-BC5D-E5ED86221948}"/>
                </c:ext>
              </c:extLst>
            </c:dLbl>
            <c:dLbl>
              <c:idx val="5"/>
              <c:layout>
                <c:manualLayout>
                  <c:x val="9.3676814988289253E-3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31-4CA1-BC5D-E5ED86221948}"/>
                </c:ext>
              </c:extLst>
            </c:dLbl>
            <c:dLbl>
              <c:idx val="6"/>
              <c:layout>
                <c:manualLayout>
                  <c:x val="-2.8103044496487119E-2"/>
                  <c:y val="5.50639134709931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31-4CA1-BC5D-E5ED86221948}"/>
                </c:ext>
              </c:extLst>
            </c:dLbl>
            <c:dLbl>
              <c:idx val="7"/>
              <c:layout>
                <c:manualLayout>
                  <c:x val="-0.11865729898516784"/>
                  <c:y val="5.11307767944936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631-4CA1-BC5D-E5ED86221948}"/>
                </c:ext>
              </c:extLst>
            </c:dLbl>
            <c:dLbl>
              <c:idx val="8"/>
              <c:layout>
                <c:manualLayout>
                  <c:x val="-0.20921155347384862"/>
                  <c:y val="3.93313667649950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C22-4D65-846D-9978192088CA}"/>
                </c:ext>
              </c:extLst>
            </c:dLbl>
            <c:dLbl>
              <c:idx val="9"/>
              <c:layout>
                <c:manualLayout>
                  <c:x val="-0.25917252146760345"/>
                  <c:y val="-1.57325467059980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C22-4D65-846D-9978192088CA}"/>
                </c:ext>
              </c:extLst>
            </c:dLbl>
            <c:dLbl>
              <c:idx val="10"/>
              <c:layout>
                <c:manualLayout>
                  <c:x val="6.2451209992193599E-3"/>
                  <c:y val="-8.25958702064896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C22-4D65-846D-9978192088CA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'Figura 12'!$A$25:$A$35</c:f>
              <c:strCache>
                <c:ptCount val="11"/>
                <c:pt idx="0">
                  <c:v>Petrol şi produse petroliere </c:v>
                </c:pt>
                <c:pt idx="1">
                  <c:v>Gaz şi produse industriale obţinute din gaz</c:v>
                </c:pt>
                <c:pt idx="2">
                  <c:v>Maşini şi aparate electrice </c:v>
                </c:pt>
                <c:pt idx="3">
                  <c:v>Vehicule rutiere </c:v>
                </c:pt>
                <c:pt idx="4">
                  <c:v>Fire, tesături şi articole textile </c:v>
                </c:pt>
                <c:pt idx="5">
                  <c:v>Produse medicinale şi farmaceutice</c:v>
                </c:pt>
                <c:pt idx="6">
                  <c:v>Maşini şi aparate specializate </c:v>
                </c:pt>
                <c:pt idx="7">
                  <c:v>Maşini şi aparate industriale </c:v>
                </c:pt>
                <c:pt idx="8">
                  <c:v>Legume şi fructe</c:v>
                </c:pt>
                <c:pt idx="9">
                  <c:v>Fier şi oţel</c:v>
                </c:pt>
                <c:pt idx="10">
                  <c:v>Alte mărfuri</c:v>
                </c:pt>
              </c:strCache>
            </c:strRef>
          </c:cat>
          <c:val>
            <c:numRef>
              <c:f>'Figura 12'!$B$25:$B$35</c:f>
              <c:numCache>
                <c:formatCode>#\ ##0,0</c:formatCode>
                <c:ptCount val="11"/>
                <c:pt idx="0">
                  <c:v>7.4</c:v>
                </c:pt>
                <c:pt idx="1">
                  <c:v>4.3</c:v>
                </c:pt>
                <c:pt idx="2">
                  <c:v>8.1</c:v>
                </c:pt>
                <c:pt idx="3">
                  <c:v>6.4</c:v>
                </c:pt>
                <c:pt idx="4">
                  <c:v>4.7</c:v>
                </c:pt>
                <c:pt idx="5">
                  <c:v>4.5</c:v>
                </c:pt>
                <c:pt idx="6">
                  <c:v>2.8</c:v>
                </c:pt>
                <c:pt idx="7">
                  <c:v>3.5</c:v>
                </c:pt>
                <c:pt idx="8">
                  <c:v>3.3</c:v>
                </c:pt>
                <c:pt idx="9">
                  <c:v>2.2999999999999998</c:v>
                </c:pt>
                <c:pt idx="10">
                  <c:v>52.7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631-4CA1-BC5D-E5ED8622194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Ianuarie-</a:t>
            </a:r>
            <a:r>
              <a:rPr lang="ro-RO" sz="8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mai</a:t>
            </a:r>
            <a:r>
              <a:rPr lang="en-US" sz="8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2022</a:t>
            </a:r>
          </a:p>
        </c:rich>
      </c:tx>
      <c:layout>
        <c:manualLayout>
          <c:xMode val="edge"/>
          <c:yMode val="edge"/>
          <c:x val="0.4135781830970599"/>
          <c:y val="1.3177387914230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882035275580353"/>
          <c:y val="0.15046645485103835"/>
          <c:w val="0.53843885501773103"/>
          <c:h val="0.6457217847769030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4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4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4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3D3-4FE3-A741-BA04960B805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tint val="5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D3-4FE3-A741-BA04960B805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tint val="65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65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65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3D3-4FE3-A741-BA04960B805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tint val="77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7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7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3D3-4FE3-A741-BA04960B805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tint val="89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9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9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3D3-4FE3-A741-BA04960B805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tint val="89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9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9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3D3-4FE3-A741-BA04960B8052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8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8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8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3D3-4FE3-A741-BA04960B8052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3D3-4FE3-A741-BA04960B8052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1">
                      <a:shade val="65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65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65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BC0-4D2E-846F-9152AB6E24A1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1">
                      <a:shade val="53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3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3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BC0-4D2E-846F-9152AB6E24A1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1">
                      <a:shade val="41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1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1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1BC0-4D2E-846F-9152AB6E24A1}"/>
              </c:ext>
            </c:extLst>
          </c:dPt>
          <c:dLbls>
            <c:dLbl>
              <c:idx val="0"/>
              <c:layout>
                <c:manualLayout>
                  <c:x val="-0.11946715676081758"/>
                  <c:y val="3.10529385581188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223182946665526"/>
                      <c:h val="0.188907214128800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3D3-4FE3-A741-BA04960B8052}"/>
                </c:ext>
              </c:extLst>
            </c:dLbl>
            <c:dLbl>
              <c:idx val="1"/>
              <c:layout>
                <c:manualLayout>
                  <c:x val="-1.6528920839339468E-2"/>
                  <c:y val="-5.24050283188285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957801650636167"/>
                      <c:h val="0.1783159122653527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3D3-4FE3-A741-BA04960B8052}"/>
                </c:ext>
              </c:extLst>
            </c:dLbl>
            <c:dLbl>
              <c:idx val="2"/>
              <c:layout>
                <c:manualLayout>
                  <c:x val="2.5711654638972372E-2"/>
                  <c:y val="-8.54074381053245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D3-4FE3-A741-BA04960B8052}"/>
                </c:ext>
              </c:extLst>
            </c:dLbl>
            <c:dLbl>
              <c:idx val="3"/>
              <c:layout>
                <c:manualLayout>
                  <c:x val="3.3057841678678937E-2"/>
                  <c:y val="-5.05689858943071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D3-4FE3-A741-BA04960B8052}"/>
                </c:ext>
              </c:extLst>
            </c:dLbl>
            <c:dLbl>
              <c:idx val="4"/>
              <c:layout>
                <c:manualLayout>
                  <c:x val="3.6730935198532153E-3"/>
                  <c:y val="-1.16957529431628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55778499156639"/>
                      <c:h val="0.156602354530245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B3D3-4FE3-A741-BA04960B8052}"/>
                </c:ext>
              </c:extLst>
            </c:dLbl>
            <c:dLbl>
              <c:idx val="5"/>
              <c:layout>
                <c:manualLayout>
                  <c:x val="-9.5500431516183523E-2"/>
                  <c:y val="3.49971604426638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D3-4FE3-A741-BA04960B8052}"/>
                </c:ext>
              </c:extLst>
            </c:dLbl>
            <c:dLbl>
              <c:idx val="6"/>
              <c:layout>
                <c:manualLayout>
                  <c:x val="-0.20569323711178006"/>
                  <c:y val="2.3255821092538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3D3-4FE3-A741-BA04960B8052}"/>
                </c:ext>
              </c:extLst>
            </c:dLbl>
            <c:dLbl>
              <c:idx val="7"/>
              <c:layout>
                <c:manualLayout>
                  <c:x val="-0.26078963990957826"/>
                  <c:y val="-5.06368282912004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3D3-4FE3-A741-BA04960B8052}"/>
                </c:ext>
              </c:extLst>
            </c:dLbl>
            <c:dLbl>
              <c:idx val="8"/>
              <c:layout>
                <c:manualLayout>
                  <c:x val="-0.28650129454855078"/>
                  <c:y val="-0.1551067520068763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BC0-4D2E-846F-9152AB6E24A1}"/>
                </c:ext>
              </c:extLst>
            </c:dLbl>
            <c:dLbl>
              <c:idx val="9"/>
              <c:layout>
                <c:manualLayout>
                  <c:x val="-0.23507798527060578"/>
                  <c:y val="-0.2360715875427851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BC0-4D2E-846F-9152AB6E24A1}"/>
                </c:ext>
              </c:extLst>
            </c:dLbl>
            <c:dLbl>
              <c:idx val="10"/>
              <c:layout>
                <c:manualLayout>
                  <c:x val="2.5711654638972507E-2"/>
                  <c:y val="-7.75194271619527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BC0-4D2E-846F-9152AB6E24A1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'Figura 12'!$A$38:$A$48</c:f>
              <c:strCache>
                <c:ptCount val="11"/>
                <c:pt idx="0">
                  <c:v>Petrol şi produse petroliere </c:v>
                </c:pt>
                <c:pt idx="1">
                  <c:v>Gaz şi produse industriale obţinute din gaz</c:v>
                </c:pt>
                <c:pt idx="2">
                  <c:v>Maşini şi aparate electrice </c:v>
                </c:pt>
                <c:pt idx="3">
                  <c:v>Vehicule rutiere </c:v>
                </c:pt>
                <c:pt idx="4">
                  <c:v>Fire, tesături şi articole textile </c:v>
                </c:pt>
                <c:pt idx="5">
                  <c:v>Produse medicinale şi farmaceutice</c:v>
                </c:pt>
                <c:pt idx="6">
                  <c:v>Maşini şi aparate specializate </c:v>
                </c:pt>
                <c:pt idx="7">
                  <c:v>Maşini şi aparate industriale </c:v>
                </c:pt>
                <c:pt idx="8">
                  <c:v>Legume şi fructe</c:v>
                </c:pt>
                <c:pt idx="9">
                  <c:v>Fier şi oţel</c:v>
                </c:pt>
                <c:pt idx="10">
                  <c:v>Alte mărfuri</c:v>
                </c:pt>
              </c:strCache>
            </c:strRef>
          </c:cat>
          <c:val>
            <c:numRef>
              <c:f>'Figura 12'!$B$38:$B$48</c:f>
              <c:numCache>
                <c:formatCode>#\ ##0,0</c:formatCode>
                <c:ptCount val="11"/>
                <c:pt idx="0">
                  <c:v>13.1</c:v>
                </c:pt>
                <c:pt idx="1">
                  <c:v>11.3</c:v>
                </c:pt>
                <c:pt idx="2">
                  <c:v>6.1</c:v>
                </c:pt>
                <c:pt idx="3">
                  <c:v>5.4</c:v>
                </c:pt>
                <c:pt idx="4">
                  <c:v>3.8</c:v>
                </c:pt>
                <c:pt idx="5">
                  <c:v>3.7</c:v>
                </c:pt>
                <c:pt idx="6">
                  <c:v>3.5</c:v>
                </c:pt>
                <c:pt idx="7">
                  <c:v>2.7</c:v>
                </c:pt>
                <c:pt idx="8">
                  <c:v>2.6</c:v>
                </c:pt>
                <c:pt idx="9">
                  <c:v>2.2999999999999998</c:v>
                </c:pt>
                <c:pt idx="10">
                  <c:v>45.5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3D3-4FE3-A741-BA04960B8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39292310683395E-2"/>
          <c:y val="8.3241273945234451E-2"/>
          <c:w val="0.93642881088462071"/>
          <c:h val="0.70397265640302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'Figura 13'!$B$26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13'!$A$27:$A$32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13'!$B$27:$B$32</c:f>
              <c:numCache>
                <c:formatCode>#\ ##0,0</c:formatCode>
                <c:ptCount val="6"/>
                <c:pt idx="0">
                  <c:v>-127.3</c:v>
                </c:pt>
                <c:pt idx="1">
                  <c:v>-154</c:v>
                </c:pt>
                <c:pt idx="2">
                  <c:v>-138.30000000000001</c:v>
                </c:pt>
                <c:pt idx="3">
                  <c:v>-160.30000000000001</c:v>
                </c:pt>
                <c:pt idx="4">
                  <c:v>-201</c:v>
                </c:pt>
                <c:pt idx="5">
                  <c:v>-290.89999999999998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33-4221-BB37-7103809F1204}"/>
            </c:ext>
          </c:extLst>
        </c:ser>
        <c:ser>
          <c:idx val="2"/>
          <c:order val="1"/>
          <c:tx>
            <c:strRef>
              <c:f>'Figura 13'!$C$26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13'!$A$27:$A$32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13'!$C$27:$C$32</c:f>
              <c:numCache>
                <c:formatCode>#\ ##0,0</c:formatCode>
                <c:ptCount val="6"/>
                <c:pt idx="0">
                  <c:v>-156.1</c:v>
                </c:pt>
                <c:pt idx="1">
                  <c:v>-212.1</c:v>
                </c:pt>
                <c:pt idx="2">
                  <c:v>-217.9</c:v>
                </c:pt>
                <c:pt idx="3">
                  <c:v>-239.5</c:v>
                </c:pt>
                <c:pt idx="4">
                  <c:v>-294.39999999999998</c:v>
                </c:pt>
                <c:pt idx="5">
                  <c:v>-332.5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33-4221-BB37-7103809F1204}"/>
            </c:ext>
          </c:extLst>
        </c:ser>
        <c:ser>
          <c:idx val="3"/>
          <c:order val="2"/>
          <c:tx>
            <c:strRef>
              <c:f>'Figura 13'!$D$26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13'!$A$27:$A$32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13'!$D$27:$D$32</c:f>
              <c:numCache>
                <c:formatCode>#\ ##0,0</c:formatCode>
                <c:ptCount val="6"/>
                <c:pt idx="0">
                  <c:v>-219.1</c:v>
                </c:pt>
                <c:pt idx="1">
                  <c:v>-282</c:v>
                </c:pt>
                <c:pt idx="2">
                  <c:v>-276.60000000000002</c:v>
                </c:pt>
                <c:pt idx="3">
                  <c:v>-290.3</c:v>
                </c:pt>
                <c:pt idx="4">
                  <c:v>-370.8</c:v>
                </c:pt>
                <c:pt idx="5">
                  <c:v>-351.5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33-4221-BB37-7103809F1204}"/>
            </c:ext>
          </c:extLst>
        </c:ser>
        <c:ser>
          <c:idx val="4"/>
          <c:order val="3"/>
          <c:tx>
            <c:strRef>
              <c:f>'Figura 13'!$E$26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13'!$A$27:$A$32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13'!$E$27:$E$32</c:f>
              <c:numCache>
                <c:formatCode>#\ ##0,0</c:formatCode>
                <c:ptCount val="6"/>
                <c:pt idx="0">
                  <c:v>-207.3</c:v>
                </c:pt>
                <c:pt idx="1">
                  <c:v>-244.9</c:v>
                </c:pt>
                <c:pt idx="2">
                  <c:v>-300</c:v>
                </c:pt>
                <c:pt idx="3">
                  <c:v>-135.80000000000001</c:v>
                </c:pt>
                <c:pt idx="4">
                  <c:v>-344</c:v>
                </c:pt>
                <c:pt idx="5">
                  <c:v>-374.5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33-4221-BB37-7103809F1204}"/>
            </c:ext>
          </c:extLst>
        </c:ser>
        <c:ser>
          <c:idx val="5"/>
          <c:order val="4"/>
          <c:tx>
            <c:strRef>
              <c:f>'Figura 13'!$F$26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13'!$A$27:$A$32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13'!$F$27:$F$32</c:f>
              <c:numCache>
                <c:formatCode>#\ ##0,0</c:formatCode>
                <c:ptCount val="6"/>
                <c:pt idx="0">
                  <c:v>-225.7</c:v>
                </c:pt>
                <c:pt idx="1">
                  <c:v>-282.60000000000002</c:v>
                </c:pt>
                <c:pt idx="2">
                  <c:v>-271.10000000000002</c:v>
                </c:pt>
                <c:pt idx="3">
                  <c:v>-173.7</c:v>
                </c:pt>
                <c:pt idx="4">
                  <c:v>-361.7</c:v>
                </c:pt>
                <c:pt idx="5">
                  <c:v>-356.5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33-4221-BB37-7103809F1204}"/>
            </c:ext>
          </c:extLst>
        </c:ser>
        <c:ser>
          <c:idx val="6"/>
          <c:order val="5"/>
          <c:tx>
            <c:strRef>
              <c:f>'Figura 13'!$G$26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13'!$A$27:$A$32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13'!$G$27:$G$32</c:f>
              <c:numCache>
                <c:formatCode>#\ ##0,0</c:formatCode>
                <c:ptCount val="6"/>
                <c:pt idx="0">
                  <c:v>-217.7</c:v>
                </c:pt>
                <c:pt idx="1">
                  <c:v>-244.6</c:v>
                </c:pt>
                <c:pt idx="2">
                  <c:v>-243.2</c:v>
                </c:pt>
                <c:pt idx="3">
                  <c:v>-223.9</c:v>
                </c:pt>
                <c:pt idx="4">
                  <c:v>-362.8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33-4221-BB37-7103809F1204}"/>
            </c:ext>
          </c:extLst>
        </c:ser>
        <c:ser>
          <c:idx val="7"/>
          <c:order val="6"/>
          <c:tx>
            <c:strRef>
              <c:f>'Figura 13'!$H$26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13'!$A$27:$A$32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13'!$H$27:$H$32</c:f>
              <c:numCache>
                <c:formatCode>#\ ##0,0</c:formatCode>
                <c:ptCount val="6"/>
                <c:pt idx="0">
                  <c:v>-205.3</c:v>
                </c:pt>
                <c:pt idx="1">
                  <c:v>-269.2</c:v>
                </c:pt>
                <c:pt idx="2">
                  <c:v>-278.89999999999998</c:v>
                </c:pt>
                <c:pt idx="3">
                  <c:v>-305.5</c:v>
                </c:pt>
                <c:pt idx="4">
                  <c:v>-321.3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733-4221-BB37-7103809F1204}"/>
            </c:ext>
          </c:extLst>
        </c:ser>
        <c:ser>
          <c:idx val="8"/>
          <c:order val="7"/>
          <c:tx>
            <c:strRef>
              <c:f>'Figura 13'!$I$26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13'!$A$27:$A$32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13'!$I$27:$I$32</c:f>
              <c:numCache>
                <c:formatCode>#\ ##0,0</c:formatCode>
                <c:ptCount val="6"/>
                <c:pt idx="0">
                  <c:v>-221.8</c:v>
                </c:pt>
                <c:pt idx="1">
                  <c:v>-262.10000000000002</c:v>
                </c:pt>
                <c:pt idx="2">
                  <c:v>-258.5</c:v>
                </c:pt>
                <c:pt idx="3">
                  <c:v>-269.7</c:v>
                </c:pt>
                <c:pt idx="4">
                  <c:v>-338.6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33-4221-BB37-7103809F1204}"/>
            </c:ext>
          </c:extLst>
        </c:ser>
        <c:ser>
          <c:idx val="9"/>
          <c:order val="8"/>
          <c:tx>
            <c:strRef>
              <c:f>'Figura 13'!$J$26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13'!$A$27:$A$32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13'!$J$27:$J$32</c:f>
              <c:numCache>
                <c:formatCode>#\ ##0,0</c:formatCode>
                <c:ptCount val="6"/>
                <c:pt idx="0">
                  <c:v>-206.9</c:v>
                </c:pt>
                <c:pt idx="1">
                  <c:v>-266.7</c:v>
                </c:pt>
                <c:pt idx="2">
                  <c:v>-262.89999999999998</c:v>
                </c:pt>
                <c:pt idx="3">
                  <c:v>-296</c:v>
                </c:pt>
                <c:pt idx="4">
                  <c:v>-376.3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733-4221-BB37-7103809F1204}"/>
            </c:ext>
          </c:extLst>
        </c:ser>
        <c:ser>
          <c:idx val="10"/>
          <c:order val="9"/>
          <c:tx>
            <c:strRef>
              <c:f>'Figura 13'!$K$26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13'!$A$27:$A$32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13'!$K$27:$K$32</c:f>
              <c:numCache>
                <c:formatCode>#\ ##0,0</c:formatCode>
                <c:ptCount val="6"/>
                <c:pt idx="0">
                  <c:v>-197.7</c:v>
                </c:pt>
                <c:pt idx="1">
                  <c:v>-281.60000000000002</c:v>
                </c:pt>
                <c:pt idx="2">
                  <c:v>-257</c:v>
                </c:pt>
                <c:pt idx="3">
                  <c:v>-244.2</c:v>
                </c:pt>
                <c:pt idx="4">
                  <c:v>-294.5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733-4221-BB37-7103809F1204}"/>
            </c:ext>
          </c:extLst>
        </c:ser>
        <c:ser>
          <c:idx val="11"/>
          <c:order val="10"/>
          <c:tx>
            <c:strRef>
              <c:f>'Figura 13'!$L$26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13'!$A$27:$A$32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13'!$L$27:$L$32</c:f>
              <c:numCache>
                <c:formatCode>#\ ##0,0</c:formatCode>
                <c:ptCount val="6"/>
                <c:pt idx="0">
                  <c:v>-183.2</c:v>
                </c:pt>
                <c:pt idx="1">
                  <c:v>-253.70000000000005</c:v>
                </c:pt>
                <c:pt idx="2">
                  <c:v>-237.5</c:v>
                </c:pt>
                <c:pt idx="3">
                  <c:v>-260.89999999999998</c:v>
                </c:pt>
                <c:pt idx="4">
                  <c:v>-337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733-4221-BB37-7103809F1204}"/>
            </c:ext>
          </c:extLst>
        </c:ser>
        <c:ser>
          <c:idx val="12"/>
          <c:order val="11"/>
          <c:tx>
            <c:strRef>
              <c:f>'Figura 13'!$M$26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13'!$A$27:$A$32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13'!$M$27:$M$32</c:f>
              <c:numCache>
                <c:formatCode>#\ ##0,0</c:formatCode>
                <c:ptCount val="6"/>
                <c:pt idx="0">
                  <c:v>-238.3</c:v>
                </c:pt>
                <c:pt idx="1">
                  <c:v>-300.49999999999994</c:v>
                </c:pt>
                <c:pt idx="2">
                  <c:v>-321.39999999999998</c:v>
                </c:pt>
                <c:pt idx="3">
                  <c:v>-349</c:v>
                </c:pt>
                <c:pt idx="4">
                  <c:v>-429.2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B1-46B9-BC71-3BBF0CA16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49016032"/>
        <c:axId val="249016592"/>
      </c:barChart>
      <c:catAx>
        <c:axId val="24901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22225" cap="flat" cmpd="sng" algn="ctr">
            <a:gradFill>
              <a:gsLst>
                <a:gs pos="0">
                  <a:schemeClr val="tx1">
                    <a:alpha val="98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9016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9016592"/>
        <c:scaling>
          <c:orientation val="minMax"/>
          <c:min val="-45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 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9016032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egendEntry>
        <c:idx val="7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0.9095502632723057"/>
          <c:w val="1"/>
          <c:h val="7.3858659458612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62778414308116E-2"/>
          <c:y val="6.8799149302478671E-2"/>
          <c:w val="0.90019805713940926"/>
          <c:h val="0.68655340911967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14'!$B$26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8.2299310109456136E-3"/>
                  <c:y val="1.2861690911028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13-450B-8629-87951D3C5A06}"/>
                </c:ext>
              </c:extLst>
            </c:dLbl>
            <c:dLbl>
              <c:idx val="1"/>
              <c:layout>
                <c:manualLayout>
                  <c:x val="-1.8787287811933725E-2"/>
                  <c:y val="8.78422025276465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13-450B-8629-87951D3C5A06}"/>
                </c:ext>
              </c:extLst>
            </c:dLbl>
            <c:dLbl>
              <c:idx val="2"/>
              <c:layout>
                <c:manualLayout>
                  <c:x val="-1.4421873301340364E-2"/>
                  <c:y val="4.55424577066763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13-450B-8629-87951D3C5A06}"/>
                </c:ext>
              </c:extLst>
            </c:dLbl>
            <c:dLbl>
              <c:idx val="3"/>
              <c:layout>
                <c:manualLayout>
                  <c:x val="-1.4134246532792941E-2"/>
                  <c:y val="8.57456762757984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13-450B-8629-87951D3C5A06}"/>
                </c:ext>
              </c:extLst>
            </c:dLbl>
            <c:dLbl>
              <c:idx val="4"/>
              <c:layout>
                <c:manualLayout>
                  <c:x val="-1.4030049649366584E-2"/>
                  <c:y val="8.15494131652851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13-450B-8629-87951D3C5A06}"/>
                </c:ext>
              </c:extLst>
            </c:dLbl>
            <c:dLbl>
              <c:idx val="5"/>
              <c:layout>
                <c:manualLayout>
                  <c:x val="-1.6289867791293891E-2"/>
                  <c:y val="4.28712328344902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13-450B-8629-87951D3C5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14'!$A$27:$A$32</c:f>
              <c:strCache>
                <c:ptCount val="6"/>
                <c:pt idx="0">
                  <c:v>Ianuarie-mai 2017</c:v>
                </c:pt>
                <c:pt idx="1">
                  <c:v>Ianuarie-mai 2018</c:v>
                </c:pt>
                <c:pt idx="2">
                  <c:v>Ianuarie-mai 2019</c:v>
                </c:pt>
                <c:pt idx="3">
                  <c:v>Ianuarie-mai 2020</c:v>
                </c:pt>
                <c:pt idx="4">
                  <c:v>Ianuarie-mai 2021</c:v>
                </c:pt>
                <c:pt idx="5">
                  <c:v>Ianuarie-mai 2022</c:v>
                </c:pt>
              </c:strCache>
            </c:strRef>
          </c:cat>
          <c:val>
            <c:numRef>
              <c:f>'Figura 14'!$B$27:$B$32</c:f>
              <c:numCache>
                <c:formatCode>0,0</c:formatCode>
                <c:ptCount val="6"/>
                <c:pt idx="0">
                  <c:v>857.1</c:v>
                </c:pt>
                <c:pt idx="1">
                  <c:v>1100.7</c:v>
                </c:pt>
                <c:pt idx="2">
                  <c:v>1159</c:v>
                </c:pt>
                <c:pt idx="3">
                  <c:v>980.6</c:v>
                </c:pt>
                <c:pt idx="4">
                  <c:v>1104.7</c:v>
                </c:pt>
                <c:pt idx="5">
                  <c:v>1875.2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2C-4A3E-9B06-2ADBC8010143}"/>
            </c:ext>
          </c:extLst>
        </c:ser>
        <c:ser>
          <c:idx val="1"/>
          <c:order val="1"/>
          <c:tx>
            <c:strRef>
              <c:f>'Figura 14'!$C$26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1905333867164703E-3"/>
                  <c:y val="8.06440995518642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2C-4A3E-9B06-2ADBC8010143}"/>
                </c:ext>
              </c:extLst>
            </c:dLbl>
            <c:dLbl>
              <c:idx val="1"/>
              <c:layout>
                <c:manualLayout>
                  <c:x val="2.6707724999212147E-3"/>
                  <c:y val="6.77705006500351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D2C-4A3E-9B06-2ADBC8010143}"/>
                </c:ext>
              </c:extLst>
            </c:dLbl>
            <c:dLbl>
              <c:idx val="2"/>
              <c:layout>
                <c:manualLayout>
                  <c:x val="6.7796610169491523E-3"/>
                  <c:y val="7.5543290207694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D2C-4A3E-9B06-2ADBC8010143}"/>
                </c:ext>
              </c:extLst>
            </c:dLbl>
            <c:dLbl>
              <c:idx val="3"/>
              <c:layout>
                <c:manualLayout>
                  <c:x val="2.5473295128049822E-3"/>
                  <c:y val="8.36459394171332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13-450B-8629-87951D3C5A06}"/>
                </c:ext>
              </c:extLst>
            </c:dLbl>
            <c:dLbl>
              <c:idx val="4"/>
              <c:layout>
                <c:manualLayout>
                  <c:x val="0"/>
                  <c:y val="8.5744908896034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13-450B-8629-87951D3C5A06}"/>
                </c:ext>
              </c:extLst>
            </c:dLbl>
            <c:dLbl>
              <c:idx val="5"/>
              <c:layout>
                <c:manualLayout>
                  <c:x val="2.2598290136545966E-3"/>
                  <c:y val="4.5543372498998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13-450B-8629-87951D3C5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14'!$A$27:$A$32</c:f>
              <c:strCache>
                <c:ptCount val="6"/>
                <c:pt idx="0">
                  <c:v>Ianuarie-mai 2017</c:v>
                </c:pt>
                <c:pt idx="1">
                  <c:v>Ianuarie-mai 2018</c:v>
                </c:pt>
                <c:pt idx="2">
                  <c:v>Ianuarie-mai 2019</c:v>
                </c:pt>
                <c:pt idx="3">
                  <c:v>Ianuarie-mai 2020</c:v>
                </c:pt>
                <c:pt idx="4">
                  <c:v>Ianuarie-mai 2021</c:v>
                </c:pt>
                <c:pt idx="5">
                  <c:v>Ianuarie-mai 2022</c:v>
                </c:pt>
              </c:strCache>
            </c:strRef>
          </c:cat>
          <c:val>
            <c:numRef>
              <c:f>'Figura 14'!$C$27:$C$32</c:f>
              <c:numCache>
                <c:formatCode>0,0</c:formatCode>
                <c:ptCount val="6"/>
                <c:pt idx="0">
                  <c:v>1792.6</c:v>
                </c:pt>
                <c:pt idx="1">
                  <c:v>2276.1999999999998</c:v>
                </c:pt>
                <c:pt idx="2">
                  <c:v>2362.8000000000002</c:v>
                </c:pt>
                <c:pt idx="3">
                  <c:v>1980.1</c:v>
                </c:pt>
                <c:pt idx="4">
                  <c:v>2676.5</c:v>
                </c:pt>
                <c:pt idx="5">
                  <c:v>3581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D2C-4A3E-9B06-2ADBC8010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248762544"/>
        <c:axId val="248763104"/>
      </c:barChart>
      <c:lineChart>
        <c:grouping val="standard"/>
        <c:varyColors val="0"/>
        <c:ser>
          <c:idx val="2"/>
          <c:order val="2"/>
          <c:tx>
            <c:strRef>
              <c:f>'Figura 14'!$D$26</c:f>
              <c:strCache>
                <c:ptCount val="1"/>
                <c:pt idx="0">
                  <c:v>Balanţa Comercială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7939023101988433E-2"/>
                  <c:y val="-2.5593994367311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D2C-4A3E-9B06-2ADBC8010143}"/>
                </c:ext>
              </c:extLst>
            </c:dLbl>
            <c:dLbl>
              <c:idx val="1"/>
              <c:layout>
                <c:manualLayout>
                  <c:x val="-5.369853639650108E-2"/>
                  <c:y val="4.186392588776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D2C-4A3E-9B06-2ADBC8010143}"/>
                </c:ext>
              </c:extLst>
            </c:dLbl>
            <c:dLbl>
              <c:idx val="2"/>
              <c:layout>
                <c:manualLayout>
                  <c:x val="-4.6674860325135174E-2"/>
                  <c:y val="-2.9605645088756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D2C-4A3E-9B06-2ADBC8010143}"/>
                </c:ext>
              </c:extLst>
            </c:dLbl>
            <c:dLbl>
              <c:idx val="3"/>
              <c:layout>
                <c:manualLayout>
                  <c:x val="-4.6930379465278706E-2"/>
                  <c:y val="3.8082554793191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D2C-4A3E-9B06-2ADBC8010143}"/>
                </c:ext>
              </c:extLst>
            </c:dLbl>
            <c:dLbl>
              <c:idx val="4"/>
              <c:layout>
                <c:manualLayout>
                  <c:x val="-3.9005712521228961E-2"/>
                  <c:y val="-3.4431510693247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13-450B-8629-87951D3C5A06}"/>
                </c:ext>
              </c:extLst>
            </c:dLbl>
            <c:dLbl>
              <c:idx val="5"/>
              <c:layout>
                <c:manualLayout>
                  <c:x val="-6.7254629191934199E-3"/>
                  <c:y val="-5.2221976925780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13-450B-8629-87951D3C5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14'!$A$27:$A$32</c:f>
              <c:strCache>
                <c:ptCount val="6"/>
                <c:pt idx="0">
                  <c:v>Ianuarie-mai 2017</c:v>
                </c:pt>
                <c:pt idx="1">
                  <c:v>Ianuarie-mai 2018</c:v>
                </c:pt>
                <c:pt idx="2">
                  <c:v>Ianuarie-mai 2019</c:v>
                </c:pt>
                <c:pt idx="3">
                  <c:v>Ianuarie-mai 2020</c:v>
                </c:pt>
                <c:pt idx="4">
                  <c:v>Ianuarie-mai 2021</c:v>
                </c:pt>
                <c:pt idx="5">
                  <c:v>Ianuarie-mai 2022</c:v>
                </c:pt>
              </c:strCache>
            </c:strRef>
          </c:cat>
          <c:val>
            <c:numRef>
              <c:f>'Figura 14'!$D$27:$D$32</c:f>
              <c:numCache>
                <c:formatCode>0,0</c:formatCode>
                <c:ptCount val="6"/>
                <c:pt idx="0">
                  <c:v>-935.5</c:v>
                </c:pt>
                <c:pt idx="1">
                  <c:v>-1175.5</c:v>
                </c:pt>
                <c:pt idx="2">
                  <c:v>-1203.8</c:v>
                </c:pt>
                <c:pt idx="3">
                  <c:v>-999.5</c:v>
                </c:pt>
                <c:pt idx="4">
                  <c:v>-1571.8</c:v>
                </c:pt>
                <c:pt idx="5">
                  <c:v>-1705.8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D2C-4A3E-9B06-2ADBC8010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762544"/>
        <c:axId val="248763104"/>
      </c:lineChart>
      <c:catAx>
        <c:axId val="24876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8763104"/>
        <c:crosses val="autoZero"/>
        <c:auto val="1"/>
        <c:lblAlgn val="ctr"/>
        <c:lblOffset val="100"/>
        <c:noMultiLvlLbl val="0"/>
      </c:catAx>
      <c:valAx>
        <c:axId val="248763104"/>
        <c:scaling>
          <c:orientation val="minMax"/>
          <c:max val="4000"/>
          <c:min val="-25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8762544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724427456859489E-2"/>
          <c:y val="0.9276522267513988"/>
          <c:w val="0.8834227501223364"/>
          <c:h val="6.80605278037994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41113525967635E-2"/>
          <c:y val="4.4273352655097381E-2"/>
          <c:w val="0.93781012101994043"/>
          <c:h val="0.72318734360739945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2'!$A$22</c:f>
              <c:strCache>
                <c:ptCount val="1"/>
                <c:pt idx="0">
                  <c:v>În % faţă de luna precedentă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077560968545884E-2"/>
                  <c:y val="-2.8498508359435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9D-446E-B46D-AAA2B51203E9}"/>
                </c:ext>
              </c:extLst>
            </c:dLbl>
            <c:dLbl>
              <c:idx val="1"/>
              <c:layout>
                <c:manualLayout>
                  <c:x val="-3.1755727136049801E-2"/>
                  <c:y val="-2.7527094737220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9D-446E-B46D-AAA2B51203E9}"/>
                </c:ext>
              </c:extLst>
            </c:dLbl>
            <c:dLbl>
              <c:idx val="2"/>
              <c:layout>
                <c:manualLayout>
                  <c:x val="-1.4682873378691742E-2"/>
                  <c:y val="-2.8295952215008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9D-446E-B46D-AAA2B51203E9}"/>
                </c:ext>
              </c:extLst>
            </c:dLbl>
            <c:dLbl>
              <c:idx val="3"/>
              <c:layout>
                <c:manualLayout>
                  <c:x val="-2.4678663239074552E-2"/>
                  <c:y val="-3.2020401466179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9D-446E-B46D-AAA2B51203E9}"/>
                </c:ext>
              </c:extLst>
            </c:dLbl>
            <c:dLbl>
              <c:idx val="4"/>
              <c:layout>
                <c:manualLayout>
                  <c:x val="-4.931759108052014E-2"/>
                  <c:y val="-1.7527668170812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9D-446E-B46D-AAA2B51203E9}"/>
                </c:ext>
              </c:extLst>
            </c:dLbl>
            <c:dLbl>
              <c:idx val="5"/>
              <c:layout>
                <c:manualLayout>
                  <c:x val="-3.4018498665006183E-2"/>
                  <c:y val="-3.2020417659358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9D-446E-B46D-AAA2B51203E9}"/>
                </c:ext>
              </c:extLst>
            </c:dLbl>
            <c:dLbl>
              <c:idx val="6"/>
              <c:layout>
                <c:manualLayout>
                  <c:x val="-1.8209170835765551E-2"/>
                  <c:y val="-2.47740429150853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A9D-446E-B46D-AAA2B51203E9}"/>
                </c:ext>
              </c:extLst>
            </c:dLbl>
            <c:dLbl>
              <c:idx val="7"/>
              <c:layout>
                <c:manualLayout>
                  <c:x val="-2.9820051413881749E-2"/>
                  <c:y val="3.12942913255936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9D-446E-B46D-AAA2B51203E9}"/>
                </c:ext>
              </c:extLst>
            </c:dLbl>
            <c:dLbl>
              <c:idx val="8"/>
              <c:layout>
                <c:manualLayout>
                  <c:x val="-3.1919519057547113E-2"/>
                  <c:y val="-3.2020401466179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A9D-446E-B46D-AAA2B51203E9}"/>
                </c:ext>
              </c:extLst>
            </c:dLbl>
            <c:dLbl>
              <c:idx val="9"/>
              <c:layout>
                <c:manualLayout>
                  <c:x val="-2.1636742707932716E-2"/>
                  <c:y val="-2.8296007772545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A9D-446E-B46D-AAA2B51203E9}"/>
                </c:ext>
              </c:extLst>
            </c:dLbl>
            <c:dLbl>
              <c:idx val="10"/>
              <c:layout>
                <c:manualLayout>
                  <c:x val="-2.32872777695242E-2"/>
                  <c:y val="-3.61607334294481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A9D-446E-B46D-AAA2B51203E9}"/>
                </c:ext>
              </c:extLst>
            </c:dLbl>
            <c:dLbl>
              <c:idx val="11"/>
              <c:layout>
                <c:manualLayout>
                  <c:x val="-2.9820051413881873E-2"/>
                  <c:y val="3.5018685019227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A9D-446E-B46D-AAA2B51203E9}"/>
                </c:ext>
              </c:extLst>
            </c:dLbl>
            <c:dLbl>
              <c:idx val="12"/>
              <c:layout>
                <c:manualLayout>
                  <c:x val="-2.677771494290852E-2"/>
                  <c:y val="-1.9240773817010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A9D-446E-B46D-AAA2B51203E9}"/>
                </c:ext>
              </c:extLst>
            </c:dLbl>
            <c:dLbl>
              <c:idx val="13"/>
              <c:layout>
                <c:manualLayout>
                  <c:x val="-5.0997029784991307E-2"/>
                  <c:y val="-1.028129342653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A9D-446E-B46D-AAA2B51203E9}"/>
                </c:ext>
              </c:extLst>
            </c:dLbl>
            <c:dLbl>
              <c:idx val="14"/>
              <c:layout>
                <c:manualLayout>
                  <c:x val="-1.1353966358318321E-2"/>
                  <c:y val="1.49914177652406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A9D-446E-B46D-AAA2B51203E9}"/>
                </c:ext>
              </c:extLst>
            </c:dLbl>
            <c:dLbl>
              <c:idx val="15"/>
              <c:layout>
                <c:manualLayout>
                  <c:x val="-2.6392477639324209E-2"/>
                  <c:y val="2.7772444433286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A9D-446E-B46D-AAA2B51203E9}"/>
                </c:ext>
              </c:extLst>
            </c:dLbl>
            <c:dLbl>
              <c:idx val="16"/>
              <c:layout>
                <c:manualLayout>
                  <c:x val="-3.9467805524443011E-2"/>
                  <c:y val="-2.3256012993263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A9D-446E-B46D-AAA2B51203E9}"/>
                </c:ext>
              </c:extLst>
            </c:dLbl>
            <c:dLbl>
              <c:idx val="17"/>
              <c:layout>
                <c:manualLayout>
                  <c:x val="-7.048182303171076E-3"/>
                  <c:y val="-4.836241915941482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A9D-446E-B46D-AAA2B51203E9}"/>
                </c:ext>
              </c:extLst>
            </c:dLbl>
            <c:dLbl>
              <c:idx val="18"/>
              <c:layout>
                <c:manualLayout>
                  <c:x val="-3.5302427271094415E-2"/>
                  <c:y val="2.2934776065623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A9D-446E-B46D-AAA2B51203E9}"/>
                </c:ext>
              </c:extLst>
            </c:dLbl>
            <c:dLbl>
              <c:idx val="19"/>
              <c:layout>
                <c:manualLayout>
                  <c:x val="-1.6581449169753525E-2"/>
                  <c:y val="2.6891182559858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A9D-446E-B46D-AAA2B51203E9}"/>
                </c:ext>
              </c:extLst>
            </c:dLbl>
            <c:dLbl>
              <c:idx val="20"/>
              <c:layout>
                <c:manualLayout>
                  <c:x val="-4.5392433603957109E-2"/>
                  <c:y val="5.745000184836050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A9D-446E-B46D-AAA2B51203E9}"/>
                </c:ext>
              </c:extLst>
            </c:dLbl>
            <c:dLbl>
              <c:idx val="21"/>
              <c:layout>
                <c:manualLayout>
                  <c:x val="-5.496138731826113E-3"/>
                  <c:y val="-1.0737939447709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A9D-446E-B46D-AAA2B51203E9}"/>
                </c:ext>
              </c:extLst>
            </c:dLbl>
            <c:dLbl>
              <c:idx val="22"/>
              <c:layout>
                <c:manualLayout>
                  <c:x val="-4.9876922987290184E-2"/>
                  <c:y val="2.15183172525969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2302229189677085E-2"/>
                      <c:h val="5.531980333444234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6-2A9D-446E-B46D-AAA2B51203E9}"/>
                </c:ext>
              </c:extLst>
            </c:dLbl>
            <c:dLbl>
              <c:idx val="23"/>
              <c:layout>
                <c:manualLayout>
                  <c:x val="-2.5044205767286859E-2"/>
                  <c:y val="3.0443828324276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A9D-446E-B46D-AAA2B51203E9}"/>
                </c:ext>
              </c:extLst>
            </c:dLbl>
            <c:dLbl>
              <c:idx val="24"/>
              <c:layout>
                <c:manualLayout>
                  <c:x val="-3.1927429715014811E-2"/>
                  <c:y val="-2.8535137333185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A9D-446E-B46D-AAA2B51203E9}"/>
                </c:ext>
              </c:extLst>
            </c:dLbl>
            <c:dLbl>
              <c:idx val="25"/>
              <c:layout>
                <c:manualLayout>
                  <c:x val="-2.5157232704402517E-2"/>
                  <c:y val="3.1558759380429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A9D-446E-B46D-AAA2B51203E9}"/>
                </c:ext>
              </c:extLst>
            </c:dLbl>
            <c:dLbl>
              <c:idx val="26"/>
              <c:layout>
                <c:manualLayout>
                  <c:x val="-2.6637069922308437E-2"/>
                  <c:y val="-3.2291005877786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A9D-446E-B46D-AAA2B51203E9}"/>
                </c:ext>
              </c:extLst>
            </c:dLbl>
            <c:dLbl>
              <c:idx val="27"/>
              <c:layout>
                <c:manualLayout>
                  <c:x val="-1.4798372179060411E-2"/>
                  <c:y val="2.40470222912277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A9D-446E-B46D-AAA2B51203E9}"/>
                </c:ext>
              </c:extLst>
            </c:dLbl>
            <c:dLbl>
              <c:idx val="28"/>
              <c:layout>
                <c:manualLayout>
                  <c:x val="0"/>
                  <c:y val="-3.604687442238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A9D-446E-B46D-AAA2B51203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2'!$N$20:$AP$21</c:f>
              <c:multiLvlStrCache>
                <c:ptCount val="2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'Figura 2'!$N$22:$AP$22</c:f>
              <c:numCache>
                <c:formatCode>#\ ##0,0</c:formatCode>
                <c:ptCount val="29"/>
                <c:pt idx="0">
                  <c:v>100.54069338788538</c:v>
                </c:pt>
                <c:pt idx="1">
                  <c:v>111.77933359663091</c:v>
                </c:pt>
                <c:pt idx="2">
                  <c:v>85.694935103741471</c:v>
                </c:pt>
                <c:pt idx="3">
                  <c:v>71.283537880135214</c:v>
                </c:pt>
                <c:pt idx="4">
                  <c:v>103.90424682350312</c:v>
                </c:pt>
                <c:pt idx="5">
                  <c:v>121.75061963317823</c:v>
                </c:pt>
                <c:pt idx="6">
                  <c:v>100.8184202333199</c:v>
                </c:pt>
                <c:pt idx="7">
                  <c:v>78.376764810035453</c:v>
                </c:pt>
                <c:pt idx="8">
                  <c:v>129.49769232961904</c:v>
                </c:pt>
                <c:pt idx="9">
                  <c:v>117.47585360993436</c:v>
                </c:pt>
                <c:pt idx="10">
                  <c:v>105.08585699580438</c:v>
                </c:pt>
                <c:pt idx="11">
                  <c:v>83.287463510424814</c:v>
                </c:pt>
                <c:pt idx="12">
                  <c:v>90.925213233797848</c:v>
                </c:pt>
                <c:pt idx="13">
                  <c:v>114.41147354263464</c:v>
                </c:pt>
                <c:pt idx="14">
                  <c:v>114.20579997969134</c:v>
                </c:pt>
                <c:pt idx="15">
                  <c:v>84.167356355788357</c:v>
                </c:pt>
                <c:pt idx="16">
                  <c:v>92.421884276527052</c:v>
                </c:pt>
                <c:pt idx="17">
                  <c:v>112.45124175218632</c:v>
                </c:pt>
                <c:pt idx="18">
                  <c:v>106.13290668113962</c:v>
                </c:pt>
                <c:pt idx="19">
                  <c:v>98.163759117159898</c:v>
                </c:pt>
                <c:pt idx="20">
                  <c:v>124.79747973247373</c:v>
                </c:pt>
                <c:pt idx="21">
                  <c:v>119.44752327758337</c:v>
                </c:pt>
                <c:pt idx="22">
                  <c:v>103.29810746017232</c:v>
                </c:pt>
                <c:pt idx="23">
                  <c:v>89.310814590947814</c:v>
                </c:pt>
                <c:pt idx="24">
                  <c:v>101.65548055101389</c:v>
                </c:pt>
                <c:pt idx="25">
                  <c:v>101.89897918896213</c:v>
                </c:pt>
                <c:pt idx="26">
                  <c:v>117.60123789264428</c:v>
                </c:pt>
                <c:pt idx="27">
                  <c:v>100.1282722557787</c:v>
                </c:pt>
                <c:pt idx="28">
                  <c:v>104.98638136927103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2D8C-45EE-B332-341AC82C0A62}"/>
            </c:ext>
          </c:extLst>
        </c:ser>
        <c:ser>
          <c:idx val="1"/>
          <c:order val="1"/>
          <c:tx>
            <c:strRef>
              <c:f>'Figura 2'!$A$23</c:f>
              <c:strCache>
                <c:ptCount val="1"/>
                <c:pt idx="0">
                  <c:v>În % faţă de luna corespunzătoare din anul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514662914638445E-2"/>
                  <c:y val="3.1294369893904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2A9D-446E-B46D-AAA2B51203E9}"/>
                </c:ext>
              </c:extLst>
            </c:dLbl>
            <c:dLbl>
              <c:idx val="1"/>
              <c:layout>
                <c:manualLayout>
                  <c:x val="-1.7438809246436312E-2"/>
                  <c:y val="-2.38631108458545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2A9D-446E-B46D-AAA2B51203E9}"/>
                </c:ext>
              </c:extLst>
            </c:dLbl>
            <c:dLbl>
              <c:idx val="2"/>
              <c:layout>
                <c:manualLayout>
                  <c:x val="-4.1816615242648299E-2"/>
                  <c:y val="2.40479789889367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2A9D-446E-B46D-AAA2B51203E9}"/>
                </c:ext>
              </c:extLst>
            </c:dLbl>
            <c:dLbl>
              <c:idx val="3"/>
              <c:layout>
                <c:manualLayout>
                  <c:x val="-2.8106255355612682E-2"/>
                  <c:y val="2.7569897631960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2A9D-446E-B46D-AAA2B51203E9}"/>
                </c:ext>
              </c:extLst>
            </c:dLbl>
            <c:dLbl>
              <c:idx val="4"/>
              <c:layout>
                <c:manualLayout>
                  <c:x val="-1.6109682712391847E-2"/>
                  <c:y val="2.7367617434777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2A9D-446E-B46D-AAA2B51203E9}"/>
                </c:ext>
              </c:extLst>
            </c:dLbl>
            <c:dLbl>
              <c:idx val="5"/>
              <c:layout>
                <c:manualLayout>
                  <c:x val="-2.84913945704427E-2"/>
                  <c:y val="-2.1150855542948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2A9D-446E-B46D-AAA2B51203E9}"/>
                </c:ext>
              </c:extLst>
            </c:dLbl>
            <c:dLbl>
              <c:idx val="6"/>
              <c:layout>
                <c:manualLayout>
                  <c:x val="-3.1405436148746323E-2"/>
                  <c:y val="2.7772444433286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2A9D-446E-B46D-AAA2B51203E9}"/>
                </c:ext>
              </c:extLst>
            </c:dLbl>
            <c:dLbl>
              <c:idx val="7"/>
              <c:layout>
                <c:manualLayout>
                  <c:x val="-2.8106255355612682E-2"/>
                  <c:y val="-3.94691888534468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2A9D-446E-B46D-AAA2B51203E9}"/>
                </c:ext>
              </c:extLst>
            </c:dLbl>
            <c:dLbl>
              <c:idx val="8"/>
              <c:layout>
                <c:manualLayout>
                  <c:x val="-1.7823479005998413E-2"/>
                  <c:y val="2.7569897631960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2A9D-446E-B46D-AAA2B51203E9}"/>
                </c:ext>
              </c:extLst>
            </c:dLbl>
            <c:dLbl>
              <c:idx val="9"/>
              <c:layout>
                <c:manualLayout>
                  <c:x val="-3.1174309989490764E-2"/>
                  <c:y val="-2.8295952215008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2A9D-446E-B46D-AAA2B51203E9}"/>
                </c:ext>
              </c:extLst>
            </c:dLbl>
            <c:dLbl>
              <c:idx val="10"/>
              <c:layout>
                <c:manualLayout>
                  <c:x val="-2.6392459297343615E-2"/>
                  <c:y val="2.7569897631960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2A9D-446E-B46D-AAA2B51203E9}"/>
                </c:ext>
              </c:extLst>
            </c:dLbl>
            <c:dLbl>
              <c:idx val="11"/>
              <c:layout>
                <c:manualLayout>
                  <c:x val="-1.9849304140728028E-2"/>
                  <c:y val="-2.4571625032493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2A9D-446E-B46D-AAA2B51203E9}"/>
                </c:ext>
              </c:extLst>
            </c:dLbl>
            <c:dLbl>
              <c:idx val="12"/>
              <c:layout>
                <c:manualLayout>
                  <c:x val="-2.6777649002737016E-2"/>
                  <c:y val="2.7569888288859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2A9D-446E-B46D-AAA2B51203E9}"/>
                </c:ext>
              </c:extLst>
            </c:dLbl>
            <c:dLbl>
              <c:idx val="13"/>
              <c:layout>
                <c:manualLayout>
                  <c:x val="-1.2682090831191088E-2"/>
                  <c:y val="3.5018685019227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2A9D-446E-B46D-AAA2B51203E9}"/>
                </c:ext>
              </c:extLst>
            </c:dLbl>
            <c:dLbl>
              <c:idx val="14"/>
              <c:layout>
                <c:manualLayout>
                  <c:x val="-4.6708206979122167E-2"/>
                  <c:y val="-2.3995859672470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2A9D-446E-B46D-AAA2B51203E9}"/>
                </c:ext>
              </c:extLst>
            </c:dLbl>
            <c:dLbl>
              <c:idx val="15"/>
              <c:layout>
                <c:manualLayout>
                  <c:x val="-2.9047223703030461E-2"/>
                  <c:y val="-3.22856825995341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2A9D-446E-B46D-AAA2B51203E9}"/>
                </c:ext>
              </c:extLst>
            </c:dLbl>
            <c:dLbl>
              <c:idx val="16"/>
              <c:layout>
                <c:manualLayout>
                  <c:x val="-1.9997844331611819E-2"/>
                  <c:y val="-3.2652397323573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2A9D-446E-B46D-AAA2B51203E9}"/>
                </c:ext>
              </c:extLst>
            </c:dLbl>
            <c:dLbl>
              <c:idx val="17"/>
              <c:layout>
                <c:manualLayout>
                  <c:x val="-4.4442496771008824E-2"/>
                  <c:y val="7.733365361929249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2A9D-446E-B46D-AAA2B51203E9}"/>
                </c:ext>
              </c:extLst>
            </c:dLbl>
            <c:dLbl>
              <c:idx val="18"/>
              <c:layout>
                <c:manualLayout>
                  <c:x val="-4.4396398285952432E-2"/>
                  <c:y val="-1.60594432738161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2A9D-446E-B46D-AAA2B51203E9}"/>
                </c:ext>
              </c:extLst>
            </c:dLbl>
            <c:dLbl>
              <c:idx val="19"/>
              <c:layout>
                <c:manualLayout>
                  <c:x val="-2.7954048082354604E-2"/>
                  <c:y val="-2.83975155775660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2A9D-446E-B46D-AAA2B51203E9}"/>
                </c:ext>
              </c:extLst>
            </c:dLbl>
            <c:dLbl>
              <c:idx val="20"/>
              <c:layout>
                <c:manualLayout>
                  <c:x val="-1.9024972648480923E-2"/>
                  <c:y val="2.3197528472689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2A9D-446E-B46D-AAA2B51203E9}"/>
                </c:ext>
              </c:extLst>
            </c:dLbl>
            <c:dLbl>
              <c:idx val="21"/>
              <c:layout>
                <c:manualLayout>
                  <c:x val="-2.5297622011813493E-2"/>
                  <c:y val="-2.3903907365084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2A9D-446E-B46D-AAA2B51203E9}"/>
                </c:ext>
              </c:extLst>
            </c:dLbl>
            <c:dLbl>
              <c:idx val="22"/>
              <c:layout>
                <c:manualLayout>
                  <c:x val="-2.6670104083826477E-2"/>
                  <c:y val="2.675435288898743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632296528544792E-2"/>
                      <c:h val="5.907567187904327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3A-2A9D-446E-B46D-AAA2B51203E9}"/>
                </c:ext>
              </c:extLst>
            </c:dLbl>
            <c:dLbl>
              <c:idx val="23"/>
              <c:layout>
                <c:manualLayout>
                  <c:x val="-4.1435442101368958E-2"/>
                  <c:y val="-3.115034564341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2A9D-446E-B46D-AAA2B51203E9}"/>
                </c:ext>
              </c:extLst>
            </c:dLbl>
            <c:dLbl>
              <c:idx val="24"/>
              <c:layout>
                <c:manualLayout>
                  <c:x val="-2.7062144423955884E-2"/>
                  <c:y val="-3.51117518760859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2A9D-446E-B46D-AAA2B51203E9}"/>
                </c:ext>
              </c:extLst>
            </c:dLbl>
            <c:dLbl>
              <c:idx val="25"/>
              <c:layout>
                <c:manualLayout>
                  <c:x val="-2.3677395486496486E-2"/>
                  <c:y val="2.4047022291227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2A9D-446E-B46D-AAA2B51203E9}"/>
                </c:ext>
              </c:extLst>
            </c:dLbl>
            <c:dLbl>
              <c:idx val="26"/>
              <c:layout>
                <c:manualLayout>
                  <c:x val="-7.3991860895301518E-3"/>
                  <c:y val="-5.999926065579865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2A9D-446E-B46D-AAA2B51203E9}"/>
                </c:ext>
              </c:extLst>
            </c:dLbl>
            <c:dLbl>
              <c:idx val="27"/>
              <c:layout>
                <c:manualLayout>
                  <c:x val="-3.5516093229744729E-2"/>
                  <c:y val="-2.10234002439836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2A9D-446E-B46D-AAA2B51203E9}"/>
                </c:ext>
              </c:extLst>
            </c:dLbl>
            <c:dLbl>
              <c:idx val="28"/>
              <c:layout>
                <c:manualLayout>
                  <c:x val="-2.9596744358119523E-3"/>
                  <c:y val="-2.8535137333185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2A9D-446E-B46D-AAA2B51203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2'!$N$20:$AP$21</c:f>
              <c:multiLvlStrCache>
                <c:ptCount val="2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'Figura 2'!$N$23:$AP$23</c:f>
              <c:numCache>
                <c:formatCode>#\ ##0,0</c:formatCode>
                <c:ptCount val="29"/>
                <c:pt idx="0">
                  <c:v>93.68976480021378</c:v>
                </c:pt>
                <c:pt idx="1">
                  <c:v>101.62156394157972</c:v>
                </c:pt>
                <c:pt idx="2">
                  <c:v>81.728010071364707</c:v>
                </c:pt>
                <c:pt idx="3">
                  <c:v>69.517656214361068</c:v>
                </c:pt>
                <c:pt idx="4">
                  <c:v>73.959803043393492</c:v>
                </c:pt>
                <c:pt idx="5">
                  <c:v>93.752330261178145</c:v>
                </c:pt>
                <c:pt idx="6">
                  <c:v>86.811663105059509</c:v>
                </c:pt>
                <c:pt idx="7">
                  <c:v>79.643812518387932</c:v>
                </c:pt>
                <c:pt idx="8">
                  <c:v>88.887920831852767</c:v>
                </c:pt>
                <c:pt idx="9">
                  <c:v>92.923464078044901</c:v>
                </c:pt>
                <c:pt idx="10">
                  <c:v>98.30519698859753</c:v>
                </c:pt>
                <c:pt idx="11">
                  <c:v>99.977310656379856</c:v>
                </c:pt>
                <c:pt idx="12">
                  <c:v>90.415711128050958</c:v>
                </c:pt>
                <c:pt idx="13">
                  <c:v>92.544788099159774</c:v>
                </c:pt>
                <c:pt idx="14">
                  <c:v>123.33461185332185</c:v>
                </c:pt>
                <c:pt idx="15">
                  <c:v>145.62616468779689</c:v>
                </c:pt>
                <c:pt idx="16">
                  <c:v>129.53315145310887</c:v>
                </c:pt>
                <c:pt idx="17">
                  <c:v>119.63933960141166</c:v>
                </c:pt>
                <c:pt idx="18">
                  <c:v>125.94594158412818</c:v>
                </c:pt>
                <c:pt idx="19">
                  <c:v>144.1652577242715</c:v>
                </c:pt>
                <c:pt idx="20">
                  <c:v>138.93267521074247</c:v>
                </c:pt>
                <c:pt idx="21">
                  <c:v>141.26446794210585</c:v>
                </c:pt>
                <c:pt idx="22">
                  <c:v>138.86123791492062</c:v>
                </c:pt>
                <c:pt idx="23">
                  <c:v>148.90368550768355</c:v>
                </c:pt>
                <c:pt idx="24">
                  <c:v>166.47364542706634</c:v>
                </c:pt>
                <c:pt idx="25">
                  <c:v>148.25267579455192</c:v>
                </c:pt>
                <c:pt idx="26">
                  <c:v>152.66035698218914</c:v>
                </c:pt>
                <c:pt idx="27">
                  <c:v>181.60981243888315</c:v>
                </c:pt>
                <c:pt idx="28">
                  <c:v>206.29915943030915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2D8C-45EE-B332-341AC82C0A6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38464"/>
        <c:axId val="244839024"/>
      </c:lineChart>
      <c:catAx>
        <c:axId val="24483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4839024"/>
        <c:crossesAt val="30"/>
        <c:auto val="0"/>
        <c:lblAlgn val="ctr"/>
        <c:lblOffset val="100"/>
        <c:noMultiLvlLbl val="0"/>
      </c:catAx>
      <c:valAx>
        <c:axId val="244839024"/>
        <c:scaling>
          <c:orientation val="minMax"/>
          <c:max val="240"/>
          <c:min val="30"/>
        </c:scaling>
        <c:delete val="0"/>
        <c:axPos val="l"/>
        <c:numFmt formatCode="#\ ##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4838464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7.9311033036221973E-2"/>
          <c:y val="0.92998049555732143"/>
          <c:w val="0.90022613392334228"/>
          <c:h val="6.78598947061441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1966425652732"/>
          <c:y val="2.5787355527927429E-2"/>
          <c:w val="0.82558408168327613"/>
          <c:h val="0.744733158355205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3'!$B$24</c:f>
              <c:strCache>
                <c:ptCount val="1"/>
                <c:pt idx="0">
                  <c:v>Ianuarie-mai 2022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3'!$A$25:$A$29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3'!$B$25:$B$29</c:f>
              <c:numCache>
                <c:formatCode>#\ ##0,0</c:formatCode>
                <c:ptCount val="5"/>
                <c:pt idx="0">
                  <c:v>16.2</c:v>
                </c:pt>
                <c:pt idx="1">
                  <c:v>9.6</c:v>
                </c:pt>
                <c:pt idx="2">
                  <c:v>73.400000000000006</c:v>
                </c:pt>
                <c:pt idx="3">
                  <c:v>0.8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B2-423F-8D54-2DEAA91EB392}"/>
            </c:ext>
          </c:extLst>
        </c:ser>
        <c:ser>
          <c:idx val="1"/>
          <c:order val="1"/>
          <c:tx>
            <c:strRef>
              <c:f>'Figura 3'!$C$24</c:f>
              <c:strCache>
                <c:ptCount val="1"/>
                <c:pt idx="0">
                  <c:v>Ianuarie-mai 2021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3'!$A$25:$A$29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3'!$C$25:$C$29</c:f>
              <c:numCache>
                <c:formatCode>#\ ##0,0</c:formatCode>
                <c:ptCount val="5"/>
                <c:pt idx="0">
                  <c:v>5.4</c:v>
                </c:pt>
                <c:pt idx="1">
                  <c:v>0.7</c:v>
                </c:pt>
                <c:pt idx="2">
                  <c:v>92.7</c:v>
                </c:pt>
                <c:pt idx="3">
                  <c:v>1.1000000000000001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D-49BF-AD38-66FEB4074930}"/>
            </c:ext>
          </c:extLst>
        </c:ser>
        <c:ser>
          <c:idx val="2"/>
          <c:order val="2"/>
          <c:tx>
            <c:strRef>
              <c:f>'Figura 3'!$D$24</c:f>
              <c:strCache>
                <c:ptCount val="1"/>
                <c:pt idx="0">
                  <c:v>Ianuarie-mai 2020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3'!$A$25:$A$29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3'!$D$25:$D$29</c:f>
              <c:numCache>
                <c:formatCode>#\ ##0,0</c:formatCode>
                <c:ptCount val="5"/>
                <c:pt idx="0">
                  <c:v>9.5</c:v>
                </c:pt>
                <c:pt idx="1">
                  <c:v>4.8</c:v>
                </c:pt>
                <c:pt idx="2">
                  <c:v>84.5</c:v>
                </c:pt>
                <c:pt idx="3">
                  <c:v>1.2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7D-49BF-AD38-66FEB4074930}"/>
            </c:ext>
          </c:extLst>
        </c:ser>
        <c:ser>
          <c:idx val="3"/>
          <c:order val="3"/>
          <c:tx>
            <c:strRef>
              <c:f>'Figura 3'!$E$24</c:f>
              <c:strCache>
                <c:ptCount val="1"/>
                <c:pt idx="0">
                  <c:v>Ianuarie-mai 2019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3'!$A$25:$A$29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3'!$E$25:$E$29</c:f>
              <c:numCache>
                <c:formatCode>#\ ##0,0</c:formatCode>
                <c:ptCount val="5"/>
                <c:pt idx="0">
                  <c:v>7.6</c:v>
                </c:pt>
                <c:pt idx="1">
                  <c:v>4.8</c:v>
                </c:pt>
                <c:pt idx="2">
                  <c:v>86</c:v>
                </c:pt>
                <c:pt idx="3">
                  <c:v>1.6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7D-49BF-AD38-66FEB4074930}"/>
            </c:ext>
          </c:extLst>
        </c:ser>
        <c:ser>
          <c:idx val="4"/>
          <c:order val="4"/>
          <c:tx>
            <c:strRef>
              <c:f>'Figura 3'!$F$24</c:f>
              <c:strCache>
                <c:ptCount val="1"/>
                <c:pt idx="0">
                  <c:v>Ianuarie-mai 2018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3'!$A$25:$A$29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3'!$F$25:$F$29</c:f>
              <c:numCache>
                <c:formatCode>#\ ##0,0</c:formatCode>
                <c:ptCount val="5"/>
                <c:pt idx="0">
                  <c:v>7.8</c:v>
                </c:pt>
                <c:pt idx="1">
                  <c:v>3.1</c:v>
                </c:pt>
                <c:pt idx="2">
                  <c:v>86.9</c:v>
                </c:pt>
                <c:pt idx="3">
                  <c:v>2.1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7D-49BF-AD38-66FEB4074930}"/>
            </c:ext>
          </c:extLst>
        </c:ser>
        <c:ser>
          <c:idx val="5"/>
          <c:order val="5"/>
          <c:tx>
            <c:strRef>
              <c:f>'Figura 3'!$G$24</c:f>
              <c:strCache>
                <c:ptCount val="1"/>
                <c:pt idx="0">
                  <c:v>Ianuarie-mai 2017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3'!$A$25:$A$29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3'!$G$25:$G$29</c:f>
              <c:numCache>
                <c:formatCode>#\ ##0,0</c:formatCode>
                <c:ptCount val="5"/>
                <c:pt idx="0">
                  <c:v>7.8</c:v>
                </c:pt>
                <c:pt idx="1">
                  <c:v>1.7</c:v>
                </c:pt>
                <c:pt idx="2">
                  <c:v>87.5</c:v>
                </c:pt>
                <c:pt idx="3">
                  <c:v>2.9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7D-49BF-AD38-66FEB4074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5861504"/>
        <c:axId val="245862064"/>
      </c:barChart>
      <c:catAx>
        <c:axId val="245861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5862064"/>
        <c:crossesAt val="0"/>
        <c:auto val="1"/>
        <c:lblAlgn val="ctr"/>
        <c:lblOffset val="100"/>
        <c:noMultiLvlLbl val="0"/>
      </c:catAx>
      <c:valAx>
        <c:axId val="245862064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5861504"/>
        <c:crosses val="autoZero"/>
        <c:crossBetween val="between"/>
        <c:minorUnit val="1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1.7448604365067389E-2"/>
          <c:y val="0.91334309527098589"/>
          <c:w val="0.98255139563493266"/>
          <c:h val="8.665690472901413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603993862784941E-2"/>
          <c:y val="7.9067734558931208E-2"/>
          <c:w val="0.89680642947696532"/>
          <c:h val="0.722527184101987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4'!$A$27</c:f>
              <c:strCache>
                <c:ptCount val="1"/>
                <c:pt idx="0">
                  <c:v>Ţările Uniunii Europene 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4'!$B$26:$G$26</c:f>
              <c:strCache>
                <c:ptCount val="6"/>
                <c:pt idx="0">
                  <c:v>Ianuarie-mai 2017</c:v>
                </c:pt>
                <c:pt idx="1">
                  <c:v>Ianuarie-mai 2018</c:v>
                </c:pt>
                <c:pt idx="2">
                  <c:v>Ianuarie-mai 2019</c:v>
                </c:pt>
                <c:pt idx="3">
                  <c:v>Ianuarie-mai 2020</c:v>
                </c:pt>
                <c:pt idx="4">
                  <c:v>Ianuarie-mai 2021</c:v>
                </c:pt>
                <c:pt idx="5">
                  <c:v>Ianuarie-mai 2022</c:v>
                </c:pt>
              </c:strCache>
            </c:strRef>
          </c:cat>
          <c:val>
            <c:numRef>
              <c:f>'Figura 4'!$B$27:$G$27</c:f>
              <c:numCache>
                <c:formatCode>#\ ##0,0</c:formatCode>
                <c:ptCount val="6"/>
                <c:pt idx="0">
                  <c:v>57.6</c:v>
                </c:pt>
                <c:pt idx="1">
                  <c:v>64.5</c:v>
                </c:pt>
                <c:pt idx="2">
                  <c:v>62.2</c:v>
                </c:pt>
                <c:pt idx="3">
                  <c:v>63</c:v>
                </c:pt>
                <c:pt idx="4">
                  <c:v>65.3</c:v>
                </c:pt>
                <c:pt idx="5">
                  <c:v>64.400000000000006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9-4207-A2A3-2E8D24AB4E7A}"/>
            </c:ext>
          </c:extLst>
        </c:ser>
        <c:ser>
          <c:idx val="1"/>
          <c:order val="1"/>
          <c:tx>
            <c:strRef>
              <c:f>'Figura 4'!$A$28</c:f>
              <c:strCache>
                <c:ptCount val="1"/>
                <c:pt idx="0">
                  <c:v>Ţările CSI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4'!$B$26:$G$26</c:f>
              <c:strCache>
                <c:ptCount val="6"/>
                <c:pt idx="0">
                  <c:v>Ianuarie-mai 2017</c:v>
                </c:pt>
                <c:pt idx="1">
                  <c:v>Ianuarie-mai 2018</c:v>
                </c:pt>
                <c:pt idx="2">
                  <c:v>Ianuarie-mai 2019</c:v>
                </c:pt>
                <c:pt idx="3">
                  <c:v>Ianuarie-mai 2020</c:v>
                </c:pt>
                <c:pt idx="4">
                  <c:v>Ianuarie-mai 2021</c:v>
                </c:pt>
                <c:pt idx="5">
                  <c:v>Ianuarie-mai 2022</c:v>
                </c:pt>
              </c:strCache>
            </c:strRef>
          </c:cat>
          <c:val>
            <c:numRef>
              <c:f>'Figura 4'!$B$28:$G$28</c:f>
              <c:numCache>
                <c:formatCode>#\ ##0,0</c:formatCode>
                <c:ptCount val="6"/>
                <c:pt idx="0">
                  <c:v>20.7</c:v>
                </c:pt>
                <c:pt idx="1">
                  <c:v>16.100000000000001</c:v>
                </c:pt>
                <c:pt idx="2">
                  <c:v>14.7</c:v>
                </c:pt>
                <c:pt idx="3">
                  <c:v>16.5</c:v>
                </c:pt>
                <c:pt idx="4">
                  <c:v>15.7</c:v>
                </c:pt>
                <c:pt idx="5">
                  <c:v>15.2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29-4207-A2A3-2E8D24AB4E7A}"/>
            </c:ext>
          </c:extLst>
        </c:ser>
        <c:ser>
          <c:idx val="2"/>
          <c:order val="2"/>
          <c:tx>
            <c:strRef>
              <c:f>'Figura 4'!$A$29</c:f>
              <c:strCache>
                <c:ptCount val="1"/>
                <c:pt idx="0">
                  <c:v>Celelalte ţări ale lumii 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4'!$B$26:$G$26</c:f>
              <c:strCache>
                <c:ptCount val="6"/>
                <c:pt idx="0">
                  <c:v>Ianuarie-mai 2017</c:v>
                </c:pt>
                <c:pt idx="1">
                  <c:v>Ianuarie-mai 2018</c:v>
                </c:pt>
                <c:pt idx="2">
                  <c:v>Ianuarie-mai 2019</c:v>
                </c:pt>
                <c:pt idx="3">
                  <c:v>Ianuarie-mai 2020</c:v>
                </c:pt>
                <c:pt idx="4">
                  <c:v>Ianuarie-mai 2021</c:v>
                </c:pt>
                <c:pt idx="5">
                  <c:v>Ianuarie-mai 2022</c:v>
                </c:pt>
              </c:strCache>
            </c:strRef>
          </c:cat>
          <c:val>
            <c:numRef>
              <c:f>'Figura 4'!$B$29:$G$29</c:f>
              <c:numCache>
                <c:formatCode>#\ ##0,0</c:formatCode>
                <c:ptCount val="6"/>
                <c:pt idx="0">
                  <c:v>21.7</c:v>
                </c:pt>
                <c:pt idx="1">
                  <c:v>19.399999999999999</c:v>
                </c:pt>
                <c:pt idx="2">
                  <c:v>23.1</c:v>
                </c:pt>
                <c:pt idx="3">
                  <c:v>20.5</c:v>
                </c:pt>
                <c:pt idx="4">
                  <c:v>19</c:v>
                </c:pt>
                <c:pt idx="5">
                  <c:v>20.399999999999999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29-4207-A2A3-2E8D24AB4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5865984"/>
        <c:axId val="245866544"/>
      </c:barChart>
      <c:catAx>
        <c:axId val="24586598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5866544"/>
        <c:crosses val="autoZero"/>
        <c:auto val="1"/>
        <c:lblAlgn val="ctr"/>
        <c:lblOffset val="100"/>
        <c:noMultiLvlLbl val="0"/>
      </c:catAx>
      <c:valAx>
        <c:axId val="245866544"/>
        <c:scaling>
          <c:orientation val="minMax"/>
          <c:max val="100"/>
        </c:scaling>
        <c:delete val="0"/>
        <c:axPos val="l"/>
        <c:numFmt formatCode="# 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5865984"/>
        <c:crosses val="autoZero"/>
        <c:crossBetween val="between"/>
        <c:majorUnit val="10"/>
      </c:valAx>
      <c:spPr>
        <a:noFill/>
        <a:ln w="31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93365235595550555"/>
          <c:w val="1"/>
          <c:h val="6.24464588985200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141699880107581E-2"/>
          <c:y val="3.9900389809764354E-2"/>
          <c:w val="0.94076377536801559"/>
          <c:h val="0.652361774450324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5'!$B$28</c:f>
              <c:strCache>
                <c:ptCount val="1"/>
                <c:pt idx="0">
                  <c:v>Ianuarie-mai 2017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5'!$A$29:$A$48</c:f>
              <c:strCache>
                <c:ptCount val="20"/>
                <c:pt idx="0">
                  <c:v>România</c:v>
                </c:pt>
                <c:pt idx="1">
                  <c:v>Italia</c:v>
                </c:pt>
                <c:pt idx="2">
                  <c:v>Turcia</c:v>
                </c:pt>
                <c:pt idx="3">
                  <c:v>Ucraina</c:v>
                </c:pt>
                <c:pt idx="4">
                  <c:v>Germania</c:v>
                </c:pt>
                <c:pt idx="5">
                  <c:v>Federația Rusă</c:v>
                </c:pt>
                <c:pt idx="6">
                  <c:v>Bulgaria</c:v>
                </c:pt>
                <c:pt idx="7">
                  <c:v>Elveția</c:v>
                </c:pt>
                <c:pt idx="8">
                  <c:v>Polonia</c:v>
                </c:pt>
                <c:pt idx="9">
                  <c:v>Netherlands</c:v>
                </c:pt>
                <c:pt idx="10">
                  <c:v>Cehia</c:v>
                </c:pt>
                <c:pt idx="11">
                  <c:v>Regatul Unit </c:v>
                </c:pt>
                <c:pt idx="12">
                  <c:v>Belarus</c:v>
                </c:pt>
                <c:pt idx="13">
                  <c:v>Ungaria</c:v>
                </c:pt>
                <c:pt idx="14">
                  <c:v>Franța</c:v>
                </c:pt>
                <c:pt idx="15">
                  <c:v>Grecia</c:v>
                </c:pt>
                <c:pt idx="16">
                  <c:v>S.U.A</c:v>
                </c:pt>
                <c:pt idx="17">
                  <c:v>Liban</c:v>
                </c:pt>
                <c:pt idx="18">
                  <c:v>Portugalia</c:v>
                </c:pt>
                <c:pt idx="19">
                  <c:v>Spania</c:v>
                </c:pt>
              </c:strCache>
            </c:strRef>
          </c:cat>
          <c:val>
            <c:numRef>
              <c:f>'Figura 5'!$B$29:$B$48</c:f>
              <c:numCache>
                <c:formatCode>#\ ##0,0</c:formatCode>
                <c:ptCount val="20"/>
                <c:pt idx="0">
                  <c:v>24.33881683133276</c:v>
                </c:pt>
                <c:pt idx="1">
                  <c:v>8.8718031114830804</c:v>
                </c:pt>
                <c:pt idx="2">
                  <c:v>5.03453014209415</c:v>
                </c:pt>
                <c:pt idx="3">
                  <c:v>2.5099301756068884</c:v>
                </c:pt>
                <c:pt idx="4">
                  <c:v>6.7886514022543656</c:v>
                </c:pt>
                <c:pt idx="5">
                  <c:v>11.428386201307688</c:v>
                </c:pt>
                <c:pt idx="6">
                  <c:v>3.4721171308306644</c:v>
                </c:pt>
                <c:pt idx="7">
                  <c:v>1.2652754101546198</c:v>
                </c:pt>
                <c:pt idx="8">
                  <c:v>3.2742685181879767</c:v>
                </c:pt>
                <c:pt idx="9">
                  <c:v>1.121247878431568</c:v>
                </c:pt>
                <c:pt idx="10">
                  <c:v>1.3487853894049211</c:v>
                </c:pt>
                <c:pt idx="11">
                  <c:v>5.6724141047971504</c:v>
                </c:pt>
                <c:pt idx="12">
                  <c:v>5.6175577668093233</c:v>
                </c:pt>
                <c:pt idx="13">
                  <c:v>0.26386877816617765</c:v>
                </c:pt>
                <c:pt idx="14">
                  <c:v>1.7874997807073159</c:v>
                </c:pt>
                <c:pt idx="15">
                  <c:v>1.3361740768772734</c:v>
                </c:pt>
                <c:pt idx="16">
                  <c:v>0.79115781605023827</c:v>
                </c:pt>
                <c:pt idx="17">
                  <c:v>0.57025018430506891</c:v>
                </c:pt>
                <c:pt idx="18">
                  <c:v>5.3009938403510582E-3</c:v>
                </c:pt>
                <c:pt idx="19">
                  <c:v>1.1580342968208561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D-42D8-B371-6A71C526E757}"/>
            </c:ext>
          </c:extLst>
        </c:ser>
        <c:ser>
          <c:idx val="1"/>
          <c:order val="1"/>
          <c:tx>
            <c:strRef>
              <c:f>'Figura 5'!$C$28</c:f>
              <c:strCache>
                <c:ptCount val="1"/>
                <c:pt idx="0">
                  <c:v>Ianuarie-mai 2018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5'!$A$29:$A$48</c:f>
              <c:strCache>
                <c:ptCount val="20"/>
                <c:pt idx="0">
                  <c:v>România</c:v>
                </c:pt>
                <c:pt idx="1">
                  <c:v>Italia</c:v>
                </c:pt>
                <c:pt idx="2">
                  <c:v>Turcia</c:v>
                </c:pt>
                <c:pt idx="3">
                  <c:v>Ucraina</c:v>
                </c:pt>
                <c:pt idx="4">
                  <c:v>Germania</c:v>
                </c:pt>
                <c:pt idx="5">
                  <c:v>Federația Rusă</c:v>
                </c:pt>
                <c:pt idx="6">
                  <c:v>Bulgaria</c:v>
                </c:pt>
                <c:pt idx="7">
                  <c:v>Elveția</c:v>
                </c:pt>
                <c:pt idx="8">
                  <c:v>Polonia</c:v>
                </c:pt>
                <c:pt idx="9">
                  <c:v>Netherlands</c:v>
                </c:pt>
                <c:pt idx="10">
                  <c:v>Cehia</c:v>
                </c:pt>
                <c:pt idx="11">
                  <c:v>Regatul Unit </c:v>
                </c:pt>
                <c:pt idx="12">
                  <c:v>Belarus</c:v>
                </c:pt>
                <c:pt idx="13">
                  <c:v>Ungaria</c:v>
                </c:pt>
                <c:pt idx="14">
                  <c:v>Franța</c:v>
                </c:pt>
                <c:pt idx="15">
                  <c:v>Grecia</c:v>
                </c:pt>
                <c:pt idx="16">
                  <c:v>S.U.A</c:v>
                </c:pt>
                <c:pt idx="17">
                  <c:v>Liban</c:v>
                </c:pt>
                <c:pt idx="18">
                  <c:v>Portugalia</c:v>
                </c:pt>
                <c:pt idx="19">
                  <c:v>Spania</c:v>
                </c:pt>
              </c:strCache>
            </c:strRef>
          </c:cat>
          <c:val>
            <c:numRef>
              <c:f>'Figura 5'!$C$29:$C$48</c:f>
              <c:numCache>
                <c:formatCode>#\ ##0,0</c:formatCode>
                <c:ptCount val="20"/>
                <c:pt idx="0">
                  <c:v>25.766790910060049</c:v>
                </c:pt>
                <c:pt idx="1">
                  <c:v>11.33473112632943</c:v>
                </c:pt>
                <c:pt idx="2">
                  <c:v>4.0693716426205961</c:v>
                </c:pt>
                <c:pt idx="3">
                  <c:v>3.1199543774811507</c:v>
                </c:pt>
                <c:pt idx="4">
                  <c:v>8.6460772721024881</c:v>
                </c:pt>
                <c:pt idx="5">
                  <c:v>8.2086683681719919</c:v>
                </c:pt>
                <c:pt idx="6">
                  <c:v>2.2193360231586778</c:v>
                </c:pt>
                <c:pt idx="7">
                  <c:v>2.4576475694263196</c:v>
                </c:pt>
                <c:pt idx="8">
                  <c:v>3.401282208729036</c:v>
                </c:pt>
                <c:pt idx="9">
                  <c:v>1.5069243076629633</c:v>
                </c:pt>
                <c:pt idx="10">
                  <c:v>1.5683806860186611</c:v>
                </c:pt>
                <c:pt idx="11">
                  <c:v>3.3620056728920371</c:v>
                </c:pt>
                <c:pt idx="12">
                  <c:v>3.8282904224994181</c:v>
                </c:pt>
                <c:pt idx="13">
                  <c:v>0.30102625047209564</c:v>
                </c:pt>
                <c:pt idx="14">
                  <c:v>2.0296652237622448</c:v>
                </c:pt>
                <c:pt idx="15">
                  <c:v>1.3332603224688255</c:v>
                </c:pt>
                <c:pt idx="16">
                  <c:v>0.8196795997506886</c:v>
                </c:pt>
                <c:pt idx="17">
                  <c:v>0.57475163698834153</c:v>
                </c:pt>
                <c:pt idx="18">
                  <c:v>0.83815208872038105</c:v>
                </c:pt>
                <c:pt idx="19">
                  <c:v>1.1821752378757842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DD-42D8-B371-6A71C526E757}"/>
            </c:ext>
          </c:extLst>
        </c:ser>
        <c:ser>
          <c:idx val="2"/>
          <c:order val="2"/>
          <c:tx>
            <c:strRef>
              <c:f>'Figura 5'!$D$28</c:f>
              <c:strCache>
                <c:ptCount val="1"/>
                <c:pt idx="0">
                  <c:v>Ianuarie-mai 2019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5'!$A$29:$A$48</c:f>
              <c:strCache>
                <c:ptCount val="20"/>
                <c:pt idx="0">
                  <c:v>România</c:v>
                </c:pt>
                <c:pt idx="1">
                  <c:v>Italia</c:v>
                </c:pt>
                <c:pt idx="2">
                  <c:v>Turcia</c:v>
                </c:pt>
                <c:pt idx="3">
                  <c:v>Ucraina</c:v>
                </c:pt>
                <c:pt idx="4">
                  <c:v>Germania</c:v>
                </c:pt>
                <c:pt idx="5">
                  <c:v>Federația Rusă</c:v>
                </c:pt>
                <c:pt idx="6">
                  <c:v>Bulgaria</c:v>
                </c:pt>
                <c:pt idx="7">
                  <c:v>Elveția</c:v>
                </c:pt>
                <c:pt idx="8">
                  <c:v>Polonia</c:v>
                </c:pt>
                <c:pt idx="9">
                  <c:v>Netherlands</c:v>
                </c:pt>
                <c:pt idx="10">
                  <c:v>Cehia</c:v>
                </c:pt>
                <c:pt idx="11">
                  <c:v>Regatul Unit </c:v>
                </c:pt>
                <c:pt idx="12">
                  <c:v>Belarus</c:v>
                </c:pt>
                <c:pt idx="13">
                  <c:v>Ungaria</c:v>
                </c:pt>
                <c:pt idx="14">
                  <c:v>Franța</c:v>
                </c:pt>
                <c:pt idx="15">
                  <c:v>Grecia</c:v>
                </c:pt>
                <c:pt idx="16">
                  <c:v>S.U.A</c:v>
                </c:pt>
                <c:pt idx="17">
                  <c:v>Liban</c:v>
                </c:pt>
                <c:pt idx="18">
                  <c:v>Portugalia</c:v>
                </c:pt>
                <c:pt idx="19">
                  <c:v>Spania</c:v>
                </c:pt>
              </c:strCache>
            </c:strRef>
          </c:cat>
          <c:val>
            <c:numRef>
              <c:f>'Figura 5'!$D$29:$D$48</c:f>
              <c:numCache>
                <c:formatCode>#\ ##0,0</c:formatCode>
                <c:ptCount val="20"/>
                <c:pt idx="0">
                  <c:v>27.817695923856654</c:v>
                </c:pt>
                <c:pt idx="1">
                  <c:v>9.9243181560070877</c:v>
                </c:pt>
                <c:pt idx="2">
                  <c:v>9.6349251453592473</c:v>
                </c:pt>
                <c:pt idx="3">
                  <c:v>2.683641458116194</c:v>
                </c:pt>
                <c:pt idx="4">
                  <c:v>8.9696049235239403</c:v>
                </c:pt>
                <c:pt idx="5">
                  <c:v>8.270194369362196</c:v>
                </c:pt>
                <c:pt idx="6">
                  <c:v>1.4434614095732266</c:v>
                </c:pt>
                <c:pt idx="7">
                  <c:v>2.7488117210686935</c:v>
                </c:pt>
                <c:pt idx="8">
                  <c:v>3.7731484597546707</c:v>
                </c:pt>
                <c:pt idx="9">
                  <c:v>1.3974601648811282</c:v>
                </c:pt>
                <c:pt idx="10">
                  <c:v>1.7201771910934895</c:v>
                </c:pt>
                <c:pt idx="11">
                  <c:v>1.851577172385142</c:v>
                </c:pt>
                <c:pt idx="12">
                  <c:v>3.1097706527487992</c:v>
                </c:pt>
                <c:pt idx="13">
                  <c:v>0.27621630315009527</c:v>
                </c:pt>
                <c:pt idx="14">
                  <c:v>1.3759063422347275</c:v>
                </c:pt>
                <c:pt idx="15">
                  <c:v>0.80256777460133311</c:v>
                </c:pt>
                <c:pt idx="16">
                  <c:v>0.78827785335734768</c:v>
                </c:pt>
                <c:pt idx="17">
                  <c:v>0.51927162249950298</c:v>
                </c:pt>
                <c:pt idx="18">
                  <c:v>3.0070565785518277E-3</c:v>
                </c:pt>
                <c:pt idx="19">
                  <c:v>1.389479838816166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DD-42D8-B371-6A71C526E757}"/>
            </c:ext>
          </c:extLst>
        </c:ser>
        <c:ser>
          <c:idx val="3"/>
          <c:order val="3"/>
          <c:tx>
            <c:strRef>
              <c:f>'Figura 5'!$E$28</c:f>
              <c:strCache>
                <c:ptCount val="1"/>
                <c:pt idx="0">
                  <c:v>Ianuarie-mai 2020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5'!$A$29:$A$48</c:f>
              <c:strCache>
                <c:ptCount val="20"/>
                <c:pt idx="0">
                  <c:v>România</c:v>
                </c:pt>
                <c:pt idx="1">
                  <c:v>Italia</c:v>
                </c:pt>
                <c:pt idx="2">
                  <c:v>Turcia</c:v>
                </c:pt>
                <c:pt idx="3">
                  <c:v>Ucraina</c:v>
                </c:pt>
                <c:pt idx="4">
                  <c:v>Germania</c:v>
                </c:pt>
                <c:pt idx="5">
                  <c:v>Federația Rusă</c:v>
                </c:pt>
                <c:pt idx="6">
                  <c:v>Bulgaria</c:v>
                </c:pt>
                <c:pt idx="7">
                  <c:v>Elveția</c:v>
                </c:pt>
                <c:pt idx="8">
                  <c:v>Polonia</c:v>
                </c:pt>
                <c:pt idx="9">
                  <c:v>Netherlands</c:v>
                </c:pt>
                <c:pt idx="10">
                  <c:v>Cehia</c:v>
                </c:pt>
                <c:pt idx="11">
                  <c:v>Regatul Unit </c:v>
                </c:pt>
                <c:pt idx="12">
                  <c:v>Belarus</c:v>
                </c:pt>
                <c:pt idx="13">
                  <c:v>Ungaria</c:v>
                </c:pt>
                <c:pt idx="14">
                  <c:v>Franța</c:v>
                </c:pt>
                <c:pt idx="15">
                  <c:v>Grecia</c:v>
                </c:pt>
                <c:pt idx="16">
                  <c:v>S.U.A</c:v>
                </c:pt>
                <c:pt idx="17">
                  <c:v>Liban</c:v>
                </c:pt>
                <c:pt idx="18">
                  <c:v>Portugalia</c:v>
                </c:pt>
                <c:pt idx="19">
                  <c:v>Spania</c:v>
                </c:pt>
              </c:strCache>
            </c:strRef>
          </c:cat>
          <c:val>
            <c:numRef>
              <c:f>'Figura 5'!$E$29:$E$48</c:f>
              <c:numCache>
                <c:formatCode>#\ ##0,0</c:formatCode>
                <c:ptCount val="20"/>
                <c:pt idx="0">
                  <c:v>24.608929545033913</c:v>
                </c:pt>
                <c:pt idx="1">
                  <c:v>8.5311734986127519</c:v>
                </c:pt>
                <c:pt idx="2">
                  <c:v>7.1945524075112024</c:v>
                </c:pt>
                <c:pt idx="3">
                  <c:v>2.390188668164356</c:v>
                </c:pt>
                <c:pt idx="4">
                  <c:v>8.6401948636200938</c:v>
                </c:pt>
                <c:pt idx="5">
                  <c:v>10.387866062770293</c:v>
                </c:pt>
                <c:pt idx="6">
                  <c:v>1.6961952971959577</c:v>
                </c:pt>
                <c:pt idx="7">
                  <c:v>3.7980418801795777</c:v>
                </c:pt>
                <c:pt idx="8">
                  <c:v>4.1354258917289837</c:v>
                </c:pt>
                <c:pt idx="9">
                  <c:v>1.5214044619503322</c:v>
                </c:pt>
                <c:pt idx="10">
                  <c:v>3.3406865703576609</c:v>
                </c:pt>
                <c:pt idx="11">
                  <c:v>1.5660725755409963</c:v>
                </c:pt>
                <c:pt idx="12">
                  <c:v>2.8679513844437272</c:v>
                </c:pt>
                <c:pt idx="13">
                  <c:v>0.62595462672460878</c:v>
                </c:pt>
                <c:pt idx="14">
                  <c:v>1.6553481438032414</c:v>
                </c:pt>
                <c:pt idx="15">
                  <c:v>1.9064053690747813</c:v>
                </c:pt>
                <c:pt idx="16">
                  <c:v>0.8895116409376399</c:v>
                </c:pt>
                <c:pt idx="17">
                  <c:v>0.68272429155207837</c:v>
                </c:pt>
                <c:pt idx="18">
                  <c:v>0.91127519877357621</c:v>
                </c:pt>
                <c:pt idx="19">
                  <c:v>2.0051321255873416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DD-42D8-B371-6A71C526E757}"/>
            </c:ext>
          </c:extLst>
        </c:ser>
        <c:ser>
          <c:idx val="4"/>
          <c:order val="4"/>
          <c:tx>
            <c:strRef>
              <c:f>'Figura 5'!$F$28</c:f>
              <c:strCache>
                <c:ptCount val="1"/>
                <c:pt idx="0">
                  <c:v>Ianuarie-mai 2021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5'!$A$29:$A$48</c:f>
              <c:strCache>
                <c:ptCount val="20"/>
                <c:pt idx="0">
                  <c:v>România</c:v>
                </c:pt>
                <c:pt idx="1">
                  <c:v>Italia</c:v>
                </c:pt>
                <c:pt idx="2">
                  <c:v>Turcia</c:v>
                </c:pt>
                <c:pt idx="3">
                  <c:v>Ucraina</c:v>
                </c:pt>
                <c:pt idx="4">
                  <c:v>Germania</c:v>
                </c:pt>
                <c:pt idx="5">
                  <c:v>Federația Rusă</c:v>
                </c:pt>
                <c:pt idx="6">
                  <c:v>Bulgaria</c:v>
                </c:pt>
                <c:pt idx="7">
                  <c:v>Elveția</c:v>
                </c:pt>
                <c:pt idx="8">
                  <c:v>Polonia</c:v>
                </c:pt>
                <c:pt idx="9">
                  <c:v>Netherlands</c:v>
                </c:pt>
                <c:pt idx="10">
                  <c:v>Cehia</c:v>
                </c:pt>
                <c:pt idx="11">
                  <c:v>Regatul Unit </c:v>
                </c:pt>
                <c:pt idx="12">
                  <c:v>Belarus</c:v>
                </c:pt>
                <c:pt idx="13">
                  <c:v>Ungaria</c:v>
                </c:pt>
                <c:pt idx="14">
                  <c:v>Franța</c:v>
                </c:pt>
                <c:pt idx="15">
                  <c:v>Grecia</c:v>
                </c:pt>
                <c:pt idx="16">
                  <c:v>S.U.A</c:v>
                </c:pt>
                <c:pt idx="17">
                  <c:v>Liban</c:v>
                </c:pt>
                <c:pt idx="18">
                  <c:v>Portugalia</c:v>
                </c:pt>
                <c:pt idx="19">
                  <c:v>Spania</c:v>
                </c:pt>
              </c:strCache>
            </c:strRef>
          </c:cat>
          <c:val>
            <c:numRef>
              <c:f>'Figura 5'!$F$29:$F$48</c:f>
              <c:numCache>
                <c:formatCode>#\ ##0,0</c:formatCode>
                <c:ptCount val="20"/>
                <c:pt idx="0">
                  <c:v>27.830208752867243</c:v>
                </c:pt>
                <c:pt idx="1">
                  <c:v>7.0005310334317201</c:v>
                </c:pt>
                <c:pt idx="2">
                  <c:v>9.083051651774765</c:v>
                </c:pt>
                <c:pt idx="3">
                  <c:v>2.8274847386167772</c:v>
                </c:pt>
                <c:pt idx="4">
                  <c:v>10.391927543697772</c:v>
                </c:pt>
                <c:pt idx="5">
                  <c:v>9.4660823560966509</c:v>
                </c:pt>
                <c:pt idx="6">
                  <c:v>1.312237199457513</c:v>
                </c:pt>
                <c:pt idx="7">
                  <c:v>1.2921689965451117</c:v>
                </c:pt>
                <c:pt idx="8">
                  <c:v>3.9098665978453413</c:v>
                </c:pt>
                <c:pt idx="9">
                  <c:v>1.5120284595627591</c:v>
                </c:pt>
                <c:pt idx="10">
                  <c:v>3.0802845516326856</c:v>
                </c:pt>
                <c:pt idx="11">
                  <c:v>1.8074739082628219</c:v>
                </c:pt>
                <c:pt idx="12">
                  <c:v>2.4345882395497513</c:v>
                </c:pt>
                <c:pt idx="13">
                  <c:v>1.4643525165087574</c:v>
                </c:pt>
                <c:pt idx="14">
                  <c:v>1.3253219715081592</c:v>
                </c:pt>
                <c:pt idx="15">
                  <c:v>1.1047730807437179</c:v>
                </c:pt>
                <c:pt idx="16">
                  <c:v>0.86296943231256207</c:v>
                </c:pt>
                <c:pt idx="17">
                  <c:v>0.88567253183820061</c:v>
                </c:pt>
                <c:pt idx="18">
                  <c:v>1.4549224578783104</c:v>
                </c:pt>
                <c:pt idx="19">
                  <c:v>1.5701827321509325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DD-42D8-B371-6A71C526E757}"/>
            </c:ext>
          </c:extLst>
        </c:ser>
        <c:ser>
          <c:idx val="5"/>
          <c:order val="5"/>
          <c:tx>
            <c:strRef>
              <c:f>'Figura 5'!$G$28</c:f>
              <c:strCache>
                <c:ptCount val="1"/>
                <c:pt idx="0">
                  <c:v>Ianuarie-mai 2022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5'!$A$29:$A$48</c:f>
              <c:strCache>
                <c:ptCount val="20"/>
                <c:pt idx="0">
                  <c:v>România</c:v>
                </c:pt>
                <c:pt idx="1">
                  <c:v>Italia</c:v>
                </c:pt>
                <c:pt idx="2">
                  <c:v>Turcia</c:v>
                </c:pt>
                <c:pt idx="3">
                  <c:v>Ucraina</c:v>
                </c:pt>
                <c:pt idx="4">
                  <c:v>Germania</c:v>
                </c:pt>
                <c:pt idx="5">
                  <c:v>Federația Rusă</c:v>
                </c:pt>
                <c:pt idx="6">
                  <c:v>Bulgaria</c:v>
                </c:pt>
                <c:pt idx="7">
                  <c:v>Elveția</c:v>
                </c:pt>
                <c:pt idx="8">
                  <c:v>Polonia</c:v>
                </c:pt>
                <c:pt idx="9">
                  <c:v>Netherlands</c:v>
                </c:pt>
                <c:pt idx="10">
                  <c:v>Cehia</c:v>
                </c:pt>
                <c:pt idx="11">
                  <c:v>Regatul Unit </c:v>
                </c:pt>
                <c:pt idx="12">
                  <c:v>Belarus</c:v>
                </c:pt>
                <c:pt idx="13">
                  <c:v>Ungaria</c:v>
                </c:pt>
                <c:pt idx="14">
                  <c:v>Franța</c:v>
                </c:pt>
                <c:pt idx="15">
                  <c:v>Grecia</c:v>
                </c:pt>
                <c:pt idx="16">
                  <c:v>S.U.A</c:v>
                </c:pt>
                <c:pt idx="17">
                  <c:v>Liban</c:v>
                </c:pt>
                <c:pt idx="18">
                  <c:v>Portugalia</c:v>
                </c:pt>
                <c:pt idx="19">
                  <c:v>Spania</c:v>
                </c:pt>
              </c:strCache>
            </c:strRef>
          </c:cat>
          <c:val>
            <c:numRef>
              <c:f>'Figura 5'!$G$29:$G$48</c:f>
              <c:numCache>
                <c:formatCode>#\ ##0,0</c:formatCode>
                <c:ptCount val="20"/>
                <c:pt idx="0">
                  <c:v>30.438029393150924</c:v>
                </c:pt>
                <c:pt idx="1">
                  <c:v>9.3601121366183921</c:v>
                </c:pt>
                <c:pt idx="2">
                  <c:v>9.2103082738326449</c:v>
                </c:pt>
                <c:pt idx="3">
                  <c:v>8.3909558329551981</c:v>
                </c:pt>
                <c:pt idx="4">
                  <c:v>5.697233994179868</c:v>
                </c:pt>
                <c:pt idx="5">
                  <c:v>4.9141084170421312</c:v>
                </c:pt>
                <c:pt idx="6">
                  <c:v>4.6061207173326526</c:v>
                </c:pt>
                <c:pt idx="7">
                  <c:v>2.8377327277007232</c:v>
                </c:pt>
                <c:pt idx="8">
                  <c:v>2.820922236027307</c:v>
                </c:pt>
                <c:pt idx="9">
                  <c:v>2.1896458017236484</c:v>
                </c:pt>
                <c:pt idx="10">
                  <c:v>2.1613590039433497</c:v>
                </c:pt>
                <c:pt idx="11">
                  <c:v>1.7392550934904036</c:v>
                </c:pt>
                <c:pt idx="12">
                  <c:v>1.3241567323532664</c:v>
                </c:pt>
                <c:pt idx="13">
                  <c:v>1.1890839504408131</c:v>
                </c:pt>
                <c:pt idx="14">
                  <c:v>1.0774981150942227</c:v>
                </c:pt>
                <c:pt idx="15">
                  <c:v>0.98960437931818923</c:v>
                </c:pt>
                <c:pt idx="16">
                  <c:v>0.94801505943376518</c:v>
                </c:pt>
                <c:pt idx="17">
                  <c:v>0.81040786415604882</c:v>
                </c:pt>
                <c:pt idx="18">
                  <c:v>0.76317807464354737</c:v>
                </c:pt>
                <c:pt idx="19">
                  <c:v>0.74037313944470529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DD-42D8-B371-6A71C526E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5762464"/>
        <c:axId val="245763024"/>
      </c:barChart>
      <c:catAx>
        <c:axId val="24576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5763024"/>
        <c:crosses val="autoZero"/>
        <c:auto val="1"/>
        <c:lblAlgn val="ctr"/>
        <c:lblOffset val="100"/>
        <c:noMultiLvlLbl val="0"/>
      </c:catAx>
      <c:valAx>
        <c:axId val="245763024"/>
        <c:scaling>
          <c:orientation val="minMax"/>
          <c:max val="35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5762464"/>
        <c:crosses val="autoZero"/>
        <c:crossBetween val="between"/>
        <c:majorUnit val="5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0.90467162916110899"/>
          <c:w val="0.99628800865404332"/>
          <c:h val="9.04824080534237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1" baseline="0">
                <a:solidFill>
                  <a:sysClr val="windowText" lastClr="000000"/>
                </a:solidFill>
              </a:rPr>
              <a:t>Ianuarie-mai  2021</a:t>
            </a:r>
          </a:p>
        </c:rich>
      </c:tx>
      <c:layout>
        <c:manualLayout>
          <c:xMode val="edge"/>
          <c:yMode val="edge"/>
          <c:x val="0.33018857772446841"/>
          <c:y val="3.7970528213917789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450982871867027"/>
          <c:y val="0.14671789654880885"/>
          <c:w val="0.52484583099504412"/>
          <c:h val="0.57519206008434975"/>
        </c:manualLayout>
      </c:layout>
      <c:pieChart>
        <c:varyColors val="1"/>
        <c:ser>
          <c:idx val="0"/>
          <c:order val="0"/>
          <c:tx>
            <c:strRef>
              <c:f>'Figura 6'!$B$27</c:f>
              <c:strCache>
                <c:ptCount val="1"/>
                <c:pt idx="0">
                  <c:v>%</c:v>
                </c:pt>
              </c:strCache>
            </c:strRef>
          </c:tx>
          <c:spPr>
            <a:effectLst>
              <a:outerShdw blurRad="254000" sx="102000" sy="102000" algn="ctr" rotWithShape="0">
                <a:schemeClr val="bg1">
                  <a:alpha val="20000"/>
                </a:schemeClr>
              </a:outerShdw>
            </a:effectLst>
          </c:spPr>
          <c:dPt>
            <c:idx val="0"/>
            <c:bubble3D val="0"/>
            <c:spPr>
              <a:solidFill>
                <a:schemeClr val="accent1">
                  <a:tint val="44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812-4B6E-845E-70CFFD92003C}"/>
              </c:ext>
            </c:extLst>
          </c:dPt>
          <c:dPt>
            <c:idx val="1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812-4B6E-845E-70CFFD92003C}"/>
              </c:ext>
            </c:extLst>
          </c:dPt>
          <c:dPt>
            <c:idx val="2"/>
            <c:bubble3D val="0"/>
            <c:spPr>
              <a:solidFill>
                <a:schemeClr val="accent1">
                  <a:tint val="72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812-4B6E-845E-70CFFD92003C}"/>
              </c:ext>
            </c:extLst>
          </c:dPt>
          <c:dPt>
            <c:idx val="3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812-4B6E-845E-70CFFD92003C}"/>
              </c:ext>
            </c:extLst>
          </c:dPt>
          <c:dPt>
            <c:idx val="4"/>
            <c:bubble3D val="0"/>
            <c:spPr>
              <a:solidFill>
                <a:schemeClr val="accent1">
                  <a:tint val="89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812-4B6E-845E-70CFFD92003C}"/>
              </c:ext>
            </c:extLst>
          </c:dPt>
          <c:dPt>
            <c:idx val="5"/>
            <c:bubble3D val="0"/>
            <c:spPr>
              <a:solidFill>
                <a:schemeClr val="accent1">
                  <a:shade val="72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812-4B6E-845E-70CFFD92003C}"/>
              </c:ext>
            </c:extLst>
          </c:dPt>
          <c:dPt>
            <c:idx val="6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812-4B6E-845E-70CFFD92003C}"/>
              </c:ext>
            </c:extLst>
          </c:dPt>
          <c:dPt>
            <c:idx val="7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812-4B6E-845E-70CFFD92003C}"/>
              </c:ext>
            </c:extLst>
          </c:dPt>
          <c:dPt>
            <c:idx val="8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812-4B6E-845E-70CFFD92003C}"/>
              </c:ext>
            </c:extLst>
          </c:dPt>
          <c:dPt>
            <c:idx val="9"/>
            <c:bubble3D val="0"/>
            <c:spPr>
              <a:solidFill>
                <a:schemeClr val="accent1">
                  <a:shade val="44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812-4B6E-845E-70CFFD92003C}"/>
              </c:ext>
            </c:extLst>
          </c:dPt>
          <c:dPt>
            <c:idx val="10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812-4B6E-845E-70CFFD92003C}"/>
              </c:ext>
            </c:extLst>
          </c:dPt>
          <c:dPt>
            <c:idx val="11"/>
            <c:bubble3D val="0"/>
            <c:spPr>
              <a:solidFill>
                <a:schemeClr val="accent1">
                  <a:shade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F69E-460D-A00C-6B74A1C5392C}"/>
              </c:ext>
            </c:extLst>
          </c:dPt>
          <c:dLbls>
            <c:dLbl>
              <c:idx val="0"/>
              <c:layout>
                <c:manualLayout>
                  <c:x val="-6.8935203171631909E-3"/>
                  <c:y val="4.27989843660846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078821719321169"/>
                      <c:h val="0.153456864087641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812-4B6E-845E-70CFFD92003C}"/>
                </c:ext>
              </c:extLst>
            </c:dLbl>
            <c:dLbl>
              <c:idx val="1"/>
              <c:layout>
                <c:manualLayout>
                  <c:x val="-1.7173786356331787E-2"/>
                  <c:y val="4.56790887379059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79312761580165"/>
                      <c:h val="0.1700463025355692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812-4B6E-845E-70CFFD92003C}"/>
                </c:ext>
              </c:extLst>
            </c:dLbl>
            <c:dLbl>
              <c:idx val="2"/>
              <c:layout>
                <c:manualLayout>
                  <c:x val="-1.4668076108769858E-2"/>
                  <c:y val="-5.27042711911858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43833621816442"/>
                      <c:h val="0.1830075340400911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812-4B6E-845E-70CFFD92003C}"/>
                </c:ext>
              </c:extLst>
            </c:dLbl>
            <c:dLbl>
              <c:idx val="3"/>
              <c:layout>
                <c:manualLayout>
                  <c:x val="-1.5056169358209932E-2"/>
                  <c:y val="-2.52529877341049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55217019040984"/>
                      <c:h val="0.167969949319385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812-4B6E-845E-70CFFD92003C}"/>
                </c:ext>
              </c:extLst>
            </c:dLbl>
            <c:dLbl>
              <c:idx val="4"/>
              <c:layout>
                <c:manualLayout>
                  <c:x val="-4.3164728177371221E-2"/>
                  <c:y val="-2.15583989501313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646158566651464"/>
                      <c:h val="0.1429848885948169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812-4B6E-845E-70CFFD92003C}"/>
                </c:ext>
              </c:extLst>
            </c:dLbl>
            <c:dLbl>
              <c:idx val="5"/>
              <c:layout>
                <c:manualLayout>
                  <c:x val="-1.246879249298038E-2"/>
                  <c:y val="3.16632431815588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364995561692202"/>
                      <c:h val="0.1541659132930108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F812-4B6E-845E-70CFFD92003C}"/>
                </c:ext>
              </c:extLst>
            </c:dLbl>
            <c:dLbl>
              <c:idx val="6"/>
              <c:layout>
                <c:manualLayout>
                  <c:x val="3.7050705714588447E-2"/>
                  <c:y val="-1.51260983681387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742308013870364"/>
                      <c:h val="0.1713725787542796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F812-4B6E-845E-70CFFD92003C}"/>
                </c:ext>
              </c:extLst>
            </c:dLbl>
            <c:dLbl>
              <c:idx val="7"/>
              <c:layout>
                <c:manualLayout>
                  <c:x val="2.803446787751426E-2"/>
                  <c:y val="8.131205066757959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528948610824836"/>
                      <c:h val="0.138917824917906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F812-4B6E-845E-70CFFD92003C}"/>
                </c:ext>
              </c:extLst>
            </c:dLbl>
            <c:dLbl>
              <c:idx val="8"/>
              <c:layout>
                <c:manualLayout>
                  <c:x val="1.9167783257103502E-2"/>
                  <c:y val="2.6173542165924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53817813880246"/>
                      <c:h val="0.152391008699940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F812-4B6E-845E-70CFFD92003C}"/>
                </c:ext>
              </c:extLst>
            </c:dLbl>
            <c:dLbl>
              <c:idx val="9"/>
              <c:layout>
                <c:manualLayout>
                  <c:x val="2.6754021933000161E-3"/>
                  <c:y val="1.58881090950587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07749395164853"/>
                      <c:h val="0.1574230001032480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F812-4B6E-845E-70CFFD92003C}"/>
                </c:ext>
              </c:extLst>
            </c:dLbl>
            <c:dLbl>
              <c:idx val="10"/>
              <c:layout>
                <c:manualLayout>
                  <c:x val="1.3916037181909686E-2"/>
                  <c:y val="-5.72248373844573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338009767312363"/>
                      <c:h val="0.134442493773731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F812-4B6E-845E-70CFFD92003C}"/>
                </c:ext>
              </c:extLst>
            </c:dLbl>
            <c:dLbl>
              <c:idx val="11"/>
              <c:layout>
                <c:manualLayout>
                  <c:x val="2.8034322177825349E-2"/>
                  <c:y val="1.50506558725233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69E-460D-A00C-6B74A1C5392C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>
                <a:outerShdw sx="1000" sy="1000" algn="tl" rotWithShape="0">
                  <a:schemeClr val="bg1"/>
                </a:outerShdw>
              </a:effectLst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'Figura 6'!$A$28:$A$39</c:f>
              <c:strCache>
                <c:ptCount val="12"/>
                <c:pt idx="0">
                  <c:v>Cereale şi preparate pe bază de cereale</c:v>
                </c:pt>
                <c:pt idx="1">
                  <c:v>Maşini şi aparate electrice </c:v>
                </c:pt>
                <c:pt idx="2">
                  <c:v>Seminţe şi fructe oleaginoase</c:v>
                </c:pt>
                <c:pt idx="3">
                  <c:v>Grăsimi şi uleiuri vegetale </c:v>
                </c:pt>
                <c:pt idx="4">
                  <c:v>Legume şi fructe</c:v>
                </c:pt>
                <c:pt idx="5">
                  <c:v>Petrol şi produse petroliere </c:v>
                </c:pt>
                <c:pt idx="6">
                  <c:v>Îmbrăcăminte şi accesorii</c:v>
                </c:pt>
                <c:pt idx="7">
                  <c:v>Mobilă şi părţile ei</c:v>
                </c:pt>
                <c:pt idx="8">
                  <c:v>Băuturi alcoolice şi nealcoolice</c:v>
                </c:pt>
                <c:pt idx="9">
                  <c:v>Fire, tesături şi articole textile </c:v>
                </c:pt>
                <c:pt idx="10">
                  <c:v>Vehicule rutiere</c:v>
                </c:pt>
                <c:pt idx="11">
                  <c:v>Alte mărfuri</c:v>
                </c:pt>
              </c:strCache>
            </c:strRef>
          </c:cat>
          <c:val>
            <c:numRef>
              <c:f>'Figura 6'!$B$28:$B$39</c:f>
              <c:numCache>
                <c:formatCode>#\ ##0,0</c:formatCode>
                <c:ptCount val="12"/>
                <c:pt idx="0">
                  <c:v>4.7</c:v>
                </c:pt>
                <c:pt idx="1">
                  <c:v>22.2</c:v>
                </c:pt>
                <c:pt idx="2">
                  <c:v>6.7</c:v>
                </c:pt>
                <c:pt idx="3">
                  <c:v>2.9</c:v>
                </c:pt>
                <c:pt idx="4">
                  <c:v>10.199999999999999</c:v>
                </c:pt>
                <c:pt idx="5">
                  <c:v>1.1000000000000001</c:v>
                </c:pt>
                <c:pt idx="6">
                  <c:v>9.5</c:v>
                </c:pt>
                <c:pt idx="7">
                  <c:v>6.1</c:v>
                </c:pt>
                <c:pt idx="8">
                  <c:v>7</c:v>
                </c:pt>
                <c:pt idx="9">
                  <c:v>3</c:v>
                </c:pt>
                <c:pt idx="10">
                  <c:v>2</c:v>
                </c:pt>
                <c:pt idx="11">
                  <c:v>24.59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812-4B6E-845E-70CFFD92003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Ianuarie-mai  2022</a:t>
            </a:r>
          </a:p>
        </c:rich>
      </c:tx>
      <c:layout>
        <c:manualLayout>
          <c:xMode val="edge"/>
          <c:yMode val="edge"/>
          <c:x val="0.32718742246771393"/>
          <c:y val="1.39210252349741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521447700897249"/>
          <c:y val="0.17441150672618744"/>
          <c:w val="0.50365949978060554"/>
          <c:h val="0.58254936399254897"/>
        </c:manualLayout>
      </c:layout>
      <c:pieChart>
        <c:varyColors val="1"/>
        <c:ser>
          <c:idx val="0"/>
          <c:order val="0"/>
          <c:tx>
            <c:strRef>
              <c:f>'Figura 6'!$B$41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378-4F5F-8973-1809C55EF17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tint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378-4F5F-8973-1809C55EF17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tint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378-4F5F-8973-1809C55EF17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tint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378-4F5F-8973-1809C55EF17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tint val="89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9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9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378-4F5F-8973-1809C55EF17F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378-4F5F-8973-1809C55EF17F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378-4F5F-8973-1809C55EF17F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378-4F5F-8973-1809C55EF17F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1">
                      <a:shade val="65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65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65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378-4F5F-8973-1809C55EF17F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1">
                      <a:shade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378-4F5F-8973-1809C55EF17F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1">
                      <a:shade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378-4F5F-8973-1809C55EF17F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1">
                      <a:shade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261C-4E0F-A07C-6A7A31799D50}"/>
              </c:ext>
            </c:extLst>
          </c:dPt>
          <c:dLbls>
            <c:dLbl>
              <c:idx val="0"/>
              <c:layout>
                <c:manualLayout>
                  <c:x val="-4.1824604014050477E-2"/>
                  <c:y val="5.6608570583577753E-2"/>
                </c:manualLayout>
              </c:layout>
              <c:numFmt formatCode="0,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635562345751557"/>
                      <c:h val="0.1712678749403548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378-4F5F-8973-1809C55EF17F}"/>
                </c:ext>
              </c:extLst>
            </c:dLbl>
            <c:dLbl>
              <c:idx val="1"/>
              <c:layout>
                <c:manualLayout>
                  <c:x val="-3.4504511562920309E-2"/>
                  <c:y val="6.511902132806358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338804107152662"/>
                      <c:h val="0.1899408093020311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378-4F5F-8973-1809C55EF17F}"/>
                </c:ext>
              </c:extLst>
            </c:dLbl>
            <c:dLbl>
              <c:idx val="2"/>
              <c:layout>
                <c:manualLayout>
                  <c:x val="-1.883861532233844E-2"/>
                  <c:y val="-3.3895017730476165E-2"/>
                </c:manualLayout>
              </c:layout>
              <c:numFmt formatCode="0,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0174252144592561"/>
                      <c:h val="0.158328307741784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378-4F5F-8973-1809C55EF17F}"/>
                </c:ext>
              </c:extLst>
            </c:dLbl>
            <c:dLbl>
              <c:idx val="3"/>
              <c:layout>
                <c:manualLayout>
                  <c:x val="-1.6119664146459305E-2"/>
                  <c:y val="-3.01094838308814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869398380642292"/>
                      <c:h val="0.179174230194518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4378-4F5F-8973-1809C55EF17F}"/>
                </c:ext>
              </c:extLst>
            </c:dLbl>
            <c:dLbl>
              <c:idx val="4"/>
              <c:layout>
                <c:manualLayout>
                  <c:x val="8.8585680521278118E-2"/>
                  <c:y val="-9.589132402430889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72233321581071"/>
                      <c:h val="0.166876351994462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4378-4F5F-8973-1809C55EF17F}"/>
                </c:ext>
              </c:extLst>
            </c:dLbl>
            <c:dLbl>
              <c:idx val="5"/>
              <c:layout>
                <c:manualLayout>
                  <c:x val="4.006790196001616E-2"/>
                  <c:y val="4.14563592278001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378-4F5F-8973-1809C55EF17F}"/>
                </c:ext>
              </c:extLst>
            </c:dLbl>
            <c:dLbl>
              <c:idx val="6"/>
              <c:layout>
                <c:manualLayout>
                  <c:x val="1.9901280996591844E-2"/>
                  <c:y val="9.29665678398112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35028270719893"/>
                      <c:h val="0.127828013240730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4378-4F5F-8973-1809C55EF17F}"/>
                </c:ext>
              </c:extLst>
            </c:dLbl>
            <c:dLbl>
              <c:idx val="7"/>
              <c:layout>
                <c:manualLayout>
                  <c:x val="1.9525469764040689E-2"/>
                  <c:y val="7.9188116976516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05300270302033"/>
                      <c:h val="0.1228913040465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378-4F5F-8973-1809C55EF17F}"/>
                </c:ext>
              </c:extLst>
            </c:dLbl>
            <c:dLbl>
              <c:idx val="8"/>
              <c:layout>
                <c:manualLayout>
                  <c:x val="1.1608623548922056E-2"/>
                  <c:y val="1.17623887339673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871926456954075"/>
                      <c:h val="0.162072376276851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4378-4F5F-8973-1809C55EF17F}"/>
                </c:ext>
              </c:extLst>
            </c:dLbl>
            <c:dLbl>
              <c:idx val="9"/>
              <c:layout>
                <c:manualLayout>
                  <c:x val="1.1396821665948471E-2"/>
                  <c:y val="-6.61767566559372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188963319883522"/>
                      <c:h val="0.11239199513913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378-4F5F-8973-1809C55EF17F}"/>
                </c:ext>
              </c:extLst>
            </c:dLbl>
            <c:dLbl>
              <c:idx val="10"/>
              <c:layout>
                <c:manualLayout>
                  <c:x val="6.633499170812604E-2"/>
                  <c:y val="-0.1185125009493175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954890888050793"/>
                      <c:h val="0.1546254096523336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4378-4F5F-8973-1809C55EF17F}"/>
                </c:ext>
              </c:extLst>
            </c:dLbl>
            <c:dLbl>
              <c:idx val="11"/>
              <c:layout>
                <c:manualLayout>
                  <c:x val="0.12271973466003314"/>
                  <c:y val="-2.82092957786859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61C-4E0F-A07C-6A7A31799D50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'Figura 6'!$A$42:$A$53</c:f>
              <c:strCache>
                <c:ptCount val="12"/>
                <c:pt idx="0">
                  <c:v>Cereale şi preparate pe bază de cereale</c:v>
                </c:pt>
                <c:pt idx="1">
                  <c:v>Maşini şi aparate electrice </c:v>
                </c:pt>
                <c:pt idx="2">
                  <c:v>Seminţe şi fructe oleaginoase</c:v>
                </c:pt>
                <c:pt idx="3">
                  <c:v>Grăsimi şi uleiuri vegetale </c:v>
                </c:pt>
                <c:pt idx="4">
                  <c:v>Legume şi fructe</c:v>
                </c:pt>
                <c:pt idx="5">
                  <c:v>Petrol şi produse petroliere </c:v>
                </c:pt>
                <c:pt idx="6">
                  <c:v>Îmbrăcăminte şi accesorii</c:v>
                </c:pt>
                <c:pt idx="7">
                  <c:v>Mobilă şi părţile ei</c:v>
                </c:pt>
                <c:pt idx="8">
                  <c:v>Băuturi alcoolice şi nealcoolice</c:v>
                </c:pt>
                <c:pt idx="9">
                  <c:v>Fire, tesături şi articole textile </c:v>
                </c:pt>
                <c:pt idx="10">
                  <c:v>Vehicule rutiere</c:v>
                </c:pt>
                <c:pt idx="11">
                  <c:v>Alte mărfuri</c:v>
                </c:pt>
              </c:strCache>
            </c:strRef>
          </c:cat>
          <c:val>
            <c:numRef>
              <c:f>'Figura 6'!$B$42:$B$53</c:f>
              <c:numCache>
                <c:formatCode>#\ ##0,0</c:formatCode>
                <c:ptCount val="12"/>
                <c:pt idx="0">
                  <c:v>16.3</c:v>
                </c:pt>
                <c:pt idx="1">
                  <c:v>12.2</c:v>
                </c:pt>
                <c:pt idx="2">
                  <c:v>11.8</c:v>
                </c:pt>
                <c:pt idx="3">
                  <c:v>9.8000000000000007</c:v>
                </c:pt>
                <c:pt idx="4">
                  <c:v>8.1999999999999993</c:v>
                </c:pt>
                <c:pt idx="5">
                  <c:v>6.5</c:v>
                </c:pt>
                <c:pt idx="6">
                  <c:v>6.4</c:v>
                </c:pt>
                <c:pt idx="7">
                  <c:v>3.4</c:v>
                </c:pt>
                <c:pt idx="8">
                  <c:v>3.2</c:v>
                </c:pt>
                <c:pt idx="9">
                  <c:v>2.1</c:v>
                </c:pt>
                <c:pt idx="10">
                  <c:v>2.1</c:v>
                </c:pt>
                <c:pt idx="1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378-4F5F-8973-1809C55EF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315800362667183E-2"/>
          <c:y val="8.2824526452265762E-2"/>
          <c:w val="0.94068416183226722"/>
          <c:h val="0.711200158199403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'Figura 7'!$B$25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7'!$A$26:$A$31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7'!$B$26:$B$31</c:f>
              <c:numCache>
                <c:formatCode>#\ ##0,0</c:formatCode>
                <c:ptCount val="6"/>
                <c:pt idx="0">
                  <c:v>266.8</c:v>
                </c:pt>
                <c:pt idx="1">
                  <c:v>374.3</c:v>
                </c:pt>
                <c:pt idx="2">
                  <c:v>372.6</c:v>
                </c:pt>
                <c:pt idx="3">
                  <c:v>379.8</c:v>
                </c:pt>
                <c:pt idx="4">
                  <c:v>399.4</c:v>
                </c:pt>
                <c:pt idx="5">
                  <c:v>621.20000000000005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85-4F6B-A686-03D9A8D64A69}"/>
            </c:ext>
          </c:extLst>
        </c:ser>
        <c:ser>
          <c:idx val="2"/>
          <c:order val="1"/>
          <c:tx>
            <c:strRef>
              <c:f>'Figura 7'!$C$25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7'!$A$26:$A$31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7'!$C$26:$C$31</c:f>
              <c:numCache>
                <c:formatCode>#\ ##0,0</c:formatCode>
                <c:ptCount val="6"/>
                <c:pt idx="0">
                  <c:v>332.7</c:v>
                </c:pt>
                <c:pt idx="1">
                  <c:v>427.6</c:v>
                </c:pt>
                <c:pt idx="2">
                  <c:v>459.3</c:v>
                </c:pt>
                <c:pt idx="3">
                  <c:v>484.8</c:v>
                </c:pt>
                <c:pt idx="4">
                  <c:v>521.4</c:v>
                </c:pt>
                <c:pt idx="5">
                  <c:v>669.1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85-4F6B-A686-03D9A8D64A69}"/>
            </c:ext>
          </c:extLst>
        </c:ser>
        <c:ser>
          <c:idx val="3"/>
          <c:order val="2"/>
          <c:tx>
            <c:strRef>
              <c:f>'Figura 7'!$D$25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7'!$A$26:$A$31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7'!$D$26:$D$31</c:f>
              <c:numCache>
                <c:formatCode>#\ ##0,0</c:formatCode>
                <c:ptCount val="6"/>
                <c:pt idx="0">
                  <c:v>431.2</c:v>
                </c:pt>
                <c:pt idx="1">
                  <c:v>524.1</c:v>
                </c:pt>
                <c:pt idx="2">
                  <c:v>533.79999999999995</c:v>
                </c:pt>
                <c:pt idx="3">
                  <c:v>500.5</c:v>
                </c:pt>
                <c:pt idx="4">
                  <c:v>630.1</c:v>
                </c:pt>
                <c:pt idx="5">
                  <c:v>747.3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85-4F6B-A686-03D9A8D64A69}"/>
            </c:ext>
          </c:extLst>
        </c:ser>
        <c:ser>
          <c:idx val="4"/>
          <c:order val="3"/>
          <c:tx>
            <c:strRef>
              <c:f>'Figura 7'!$E$25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7'!$A$26:$A$31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7'!$E$26:$E$31</c:f>
              <c:numCache>
                <c:formatCode>#\ ##0,0</c:formatCode>
                <c:ptCount val="6"/>
                <c:pt idx="0">
                  <c:v>361.5</c:v>
                </c:pt>
                <c:pt idx="1">
                  <c:v>444.6</c:v>
                </c:pt>
                <c:pt idx="2">
                  <c:v>515.6</c:v>
                </c:pt>
                <c:pt idx="3">
                  <c:v>285.60000000000002</c:v>
                </c:pt>
                <c:pt idx="4">
                  <c:v>562.20000000000005</c:v>
                </c:pt>
                <c:pt idx="5">
                  <c:v>770.8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5-4F6B-A686-03D9A8D64A69}"/>
            </c:ext>
          </c:extLst>
        </c:ser>
        <c:ser>
          <c:idx val="5"/>
          <c:order val="4"/>
          <c:tx>
            <c:strRef>
              <c:f>'Figura 7'!$F$25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7'!$A$26:$A$31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7'!$F$26:$F$31</c:f>
              <c:numCache>
                <c:formatCode>#\ ##0,0</c:formatCode>
                <c:ptCount val="6"/>
                <c:pt idx="0">
                  <c:v>400.4</c:v>
                </c:pt>
                <c:pt idx="1">
                  <c:v>505.6</c:v>
                </c:pt>
                <c:pt idx="2">
                  <c:v>481.6</c:v>
                </c:pt>
                <c:pt idx="3">
                  <c:v>329.4</c:v>
                </c:pt>
                <c:pt idx="4">
                  <c:v>563.4</c:v>
                </c:pt>
                <c:pt idx="5">
                  <c:v>772.6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85-4F6B-A686-03D9A8D64A69}"/>
            </c:ext>
          </c:extLst>
        </c:ser>
        <c:ser>
          <c:idx val="6"/>
          <c:order val="5"/>
          <c:tx>
            <c:strRef>
              <c:f>'Figura 7'!$G$25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7'!$A$26:$A$31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7'!$G$26:$G$31</c:f>
              <c:numCache>
                <c:formatCode>#\ ##0,0</c:formatCode>
                <c:ptCount val="6"/>
                <c:pt idx="0">
                  <c:v>388.8</c:v>
                </c:pt>
                <c:pt idx="1">
                  <c:v>458.7</c:v>
                </c:pt>
                <c:pt idx="2">
                  <c:v>445.4</c:v>
                </c:pt>
                <c:pt idx="3">
                  <c:v>413.5</c:v>
                </c:pt>
                <c:pt idx="4">
                  <c:v>589.6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85-4F6B-A686-03D9A8D64A69}"/>
            </c:ext>
          </c:extLst>
        </c:ser>
        <c:ser>
          <c:idx val="7"/>
          <c:order val="6"/>
          <c:tx>
            <c:strRef>
              <c:f>'Figura 7'!$H$25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7'!$A$26:$A$31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7'!$H$26:$H$31</c:f>
              <c:numCache>
                <c:formatCode>#\ ##0,0</c:formatCode>
                <c:ptCount val="6"/>
                <c:pt idx="0">
                  <c:v>396.9</c:v>
                </c:pt>
                <c:pt idx="1">
                  <c:v>488</c:v>
                </c:pt>
                <c:pt idx="2">
                  <c:v>499.1</c:v>
                </c:pt>
                <c:pt idx="3">
                  <c:v>496.6</c:v>
                </c:pt>
                <c:pt idx="4">
                  <c:v>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85-4F6B-A686-03D9A8D64A69}"/>
            </c:ext>
          </c:extLst>
        </c:ser>
        <c:ser>
          <c:idx val="8"/>
          <c:order val="7"/>
          <c:tx>
            <c:strRef>
              <c:f>'Figura 7'!$I$25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7'!$A$26:$A$31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7'!$I$26:$I$31</c:f>
              <c:numCache>
                <c:formatCode>#\ ##0,0</c:formatCode>
                <c:ptCount val="6"/>
                <c:pt idx="0">
                  <c:v>429.7</c:v>
                </c:pt>
                <c:pt idx="1">
                  <c:v>480.7</c:v>
                </c:pt>
                <c:pt idx="2">
                  <c:v>464.3</c:v>
                </c:pt>
                <c:pt idx="3">
                  <c:v>433.6</c:v>
                </c:pt>
                <c:pt idx="4">
                  <c:v>574.9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85-4F6B-A686-03D9A8D64A69}"/>
            </c:ext>
          </c:extLst>
        </c:ser>
        <c:ser>
          <c:idx val="9"/>
          <c:order val="8"/>
          <c:tx>
            <c:strRef>
              <c:f>'Figura 7'!$J$25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7'!$A$26:$A$31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7'!$J$26:$J$31</c:f>
              <c:numCache>
                <c:formatCode>#\ ##0,0</c:formatCode>
                <c:ptCount val="6"/>
                <c:pt idx="0">
                  <c:v>430.8</c:v>
                </c:pt>
                <c:pt idx="1">
                  <c:v>474</c:v>
                </c:pt>
                <c:pt idx="2">
                  <c:v>501.7</c:v>
                </c:pt>
                <c:pt idx="3">
                  <c:v>508.3</c:v>
                </c:pt>
                <c:pt idx="4">
                  <c:v>671.2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385-4F6B-A686-03D9A8D64A69}"/>
            </c:ext>
          </c:extLst>
        </c:ser>
        <c:ser>
          <c:idx val="10"/>
          <c:order val="9"/>
          <c:tx>
            <c:strRef>
              <c:f>'Figura 7'!$K$25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7'!$A$26:$A$31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7'!$K$26:$K$31</c:f>
              <c:numCache>
                <c:formatCode>#\ ##0,0</c:formatCode>
                <c:ptCount val="6"/>
                <c:pt idx="0">
                  <c:v>465.9</c:v>
                </c:pt>
                <c:pt idx="1">
                  <c:v>540.6</c:v>
                </c:pt>
                <c:pt idx="2">
                  <c:v>525.29999999999995</c:v>
                </c:pt>
                <c:pt idx="3">
                  <c:v>493.6</c:v>
                </c:pt>
                <c:pt idx="4">
                  <c:v>646.79999999999995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85-4F6B-A686-03D9A8D64A69}"/>
            </c:ext>
          </c:extLst>
        </c:ser>
        <c:ser>
          <c:idx val="11"/>
          <c:order val="10"/>
          <c:tx>
            <c:strRef>
              <c:f>'Figura 7'!$L$25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7'!$A$26:$A$31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7'!$L$26:$L$31</c:f>
              <c:numCache>
                <c:formatCode>#\ ##0,0</c:formatCode>
                <c:ptCount val="6"/>
                <c:pt idx="0">
                  <c:v>455.3</c:v>
                </c:pt>
                <c:pt idx="1">
                  <c:v>522.6</c:v>
                </c:pt>
                <c:pt idx="2">
                  <c:v>504.1</c:v>
                </c:pt>
                <c:pt idx="3">
                  <c:v>522.9</c:v>
                </c:pt>
                <c:pt idx="4">
                  <c:v>700.9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385-4F6B-A686-03D9A8D64A69}"/>
            </c:ext>
          </c:extLst>
        </c:ser>
        <c:ser>
          <c:idx val="12"/>
          <c:order val="11"/>
          <c:tx>
            <c:strRef>
              <c:f>'Figura 7'!$M$25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7'!$A$26:$A$31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7'!$M$26:$M$31</c:f>
              <c:numCache>
                <c:formatCode>#\ ##0,0</c:formatCode>
                <c:ptCount val="6"/>
                <c:pt idx="0">
                  <c:v>471.4</c:v>
                </c:pt>
                <c:pt idx="1">
                  <c:v>519.29999999999995</c:v>
                </c:pt>
                <c:pt idx="2">
                  <c:v>539.70000000000005</c:v>
                </c:pt>
                <c:pt idx="3">
                  <c:v>567.29999999999995</c:v>
                </c:pt>
                <c:pt idx="4">
                  <c:v>754.2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CF-4049-8950-86FE86034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47836624"/>
        <c:axId val="247837184"/>
      </c:barChart>
      <c:catAx>
        <c:axId val="24783662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7837184"/>
        <c:crosses val="autoZero"/>
        <c:auto val="0"/>
        <c:lblAlgn val="ctr"/>
        <c:lblOffset val="100"/>
        <c:tickLblSkip val="1"/>
        <c:noMultiLvlLbl val="0"/>
      </c:catAx>
      <c:valAx>
        <c:axId val="247837184"/>
        <c:scaling>
          <c:orientation val="minMax"/>
          <c:max val="8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\ ##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7836624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0322762736849671"/>
          <c:w val="1"/>
          <c:h val="7.8507415488726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57973110504047E-2"/>
          <c:y val="5.1899231071189426E-2"/>
          <c:w val="0.93864202688949594"/>
          <c:h val="0.70291515613334254"/>
        </c:manualLayout>
      </c:layout>
      <c:lineChart>
        <c:grouping val="standard"/>
        <c:varyColors val="0"/>
        <c:ser>
          <c:idx val="0"/>
          <c:order val="0"/>
          <c:tx>
            <c:strRef>
              <c:f>'Figura 8'!$A$27</c:f>
              <c:strCache>
                <c:ptCount val="1"/>
                <c:pt idx="0">
                  <c:v>În % faţă de luna precedentă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8654111377711422E-2"/>
                  <c:y val="3.1597961271824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C5-4341-8624-B7AE9C654835}"/>
                </c:ext>
              </c:extLst>
            </c:dLbl>
            <c:dLbl>
              <c:idx val="1"/>
              <c:layout>
                <c:manualLayout>
                  <c:x val="-1.9671146801135374E-2"/>
                  <c:y val="-3.51507569995786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C5-4341-8624-B7AE9C654835}"/>
                </c:ext>
              </c:extLst>
            </c:dLbl>
            <c:dLbl>
              <c:idx val="2"/>
              <c:layout>
                <c:manualLayout>
                  <c:x val="-1.2918992567953582E-2"/>
                  <c:y val="-2.7061640612603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C5-4341-8624-B7AE9C654835}"/>
                </c:ext>
              </c:extLst>
            </c:dLbl>
            <c:dLbl>
              <c:idx val="3"/>
              <c:layout>
                <c:manualLayout>
                  <c:x val="-3.2461128025219915E-2"/>
                  <c:y val="-1.13594393771100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C5-4341-8624-B7AE9C654835}"/>
                </c:ext>
              </c:extLst>
            </c:dLbl>
            <c:dLbl>
              <c:idx val="4"/>
              <c:layout>
                <c:manualLayout>
                  <c:x val="-3.6392090059047318E-2"/>
                  <c:y val="-1.701675959313062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C5-4341-8624-B7AE9C654835}"/>
                </c:ext>
              </c:extLst>
            </c:dLbl>
            <c:dLbl>
              <c:idx val="5"/>
              <c:layout>
                <c:manualLayout>
                  <c:x val="-3.2759302146055269E-2"/>
                  <c:y val="-3.0066727552472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C5-4341-8624-B7AE9C654835}"/>
                </c:ext>
              </c:extLst>
            </c:dLbl>
            <c:dLbl>
              <c:idx val="6"/>
              <c:layout>
                <c:manualLayout>
                  <c:x val="-9.3865162244377749E-3"/>
                  <c:y val="-1.818324204835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C5-4341-8624-B7AE9C654835}"/>
                </c:ext>
              </c:extLst>
            </c:dLbl>
            <c:dLbl>
              <c:idx val="7"/>
              <c:layout>
                <c:manualLayout>
                  <c:x val="-1.8153441655881019E-2"/>
                  <c:y val="3.7047701643129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C5-4341-8624-B7AE9C654835}"/>
                </c:ext>
              </c:extLst>
            </c:dLbl>
            <c:dLbl>
              <c:idx val="8"/>
              <c:layout>
                <c:manualLayout>
                  <c:x val="-2.2523170389309947E-2"/>
                  <c:y val="-3.1007025568912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C5-4341-8624-B7AE9C654835}"/>
                </c:ext>
              </c:extLst>
            </c:dLbl>
            <c:dLbl>
              <c:idx val="9"/>
              <c:layout>
                <c:manualLayout>
                  <c:x val="-1.066581865665797E-2"/>
                  <c:y val="-2.42334934696133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C5-4341-8624-B7AE9C654835}"/>
                </c:ext>
              </c:extLst>
            </c:dLbl>
            <c:dLbl>
              <c:idx val="10"/>
              <c:layout>
                <c:manualLayout>
                  <c:x val="-2.0353361350123261E-2"/>
                  <c:y val="-3.2330817296906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DC5-4341-8624-B7AE9C654835}"/>
                </c:ext>
              </c:extLst>
            </c:dLbl>
            <c:dLbl>
              <c:idx val="11"/>
              <c:layout>
                <c:manualLayout>
                  <c:x val="-1.5565432961656561E-2"/>
                  <c:y val="-5.0850685957375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C5-4341-8624-B7AE9C654835}"/>
                </c:ext>
              </c:extLst>
            </c:dLbl>
            <c:dLbl>
              <c:idx val="12"/>
              <c:layout>
                <c:manualLayout>
                  <c:x val="-1.8026992920953038E-2"/>
                  <c:y val="3.6586717078588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DC5-4341-8624-B7AE9C654835}"/>
                </c:ext>
              </c:extLst>
            </c:dLbl>
            <c:dLbl>
              <c:idx val="13"/>
              <c:layout>
                <c:manualLayout>
                  <c:x val="-2.5920869518839741E-2"/>
                  <c:y val="-3.3577664271918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DC5-4341-8624-B7AE9C654835}"/>
                </c:ext>
              </c:extLst>
            </c:dLbl>
            <c:dLbl>
              <c:idx val="14"/>
              <c:layout>
                <c:manualLayout>
                  <c:x val="-5.8322577049242296E-3"/>
                  <c:y val="1.3942731217272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DC5-4341-8624-B7AE9C654835}"/>
                </c:ext>
              </c:extLst>
            </c:dLbl>
            <c:dLbl>
              <c:idx val="15"/>
              <c:layout>
                <c:manualLayout>
                  <c:x val="-1.9572486356910244E-2"/>
                  <c:y val="3.38994643277285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DC5-4341-8624-B7AE9C654835}"/>
                </c:ext>
              </c:extLst>
            </c:dLbl>
            <c:dLbl>
              <c:idx val="16"/>
              <c:layout>
                <c:manualLayout>
                  <c:x val="-1.9767805207125271E-2"/>
                  <c:y val="3.2724774432181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DC5-4341-8624-B7AE9C654835}"/>
                </c:ext>
              </c:extLst>
            </c:dLbl>
            <c:dLbl>
              <c:idx val="17"/>
              <c:layout>
                <c:manualLayout>
                  <c:x val="-1.8379912221033991E-2"/>
                  <c:y val="-3.0315206745421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DC5-4341-8624-B7AE9C654835}"/>
                </c:ext>
              </c:extLst>
            </c:dLbl>
            <c:dLbl>
              <c:idx val="18"/>
              <c:layout>
                <c:manualLayout>
                  <c:x val="-1.212602526380057E-2"/>
                  <c:y val="2.71679953600604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DC5-4341-8624-B7AE9C654835}"/>
                </c:ext>
              </c:extLst>
            </c:dLbl>
            <c:dLbl>
              <c:idx val="19"/>
              <c:layout>
                <c:manualLayout>
                  <c:x val="-1.3645096393407677E-2"/>
                  <c:y val="2.6929630641595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DC5-4341-8624-B7AE9C654835}"/>
                </c:ext>
              </c:extLst>
            </c:dLbl>
            <c:dLbl>
              <c:idx val="20"/>
              <c:layout>
                <c:manualLayout>
                  <c:x val="-2.477586381142929E-2"/>
                  <c:y val="-2.3720186473044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DC5-4341-8624-B7AE9C654835}"/>
                </c:ext>
              </c:extLst>
            </c:dLbl>
            <c:dLbl>
              <c:idx val="21"/>
              <c:layout>
                <c:manualLayout>
                  <c:x val="-1.8672168312981918E-2"/>
                  <c:y val="3.5341828328241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DC5-4341-8624-B7AE9C654835}"/>
                </c:ext>
              </c:extLst>
            </c:dLbl>
            <c:dLbl>
              <c:idx val="22"/>
              <c:layout>
                <c:manualLayout>
                  <c:x val="-2.5413680432803041E-2"/>
                  <c:y val="-2.98127965754480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309466480373265E-2"/>
                      <c:h val="4.7087442145441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6-7DC5-4341-8624-B7AE9C654835}"/>
                </c:ext>
              </c:extLst>
            </c:dLbl>
            <c:dLbl>
              <c:idx val="23"/>
              <c:layout>
                <c:manualLayout>
                  <c:x val="-5.8775037690371812E-3"/>
                  <c:y val="-6.321438928436591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DC5-4341-8624-B7AE9C654835}"/>
                </c:ext>
              </c:extLst>
            </c:dLbl>
            <c:dLbl>
              <c:idx val="24"/>
              <c:layout>
                <c:manualLayout>
                  <c:x val="-1.3910011783178147E-2"/>
                  <c:y val="3.1272741449215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DC5-4341-8624-B7AE9C654835}"/>
                </c:ext>
              </c:extLst>
            </c:dLbl>
            <c:dLbl>
              <c:idx val="25"/>
              <c:layout>
                <c:manualLayout>
                  <c:x val="-2.4389030047578256E-2"/>
                  <c:y val="-2.5385954880964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DC5-4341-8624-B7AE9C654835}"/>
                </c:ext>
              </c:extLst>
            </c:dLbl>
            <c:dLbl>
              <c:idx val="26"/>
              <c:layout>
                <c:manualLayout>
                  <c:x val="-1.8058692171501647E-2"/>
                  <c:y val="3.2149911633225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4C-4954-B7BA-1B3D8193EA75}"/>
                </c:ext>
              </c:extLst>
            </c:dLbl>
            <c:dLbl>
              <c:idx val="27"/>
              <c:layout>
                <c:manualLayout>
                  <c:x val="-1.8058692171501793E-2"/>
                  <c:y val="4.9522326973479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4C-4954-B7BA-1B3D8193EA75}"/>
                </c:ext>
              </c:extLst>
            </c:dLbl>
            <c:dLbl>
              <c:idx val="28"/>
              <c:layout>
                <c:manualLayout>
                  <c:x val="0"/>
                  <c:y val="-2.90839556701995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4C-4954-B7BA-1B3D8193EA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8'!$N$25:$AP$26</c:f>
              <c:multiLvlStrCache>
                <c:ptCount val="2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'Figura 8'!$N$27:$AP$27</c:f>
              <c:numCache>
                <c:formatCode>#\ ##0,0</c:formatCode>
                <c:ptCount val="29"/>
                <c:pt idx="0">
                  <c:v>70.382208343865415</c:v>
                </c:pt>
                <c:pt idx="1">
                  <c:v>127.63158194440297</c:v>
                </c:pt>
                <c:pt idx="2">
                  <c:v>103.24095247310265</c:v>
                </c:pt>
                <c:pt idx="3">
                  <c:v>57.064146061655876</c:v>
                </c:pt>
                <c:pt idx="4">
                  <c:v>115.32045479750228</c:v>
                </c:pt>
                <c:pt idx="5">
                  <c:v>125.55839051166471</c:v>
                </c:pt>
                <c:pt idx="6">
                  <c:v>120.09478099934977</c:v>
                </c:pt>
                <c:pt idx="7">
                  <c:v>87.312042792465732</c:v>
                </c:pt>
                <c:pt idx="8">
                  <c:v>117.22959939467061</c:v>
                </c:pt>
                <c:pt idx="9">
                  <c:v>97.096953437578748</c:v>
                </c:pt>
                <c:pt idx="10">
                  <c:v>105.93754706899317</c:v>
                </c:pt>
                <c:pt idx="11">
                  <c:v>108.49423751970338</c:v>
                </c:pt>
                <c:pt idx="12">
                  <c:v>70.397914008513311</c:v>
                </c:pt>
                <c:pt idx="13">
                  <c:v>130.56565598353049</c:v>
                </c:pt>
                <c:pt idx="14">
                  <c:v>120.83026196604835</c:v>
                </c:pt>
                <c:pt idx="15">
                  <c:v>89.231037795592442</c:v>
                </c:pt>
                <c:pt idx="16">
                  <c:v>100.2114807539604</c:v>
                </c:pt>
                <c:pt idx="17">
                  <c:v>104.66057637383682</c:v>
                </c:pt>
                <c:pt idx="18">
                  <c:v>95.30942393156748</c:v>
                </c:pt>
                <c:pt idx="19">
                  <c:v>102.30310816744974</c:v>
                </c:pt>
                <c:pt idx="20">
                  <c:v>116.7433114933096</c:v>
                </c:pt>
                <c:pt idx="21">
                  <c:v>96.368466717330918</c:v>
                </c:pt>
                <c:pt idx="22">
                  <c:v>108.356473297166</c:v>
                </c:pt>
                <c:pt idx="23">
                  <c:v>107.60757399325725</c:v>
                </c:pt>
                <c:pt idx="24">
                  <c:v>82.36469178661207</c:v>
                </c:pt>
                <c:pt idx="25">
                  <c:v>107.71381026333069</c:v>
                </c:pt>
                <c:pt idx="26">
                  <c:v>111.69471692488227</c:v>
                </c:pt>
                <c:pt idx="27">
                  <c:v>103.13914049085714</c:v>
                </c:pt>
                <c:pt idx="28">
                  <c:v>100.23634233832877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7DC5-4341-8624-B7AE9C654835}"/>
            </c:ext>
          </c:extLst>
        </c:ser>
        <c:ser>
          <c:idx val="1"/>
          <c:order val="1"/>
          <c:tx>
            <c:strRef>
              <c:f>'Figura 8'!$A$28</c:f>
              <c:strCache>
                <c:ptCount val="1"/>
                <c:pt idx="0">
                  <c:v>În % faţă de luna corespunzătoare din anul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816873722799708E-2"/>
                  <c:y val="-3.0172260493212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F22-4E81-B4FB-3673EA265C72}"/>
                </c:ext>
              </c:extLst>
            </c:dLbl>
            <c:dLbl>
              <c:idx val="1"/>
              <c:layout>
                <c:manualLayout>
                  <c:x val="-1.9258320865231653E-2"/>
                  <c:y val="-4.4561551543014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DC5-4341-8624-B7AE9C654835}"/>
                </c:ext>
              </c:extLst>
            </c:dLbl>
            <c:dLbl>
              <c:idx val="2"/>
              <c:layout>
                <c:manualLayout>
                  <c:x val="-2.2783515441400656E-2"/>
                  <c:y val="2.7837243722675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DC5-4341-8624-B7AE9C654835}"/>
                </c:ext>
              </c:extLst>
            </c:dLbl>
            <c:dLbl>
              <c:idx val="3"/>
              <c:layout>
                <c:manualLayout>
                  <c:x val="-1.535146828384922E-2"/>
                  <c:y val="3.19543009723080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DC5-4341-8624-B7AE9C654835}"/>
                </c:ext>
              </c:extLst>
            </c:dLbl>
            <c:dLbl>
              <c:idx val="4"/>
              <c:layout>
                <c:manualLayout>
                  <c:x val="-5.8651712135091242E-3"/>
                  <c:y val="8.086038596856002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DC5-4341-8624-B7AE9C654835}"/>
                </c:ext>
              </c:extLst>
            </c:dLbl>
            <c:dLbl>
              <c:idx val="5"/>
              <c:layout>
                <c:manualLayout>
                  <c:x val="-2.9820119267023371E-2"/>
                  <c:y val="-1.0118406005657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DC5-4341-8624-B7AE9C654835}"/>
                </c:ext>
              </c:extLst>
            </c:dLbl>
            <c:dLbl>
              <c:idx val="6"/>
              <c:layout>
                <c:manualLayout>
                  <c:x val="-2.6049560536591167E-2"/>
                  <c:y val="-2.8108773206537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DC5-4341-8624-B7AE9C654835}"/>
                </c:ext>
              </c:extLst>
            </c:dLbl>
            <c:dLbl>
              <c:idx val="7"/>
              <c:layout>
                <c:manualLayout>
                  <c:x val="-2.1910386526314711E-2"/>
                  <c:y val="-3.30848758761442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DC5-4341-8624-B7AE9C654835}"/>
                </c:ext>
              </c:extLst>
            </c:dLbl>
            <c:dLbl>
              <c:idx val="8"/>
              <c:layout>
                <c:manualLayout>
                  <c:x val="-3.3413272579506242E-2"/>
                  <c:y val="3.686778111726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773082942097026E-2"/>
                      <c:h val="4.203674540682414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2-7DC5-4341-8624-B7AE9C654835}"/>
                </c:ext>
              </c:extLst>
            </c:dLbl>
            <c:dLbl>
              <c:idx val="9"/>
              <c:layout>
                <c:manualLayout>
                  <c:x val="-1.436422392909781E-2"/>
                  <c:y val="3.9491808974562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DC5-4341-8624-B7AE9C654835}"/>
                </c:ext>
              </c:extLst>
            </c:dLbl>
            <c:dLbl>
              <c:idx val="10"/>
              <c:layout>
                <c:manualLayout>
                  <c:x val="-2.9229161888744488E-2"/>
                  <c:y val="3.8249014488834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4C-4954-B7BA-1B3D8193EA75}"/>
                </c:ext>
              </c:extLst>
            </c:dLbl>
            <c:dLbl>
              <c:idx val="11"/>
              <c:layout>
                <c:manualLayout>
                  <c:x val="-2.2791878172588834E-2"/>
                  <c:y val="3.0929729998261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DC5-4341-8624-B7AE9C654835}"/>
                </c:ext>
              </c:extLst>
            </c:dLbl>
            <c:dLbl>
              <c:idx val="12"/>
              <c:layout>
                <c:manualLayout>
                  <c:x val="-1.3879410350089367E-2"/>
                  <c:y val="-3.0394887311844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DC5-4341-8624-B7AE9C654835}"/>
                </c:ext>
              </c:extLst>
            </c:dLbl>
            <c:dLbl>
              <c:idx val="13"/>
              <c:layout>
                <c:manualLayout>
                  <c:x val="-1.1654745463261238E-2"/>
                  <c:y val="3.66982014762448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DC5-4341-8624-B7AE9C654835}"/>
                </c:ext>
              </c:extLst>
            </c:dLbl>
            <c:dLbl>
              <c:idx val="14"/>
              <c:layout>
                <c:manualLayout>
                  <c:x val="-2.2494100794136496E-3"/>
                  <c:y val="-1.8180506234918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DC5-4341-8624-B7AE9C654835}"/>
                </c:ext>
              </c:extLst>
            </c:dLbl>
            <c:dLbl>
              <c:idx val="15"/>
              <c:layout>
                <c:manualLayout>
                  <c:x val="-1.6695126617817087E-2"/>
                  <c:y val="-3.4842636010965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DC5-4341-8624-B7AE9C654835}"/>
                </c:ext>
              </c:extLst>
            </c:dLbl>
            <c:dLbl>
              <c:idx val="16"/>
              <c:layout>
                <c:manualLayout>
                  <c:x val="-4.3570625100432881E-3"/>
                  <c:y val="-7.07604711994350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DC5-4341-8624-B7AE9C654835}"/>
                </c:ext>
              </c:extLst>
            </c:dLbl>
            <c:dLbl>
              <c:idx val="17"/>
              <c:layout>
                <c:manualLayout>
                  <c:x val="-3.1627399222600543E-2"/>
                  <c:y val="1.83149030701298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DC5-4341-8624-B7AE9C654835}"/>
                </c:ext>
              </c:extLst>
            </c:dLbl>
            <c:dLbl>
              <c:idx val="18"/>
              <c:layout>
                <c:manualLayout>
                  <c:x val="-3.3203964986610178E-2"/>
                  <c:y val="3.0993815047567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60337285425529E-2"/>
                      <c:h val="5.129354098876440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B-7DC5-4341-8624-B7AE9C654835}"/>
                </c:ext>
              </c:extLst>
            </c:dLbl>
            <c:dLbl>
              <c:idx val="19"/>
              <c:layout>
                <c:manualLayout>
                  <c:x val="-3.6817643306297422E-2"/>
                  <c:y val="-1.4883509063749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7DC5-4341-8624-B7AE9C654835}"/>
                </c:ext>
              </c:extLst>
            </c:dLbl>
            <c:dLbl>
              <c:idx val="20"/>
              <c:layout>
                <c:manualLayout>
                  <c:x val="-2.1872507962906875E-2"/>
                  <c:y val="-3.6435905362741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7DC5-4341-8624-B7AE9C654835}"/>
                </c:ext>
              </c:extLst>
            </c:dLbl>
            <c:dLbl>
              <c:idx val="21"/>
              <c:layout>
                <c:manualLayout>
                  <c:x val="-1.957913312385073E-2"/>
                  <c:y val="3.1272741449215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7DC5-4341-8624-B7AE9C654835}"/>
                </c:ext>
              </c:extLst>
            </c:dLbl>
            <c:dLbl>
              <c:idx val="22"/>
              <c:layout>
                <c:manualLayout>
                  <c:x val="-2.0905443413830903E-2"/>
                  <c:y val="-3.6298772714091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7DC5-4341-8624-B7AE9C654835}"/>
                </c:ext>
              </c:extLst>
            </c:dLbl>
            <c:dLbl>
              <c:idx val="23"/>
              <c:layout>
                <c:manualLayout>
                  <c:x val="-1.7424426032197241E-2"/>
                  <c:y val="2.299758974835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7DC5-4341-8624-B7AE9C654835}"/>
                </c:ext>
              </c:extLst>
            </c:dLbl>
            <c:dLbl>
              <c:idx val="24"/>
              <c:layout>
                <c:manualLayout>
                  <c:x val="-2.3014550653729548E-2"/>
                  <c:y val="-3.6161982042120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7DC5-4341-8624-B7AE9C654835}"/>
                </c:ext>
              </c:extLst>
            </c:dLbl>
            <c:dLbl>
              <c:idx val="25"/>
              <c:layout>
                <c:manualLayout>
                  <c:x val="-1.4197244524803754E-2"/>
                  <c:y val="-3.1493316407767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7DC5-4341-8624-B7AE9C654835}"/>
                </c:ext>
              </c:extLst>
            </c:dLbl>
            <c:dLbl>
              <c:idx val="26"/>
              <c:layout>
                <c:manualLayout>
                  <c:x val="-6.0196358950278198E-3"/>
                  <c:y val="-1.949569911486091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4C-4954-B7BA-1B3D8193EA75}"/>
                </c:ext>
              </c:extLst>
            </c:dLbl>
            <c:dLbl>
              <c:idx val="27"/>
              <c:layout>
                <c:manualLayout>
                  <c:x val="-2.4078256228668861E-2"/>
                  <c:y val="-2.8653542057660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4C-4954-B7BA-1B3D8193EA75}"/>
                </c:ext>
              </c:extLst>
            </c:dLbl>
            <c:dLbl>
              <c:idx val="28"/>
              <c:layout>
                <c:manualLayout>
                  <c:x val="0"/>
                  <c:y val="-6.2107680746388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4C-4954-B7BA-1B3D8193EA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8'!$N$25:$AP$26</c:f>
              <c:multiLvlStrCache>
                <c:ptCount val="2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'Figura 8'!$N$28:$AP$28</c:f>
              <c:numCache>
                <c:formatCode>#\ ##0,0</c:formatCode>
                <c:ptCount val="29"/>
                <c:pt idx="0">
                  <c:v>101.95494191241148</c:v>
                </c:pt>
                <c:pt idx="1">
                  <c:v>105.56040244460927</c:v>
                </c:pt>
                <c:pt idx="2">
                  <c:v>93.752698643620619</c:v>
                </c:pt>
                <c:pt idx="3">
                  <c:v>55.393509795256001</c:v>
                </c:pt>
                <c:pt idx="4">
                  <c:v>68.38775508029515</c:v>
                </c:pt>
                <c:pt idx="5">
                  <c:v>92.838583025180498</c:v>
                </c:pt>
                <c:pt idx="6">
                  <c:v>99.505682896081424</c:v>
                </c:pt>
                <c:pt idx="7">
                  <c:v>93.399537993946922</c:v>
                </c:pt>
                <c:pt idx="8">
                  <c:v>101.32416894790069</c:v>
                </c:pt>
                <c:pt idx="9">
                  <c:v>93.954405564414117</c:v>
                </c:pt>
                <c:pt idx="10">
                  <c:v>103.7223292586142</c:v>
                </c:pt>
                <c:pt idx="11">
                  <c:v>105.12020671519058</c:v>
                </c:pt>
                <c:pt idx="12">
                  <c:v>105.14366410240868</c:v>
                </c:pt>
                <c:pt idx="13">
                  <c:v>107.56077192573727</c:v>
                </c:pt>
                <c:pt idx="14">
                  <c:v>125.88605526903886</c:v>
                </c:pt>
                <c:pt idx="15">
                  <c:v>196.84765533007069</c:v>
                </c:pt>
                <c:pt idx="16">
                  <c:v>171.05720800538208</c:v>
                </c:pt>
                <c:pt idx="17">
                  <c:v>142.58661575531545</c:v>
                </c:pt>
                <c:pt idx="18">
                  <c:v>113.15935709199938</c:v>
                </c:pt>
                <c:pt idx="19">
                  <c:v>132.58828425602752</c:v>
                </c:pt>
                <c:pt idx="20">
                  <c:v>132.03828597207149</c:v>
                </c:pt>
                <c:pt idx="21">
                  <c:v>131.0476458490858</c:v>
                </c:pt>
                <c:pt idx="22">
                  <c:v>134.03992381336801</c:v>
                </c:pt>
                <c:pt idx="23">
                  <c:v>132.94448949123316</c:v>
                </c:pt>
                <c:pt idx="24">
                  <c:v>155.54663123851245</c:v>
                </c:pt>
                <c:pt idx="25">
                  <c:v>128.31562960709678</c:v>
                </c:pt>
                <c:pt idx="26">
                  <c:v>118.61414262289576</c:v>
                </c:pt>
                <c:pt idx="27">
                  <c:v>137.10207816997737</c:v>
                </c:pt>
                <c:pt idx="28">
                  <c:v>137.1360920199414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7DC5-4341-8624-B7AE9C65483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840544"/>
        <c:axId val="247841104"/>
      </c:lineChart>
      <c:catAx>
        <c:axId val="24784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7841104"/>
        <c:crossesAt val="30"/>
        <c:auto val="1"/>
        <c:lblAlgn val="ctr"/>
        <c:lblOffset val="100"/>
        <c:noMultiLvlLbl val="0"/>
      </c:catAx>
      <c:valAx>
        <c:axId val="247841104"/>
        <c:scaling>
          <c:orientation val="minMax"/>
          <c:max val="230"/>
          <c:min val="30"/>
        </c:scaling>
        <c:delete val="0"/>
        <c:axPos val="l"/>
        <c:numFmt formatCode="#\ ##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784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869144291235897E-2"/>
          <c:y val="0.93370396497048047"/>
          <c:w val="0.93252348122114592"/>
          <c:h val="5.44482787109238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19051</xdr:rowOff>
    </xdr:from>
    <xdr:to>
      <xdr:col>10</xdr:col>
      <xdr:colOff>95250</xdr:colOff>
      <xdr:row>21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</xdr:row>
      <xdr:rowOff>0</xdr:rowOff>
    </xdr:from>
    <xdr:to>
      <xdr:col>9</xdr:col>
      <xdr:colOff>685800</xdr:colOff>
      <xdr:row>22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0.06059</cdr:x>
      <cdr:y>0.00369</cdr:y>
    </cdr:from>
    <cdr:to>
      <cdr:x>0.20897</cdr:x>
      <cdr:y>0.38923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4152" y="9525"/>
          <a:ext cx="891805" cy="995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</xdr:row>
      <xdr:rowOff>9524</xdr:rowOff>
    </xdr:from>
    <xdr:to>
      <xdr:col>11</xdr:col>
      <xdr:colOff>314325</xdr:colOff>
      <xdr:row>23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0.04546</cdr:x>
      <cdr:y>0</cdr:y>
    </cdr:from>
    <cdr:to>
      <cdr:x>0.10039</cdr:x>
      <cdr:y>0.07817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2179" y="0"/>
          <a:ext cx="377234" cy="2538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</xdr:row>
      <xdr:rowOff>9525</xdr:rowOff>
    </xdr:from>
    <xdr:to>
      <xdr:col>7</xdr:col>
      <xdr:colOff>285750</xdr:colOff>
      <xdr:row>23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809624</xdr:colOff>
      <xdr:row>23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0.04545</cdr:x>
      <cdr:y>0</cdr:y>
    </cdr:from>
    <cdr:to>
      <cdr:x>0.21446</cdr:x>
      <cdr:y>0.35688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8384" y="0"/>
          <a:ext cx="1035114" cy="10129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1</xdr:row>
      <xdr:rowOff>142875</xdr:rowOff>
    </xdr:from>
    <xdr:to>
      <xdr:col>6</xdr:col>
      <xdr:colOff>676276</xdr:colOff>
      <xdr:row>24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1</xdr:col>
      <xdr:colOff>819150</xdr:colOff>
      <xdr:row>22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400049</xdr:colOff>
      <xdr:row>2</xdr:row>
      <xdr:rowOff>0</xdr:rowOff>
    </xdr:from>
    <xdr:to>
      <xdr:col>6</xdr:col>
      <xdr:colOff>200025</xdr:colOff>
      <xdr:row>22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2</xdr:row>
      <xdr:rowOff>9523</xdr:rowOff>
    </xdr:from>
    <xdr:to>
      <xdr:col>10</xdr:col>
      <xdr:colOff>600075</xdr:colOff>
      <xdr:row>23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0.04716</cdr:x>
      <cdr:y>0</cdr:y>
    </cdr:from>
    <cdr:to>
      <cdr:x>0.1932</cdr:x>
      <cdr:y>0.32542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o-RO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milioane dolari SUA</a:t>
          </a:r>
          <a:endParaRPr lang="en-US" sz="8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0.03771</cdr:x>
      <cdr:y>0</cdr:y>
    </cdr:from>
    <cdr:to>
      <cdr:x>0.1825</cdr:x>
      <cdr:y>0.35821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812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19049</xdr:rowOff>
    </xdr:from>
    <xdr:to>
      <xdr:col>5</xdr:col>
      <xdr:colOff>552449</xdr:colOff>
      <xdr:row>23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0.05882</cdr:x>
      <cdr:y>0</cdr:y>
    </cdr:from>
    <cdr:to>
      <cdr:x>0.21569</cdr:x>
      <cdr:y>0.30868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457201</xdr:colOff>
      <xdr:row>17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0.05117</cdr:x>
      <cdr:y>0</cdr:y>
    </cdr:from>
    <cdr:to>
      <cdr:x>0.1889</cdr:x>
      <cdr:y>0.29357</cdr:y>
    </cdr:to>
    <cdr:sp macro="" textlink="">
      <cdr:nvSpPr>
        <cdr:cNvPr id="2" name="Text Box 1"/>
        <cdr:cNvSpPr txBox="1"/>
      </cdr:nvSpPr>
      <cdr:spPr>
        <a:xfrm xmlns:a="http://schemas.openxmlformats.org/drawingml/2006/main">
          <a:off x="430897" y="0"/>
          <a:ext cx="1159700" cy="9926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152399</xdr:rowOff>
    </xdr:from>
    <xdr:to>
      <xdr:col>6</xdr:col>
      <xdr:colOff>904875</xdr:colOff>
      <xdr:row>21</xdr:row>
      <xdr:rowOff>123824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142876</xdr:rowOff>
    </xdr:from>
    <xdr:to>
      <xdr:col>5</xdr:col>
      <xdr:colOff>885825</xdr:colOff>
      <xdr:row>22</xdr:row>
      <xdr:rowOff>142876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0.07979</cdr:x>
      <cdr:y>0</cdr:y>
    </cdr:from>
    <cdr:to>
      <cdr:x>0.25</cdr:x>
      <cdr:y>0.41202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9800" y="0"/>
          <a:ext cx="980856" cy="1016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266697</xdr:colOff>
      <xdr:row>2</xdr:row>
      <xdr:rowOff>0</xdr:rowOff>
    </xdr:from>
    <xdr:to>
      <xdr:col>6</xdr:col>
      <xdr:colOff>428625</xdr:colOff>
      <xdr:row>24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85725</xdr:rowOff>
    </xdr:from>
    <xdr:to>
      <xdr:col>7</xdr:col>
      <xdr:colOff>123825</xdr:colOff>
      <xdr:row>25</xdr:row>
      <xdr:rowOff>76201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257175" y="428625"/>
          <a:ext cx="7391400" cy="3533776"/>
          <a:chOff x="85821" y="-152800"/>
          <a:chExt cx="5382327" cy="2618703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GraphicFramePr>
            <a:graphicFrameLocks/>
          </xdr:cNvGraphicFramePr>
        </xdr:nvGraphicFramePr>
        <xdr:xfrm>
          <a:off x="85821" y="-131624"/>
          <a:ext cx="2639046" cy="259752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GraphicFramePr>
            <a:graphicFrameLocks/>
          </xdr:cNvGraphicFramePr>
        </xdr:nvGraphicFramePr>
        <xdr:xfrm>
          <a:off x="2679881" y="-152800"/>
          <a:ext cx="2788267" cy="259046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18" displayName="Table18" ref="A26:D32" totalsRowShown="0" headerRowDxfId="8" dataDxfId="6" headerRowBorderDxfId="7" tableBorderDxfId="5" totalsRowBorderDxfId="4">
  <tableColumns count="4">
    <tableColumn id="1" xr3:uid="{00000000-0010-0000-0000-000001000000}" name="Perioada" dataDxfId="3"/>
    <tableColumn id="2" xr3:uid="{00000000-0010-0000-0000-000002000000}" name="Export" dataDxfId="2"/>
    <tableColumn id="4" xr3:uid="{00000000-0010-0000-0000-000004000000}" name="Import" dataDxfId="1"/>
    <tableColumn id="3" xr3:uid="{00000000-0010-0000-0000-000003000000}" name="Balanţa Comercială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34"/>
  <sheetViews>
    <sheetView tabSelected="1" workbookViewId="0">
      <selection activeCell="A2" sqref="A2:J2"/>
    </sheetView>
  </sheetViews>
  <sheetFormatPr defaultRowHeight="12" x14ac:dyDescent="0.2"/>
  <cols>
    <col min="1" max="1" width="8.85546875" style="3" customWidth="1"/>
    <col min="2" max="2" width="10.140625" style="3" customWidth="1"/>
    <col min="3" max="3" width="11.28515625" style="3" customWidth="1"/>
    <col min="4" max="4" width="10.140625" style="3" bestFit="1" customWidth="1"/>
    <col min="5" max="5" width="9.28515625" style="3" bestFit="1" customWidth="1"/>
    <col min="6" max="6" width="10.140625" style="3" bestFit="1" customWidth="1"/>
    <col min="7" max="7" width="9.28515625" style="3" bestFit="1" customWidth="1"/>
    <col min="8" max="8" width="10.140625" style="3" bestFit="1" customWidth="1"/>
    <col min="9" max="9" width="9.28515625" style="3" bestFit="1" customWidth="1"/>
    <col min="10" max="10" width="11.85546875" style="3" customWidth="1"/>
    <col min="11" max="11" width="10.5703125" style="3" customWidth="1"/>
    <col min="12" max="12" width="10.28515625" style="3" customWidth="1"/>
    <col min="13" max="13" width="10.7109375" style="3" customWidth="1"/>
    <col min="14" max="14" width="10.140625" style="3" bestFit="1" customWidth="1"/>
    <col min="15" max="15" width="9.28515625" style="3" bestFit="1" customWidth="1"/>
    <col min="16" max="16" width="10.140625" style="3" bestFit="1" customWidth="1"/>
    <col min="17" max="17" width="9.28515625" style="3" bestFit="1" customWidth="1"/>
    <col min="18" max="18" width="10.140625" style="3" bestFit="1" customWidth="1"/>
    <col min="19" max="19" width="9.28515625" style="3" bestFit="1" customWidth="1"/>
    <col min="20" max="20" width="10.140625" style="3" bestFit="1" customWidth="1"/>
    <col min="21" max="21" width="9.28515625" style="3" bestFit="1" customWidth="1"/>
    <col min="22" max="22" width="10.140625" style="3" bestFit="1" customWidth="1"/>
    <col min="23" max="23" width="9.28515625" style="3" bestFit="1" customWidth="1"/>
    <col min="24" max="24" width="10.140625" style="3" bestFit="1" customWidth="1"/>
    <col min="25" max="25" width="9.28515625" style="3" bestFit="1" customWidth="1"/>
    <col min="26" max="16384" width="9.140625" style="3"/>
  </cols>
  <sheetData>
    <row r="2" spans="1:13" s="5" customFormat="1" x14ac:dyDescent="0.2">
      <c r="A2" s="148" t="s">
        <v>69</v>
      </c>
      <c r="B2" s="148"/>
      <c r="C2" s="148"/>
      <c r="D2" s="148"/>
      <c r="E2" s="148"/>
      <c r="F2" s="148"/>
      <c r="G2" s="148"/>
      <c r="H2" s="148"/>
      <c r="I2" s="148"/>
      <c r="J2" s="148"/>
      <c r="K2" s="144"/>
      <c r="L2" s="144"/>
      <c r="M2" s="144"/>
    </row>
    <row r="3" spans="1:13" x14ac:dyDescent="0.2">
      <c r="A3" s="1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x14ac:dyDescent="0.2">
      <c r="A4" s="1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x14ac:dyDescent="0.2">
      <c r="A5" s="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x14ac:dyDescent="0.2">
      <c r="A6" s="1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x14ac:dyDescent="0.2">
      <c r="A7" s="1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x14ac:dyDescent="0.2">
      <c r="A8" s="1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x14ac:dyDescent="0.2">
      <c r="A9" s="1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x14ac:dyDescent="0.2">
      <c r="A10" s="1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x14ac:dyDescent="0.2">
      <c r="A11" s="1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x14ac:dyDescent="0.2">
      <c r="A12" s="1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x14ac:dyDescent="0.2">
      <c r="A13" s="1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x14ac:dyDescent="0.2">
      <c r="A14" s="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x14ac:dyDescent="0.2">
      <c r="A15" s="1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x14ac:dyDescent="0.2">
      <c r="A16" s="1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4" x14ac:dyDescent="0.2">
      <c r="A17" s="1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4" x14ac:dyDescent="0.2">
      <c r="A18" s="1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</row>
    <row r="19" spans="1:14" x14ac:dyDescent="0.2">
      <c r="A19" s="1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</row>
    <row r="20" spans="1:14" x14ac:dyDescent="0.2">
      <c r="A20" s="1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</row>
    <row r="21" spans="1:14" x14ac:dyDescent="0.2">
      <c r="A21" s="1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</row>
    <row r="22" spans="1:14" x14ac:dyDescent="0.2">
      <c r="A22" s="1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</row>
    <row r="23" spans="1:14" x14ac:dyDescent="0.2">
      <c r="N23" s="6"/>
    </row>
    <row r="24" spans="1:14" x14ac:dyDescent="0.2">
      <c r="A24" s="35" t="s">
        <v>0</v>
      </c>
      <c r="B24" s="54" t="s">
        <v>1</v>
      </c>
      <c r="C24" s="54" t="s">
        <v>2</v>
      </c>
      <c r="D24" s="54" t="s">
        <v>3</v>
      </c>
      <c r="E24" s="54" t="s">
        <v>4</v>
      </c>
      <c r="F24" s="54" t="s">
        <v>5</v>
      </c>
      <c r="G24" s="54" t="s">
        <v>6</v>
      </c>
      <c r="H24" s="54" t="s">
        <v>7</v>
      </c>
      <c r="I24" s="54" t="s">
        <v>8</v>
      </c>
      <c r="J24" s="54" t="s">
        <v>9</v>
      </c>
      <c r="K24" s="54" t="s">
        <v>10</v>
      </c>
      <c r="L24" s="54" t="s">
        <v>11</v>
      </c>
      <c r="M24" s="54" t="s">
        <v>12</v>
      </c>
    </row>
    <row r="25" spans="1:14" x14ac:dyDescent="0.2">
      <c r="A25" s="41">
        <v>2017</v>
      </c>
      <c r="B25" s="49">
        <v>139.5</v>
      </c>
      <c r="C25" s="49">
        <v>176.6</v>
      </c>
      <c r="D25" s="49">
        <v>212.1</v>
      </c>
      <c r="E25" s="49">
        <v>154.19999999999999</v>
      </c>
      <c r="F25" s="49">
        <v>174.7</v>
      </c>
      <c r="G25" s="49">
        <v>171.1</v>
      </c>
      <c r="H25" s="49">
        <v>191.6</v>
      </c>
      <c r="I25" s="49">
        <v>207.9</v>
      </c>
      <c r="J25" s="49">
        <v>223.9</v>
      </c>
      <c r="K25" s="49">
        <v>268.2</v>
      </c>
      <c r="L25" s="49">
        <v>272.10000000000002</v>
      </c>
      <c r="M25" s="50">
        <v>233.1</v>
      </c>
    </row>
    <row r="26" spans="1:14" x14ac:dyDescent="0.2">
      <c r="A26" s="41">
        <v>2018</v>
      </c>
      <c r="B26" s="49">
        <v>220.3</v>
      </c>
      <c r="C26" s="49">
        <v>215.5</v>
      </c>
      <c r="D26" s="49">
        <v>242.1</v>
      </c>
      <c r="E26" s="49">
        <v>199.7</v>
      </c>
      <c r="F26" s="49">
        <v>223</v>
      </c>
      <c r="G26" s="49">
        <v>214.1</v>
      </c>
      <c r="H26" s="49">
        <v>218.8</v>
      </c>
      <c r="I26" s="49">
        <v>218.6</v>
      </c>
      <c r="J26" s="49">
        <v>207.3</v>
      </c>
      <c r="K26" s="49">
        <v>259</v>
      </c>
      <c r="L26" s="49">
        <v>268.89999999999998</v>
      </c>
      <c r="M26" s="50">
        <v>218.8</v>
      </c>
    </row>
    <row r="27" spans="1:14" x14ac:dyDescent="0.2">
      <c r="A27" s="41">
        <v>2019</v>
      </c>
      <c r="B27" s="49">
        <v>234.3</v>
      </c>
      <c r="C27" s="49">
        <v>241.4</v>
      </c>
      <c r="D27" s="49">
        <v>257.2</v>
      </c>
      <c r="E27" s="49">
        <v>215.6</v>
      </c>
      <c r="F27" s="49">
        <v>210.5</v>
      </c>
      <c r="G27" s="49">
        <v>202.2</v>
      </c>
      <c r="H27" s="49">
        <v>220.2</v>
      </c>
      <c r="I27" s="49">
        <v>205.8</v>
      </c>
      <c r="J27" s="49">
        <v>238.8</v>
      </c>
      <c r="K27" s="49">
        <v>268.3</v>
      </c>
      <c r="L27" s="49">
        <v>266.60000000000002</v>
      </c>
      <c r="M27" s="50">
        <v>218.3</v>
      </c>
    </row>
    <row r="28" spans="1:14" x14ac:dyDescent="0.2">
      <c r="A28" s="41">
        <v>2020</v>
      </c>
      <c r="B28" s="49">
        <v>219.5</v>
      </c>
      <c r="C28" s="49">
        <v>245.3</v>
      </c>
      <c r="D28" s="49">
        <v>210.2</v>
      </c>
      <c r="E28" s="49">
        <v>149.80000000000001</v>
      </c>
      <c r="F28" s="49">
        <v>155.69999999999999</v>
      </c>
      <c r="G28" s="49">
        <v>189.6</v>
      </c>
      <c r="H28" s="49">
        <v>191.1</v>
      </c>
      <c r="I28" s="49">
        <v>163.9</v>
      </c>
      <c r="J28" s="49">
        <v>212.3</v>
      </c>
      <c r="K28" s="49">
        <v>249.4</v>
      </c>
      <c r="L28" s="49">
        <v>262</v>
      </c>
      <c r="M28" s="50">
        <v>218.3</v>
      </c>
    </row>
    <row r="29" spans="1:14" x14ac:dyDescent="0.2">
      <c r="A29" s="41">
        <v>2021</v>
      </c>
      <c r="B29" s="49">
        <v>198.4</v>
      </c>
      <c r="C29" s="49">
        <v>227</v>
      </c>
      <c r="D29" s="49">
        <v>259.3</v>
      </c>
      <c r="E29" s="49">
        <v>218.2</v>
      </c>
      <c r="F29" s="49">
        <v>201.7</v>
      </c>
      <c r="G29" s="49">
        <v>226.8</v>
      </c>
      <c r="H29" s="49">
        <v>240.7</v>
      </c>
      <c r="I29" s="49">
        <v>236.3</v>
      </c>
      <c r="J29" s="49">
        <v>294.89999999999998</v>
      </c>
      <c r="K29" s="49">
        <v>352.3</v>
      </c>
      <c r="L29" s="49">
        <v>363.9</v>
      </c>
      <c r="M29" s="50">
        <v>325</v>
      </c>
    </row>
    <row r="30" spans="1:14" x14ac:dyDescent="0.2">
      <c r="A30" s="42">
        <v>2022</v>
      </c>
      <c r="B30" s="51">
        <v>330.3</v>
      </c>
      <c r="C30" s="51">
        <v>336.6</v>
      </c>
      <c r="D30" s="51">
        <v>395.8</v>
      </c>
      <c r="E30" s="51">
        <v>396.3</v>
      </c>
      <c r="F30" s="51">
        <v>416.1</v>
      </c>
      <c r="G30" s="51"/>
      <c r="H30" s="51"/>
      <c r="I30" s="51"/>
      <c r="J30" s="51"/>
      <c r="K30" s="51"/>
      <c r="L30" s="51"/>
      <c r="M30" s="52"/>
    </row>
    <row r="34" spans="2:21" ht="15.75" x14ac:dyDescent="0.25">
      <c r="B34" s="82"/>
      <c r="C34" s="83"/>
      <c r="D34" s="82"/>
      <c r="E34" s="83"/>
      <c r="F34" s="82"/>
      <c r="G34" s="83"/>
      <c r="H34" s="82"/>
      <c r="I34" s="85"/>
      <c r="J34" s="86"/>
      <c r="K34" s="83"/>
      <c r="L34" s="73"/>
      <c r="M34" s="83"/>
      <c r="N34" s="73"/>
      <c r="O34" s="85"/>
      <c r="P34" s="73"/>
      <c r="Q34" s="83"/>
      <c r="R34" s="86"/>
      <c r="S34" s="83"/>
      <c r="T34" s="80"/>
      <c r="U34" s="81"/>
    </row>
  </sheetData>
  <mergeCells count="1">
    <mergeCell ref="A2:J2"/>
  </mergeCells>
  <pageMargins left="0.7" right="0.7" top="0.75" bottom="0.75" header="0.3" footer="0.3"/>
  <pageSetup paperSize="9" orientation="portrait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M36"/>
  <sheetViews>
    <sheetView workbookViewId="0">
      <selection activeCell="A2" sqref="A2:F2"/>
    </sheetView>
  </sheetViews>
  <sheetFormatPr defaultRowHeight="12" x14ac:dyDescent="0.2"/>
  <cols>
    <col min="1" max="1" width="27.28515625" style="3" customWidth="1"/>
    <col min="2" max="7" width="15.42578125" style="3" customWidth="1"/>
    <col min="8" max="16384" width="9.140625" style="3"/>
  </cols>
  <sheetData>
    <row r="2" spans="1:13" s="5" customFormat="1" x14ac:dyDescent="0.2">
      <c r="A2" s="148" t="s">
        <v>108</v>
      </c>
      <c r="B2" s="148"/>
      <c r="C2" s="148"/>
      <c r="D2" s="148"/>
      <c r="E2" s="148"/>
      <c r="F2" s="148"/>
      <c r="G2" s="164"/>
    </row>
    <row r="3" spans="1:13" x14ac:dyDescent="0.2">
      <c r="A3" s="60"/>
      <c r="B3" s="60"/>
      <c r="C3" s="60"/>
      <c r="D3" s="60"/>
      <c r="E3" s="60"/>
      <c r="F3" s="60"/>
      <c r="G3" s="60"/>
      <c r="H3" s="59"/>
      <c r="I3" s="59"/>
      <c r="J3" s="59"/>
      <c r="K3" s="59"/>
      <c r="L3" s="59"/>
      <c r="M3" s="59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x14ac:dyDescent="0.2">
      <c r="A18" s="4"/>
      <c r="B18" s="4"/>
      <c r="C18" s="4"/>
      <c r="D18" s="4"/>
      <c r="E18" s="4"/>
      <c r="F18" s="4"/>
      <c r="G18" s="4"/>
    </row>
    <row r="19" spans="1:7" x14ac:dyDescent="0.2">
      <c r="A19" s="4"/>
      <c r="B19" s="4"/>
      <c r="C19" s="4"/>
      <c r="D19" s="4"/>
      <c r="E19" s="4"/>
      <c r="F19" s="4"/>
      <c r="G19" s="4"/>
    </row>
    <row r="20" spans="1:7" x14ac:dyDescent="0.2">
      <c r="A20" s="4"/>
      <c r="B20" s="4"/>
      <c r="C20" s="4"/>
      <c r="D20" s="4"/>
      <c r="E20" s="4"/>
      <c r="F20" s="4"/>
      <c r="G20" s="4"/>
    </row>
    <row r="21" spans="1:7" x14ac:dyDescent="0.2">
      <c r="A21" s="4"/>
      <c r="B21" s="4"/>
      <c r="C21" s="4"/>
      <c r="D21" s="4"/>
      <c r="E21" s="4"/>
      <c r="F21" s="4"/>
      <c r="G21" s="4"/>
    </row>
    <row r="22" spans="1:7" x14ac:dyDescent="0.2">
      <c r="A22" s="4"/>
      <c r="B22" s="4"/>
      <c r="C22" s="4"/>
      <c r="D22" s="4"/>
      <c r="E22" s="4"/>
      <c r="F22" s="4"/>
      <c r="G22" s="4"/>
    </row>
    <row r="23" spans="1:7" x14ac:dyDescent="0.2">
      <c r="A23" s="5"/>
    </row>
    <row r="24" spans="1:7" x14ac:dyDescent="0.2">
      <c r="A24" s="5"/>
    </row>
    <row r="25" spans="1:7" x14ac:dyDescent="0.2">
      <c r="A25" s="5"/>
    </row>
    <row r="26" spans="1:7" ht="24" x14ac:dyDescent="0.2">
      <c r="A26" s="31"/>
      <c r="B26" s="12" t="s">
        <v>100</v>
      </c>
      <c r="C26" s="12" t="s">
        <v>99</v>
      </c>
      <c r="D26" s="12" t="s">
        <v>98</v>
      </c>
      <c r="E26" s="13" t="s">
        <v>97</v>
      </c>
      <c r="F26" s="13" t="s">
        <v>96</v>
      </c>
      <c r="G26" s="13" t="s">
        <v>95</v>
      </c>
    </row>
    <row r="27" spans="1:7" ht="15" customHeight="1" x14ac:dyDescent="0.2">
      <c r="A27" s="23" t="s">
        <v>51</v>
      </c>
      <c r="B27" s="45">
        <v>47.6</v>
      </c>
      <c r="C27" s="19">
        <v>49.5</v>
      </c>
      <c r="D27" s="19">
        <v>48.3</v>
      </c>
      <c r="E27" s="19">
        <v>46.8</v>
      </c>
      <c r="F27" s="19">
        <v>47.3</v>
      </c>
      <c r="G27" s="15">
        <v>44.9</v>
      </c>
    </row>
    <row r="28" spans="1:7" ht="15" customHeight="1" x14ac:dyDescent="0.2">
      <c r="A28" s="24" t="s">
        <v>52</v>
      </c>
      <c r="B28" s="132">
        <v>25.3</v>
      </c>
      <c r="C28" s="21">
        <v>23.4</v>
      </c>
      <c r="D28" s="21">
        <v>25.4</v>
      </c>
      <c r="E28" s="21">
        <v>24.7</v>
      </c>
      <c r="F28" s="21">
        <v>22.9</v>
      </c>
      <c r="G28" s="118">
        <v>28</v>
      </c>
    </row>
    <row r="29" spans="1:7" ht="15.75" customHeight="1" x14ac:dyDescent="0.2">
      <c r="A29" s="25" t="s">
        <v>53</v>
      </c>
      <c r="B29" s="26">
        <v>27.1</v>
      </c>
      <c r="C29" s="14">
        <v>27.1</v>
      </c>
      <c r="D29" s="14">
        <v>26.3</v>
      </c>
      <c r="E29" s="14">
        <v>28.5</v>
      </c>
      <c r="F29" s="14">
        <v>29.8</v>
      </c>
      <c r="G29" s="16">
        <v>27.1</v>
      </c>
    </row>
    <row r="30" spans="1:7" x14ac:dyDescent="0.2">
      <c r="G30" s="8"/>
    </row>
    <row r="34" spans="2:7" ht="15.75" x14ac:dyDescent="0.2">
      <c r="B34" s="101"/>
      <c r="C34" s="101"/>
      <c r="D34" s="101"/>
      <c r="E34" s="101"/>
      <c r="F34" s="101"/>
      <c r="G34" s="101"/>
    </row>
    <row r="35" spans="2:7" ht="15.75" x14ac:dyDescent="0.2">
      <c r="B35" s="101"/>
      <c r="C35" s="101"/>
      <c r="D35" s="101"/>
      <c r="E35" s="101"/>
      <c r="F35" s="101"/>
      <c r="G35" s="101"/>
    </row>
    <row r="36" spans="2:7" ht="15.75" x14ac:dyDescent="0.2">
      <c r="B36" s="101"/>
      <c r="C36" s="101"/>
      <c r="D36" s="101"/>
      <c r="E36" s="101"/>
      <c r="F36" s="101"/>
      <c r="G36" s="101"/>
    </row>
  </sheetData>
  <mergeCells count="1">
    <mergeCell ref="A2:F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J46"/>
  <sheetViews>
    <sheetView workbookViewId="0">
      <selection activeCell="A2" sqref="A2:G2"/>
    </sheetView>
  </sheetViews>
  <sheetFormatPr defaultRowHeight="12" x14ac:dyDescent="0.2"/>
  <cols>
    <col min="1" max="1" width="18" style="3" customWidth="1"/>
    <col min="2" max="4" width="15.5703125" style="3" customWidth="1"/>
    <col min="5" max="5" width="15.28515625" style="3" customWidth="1"/>
    <col min="6" max="6" width="16" style="3" customWidth="1"/>
    <col min="7" max="7" width="15.85546875" style="3" customWidth="1"/>
    <col min="8" max="16384" width="9.140625" style="3"/>
  </cols>
  <sheetData>
    <row r="2" spans="1:10" s="5" customFormat="1" x14ac:dyDescent="0.2">
      <c r="A2" s="152" t="s">
        <v>107</v>
      </c>
      <c r="B2" s="152"/>
      <c r="C2" s="152"/>
      <c r="D2" s="152"/>
      <c r="E2" s="152"/>
      <c r="F2" s="152"/>
      <c r="G2" s="152"/>
      <c r="H2" s="145"/>
      <c r="I2" s="145"/>
      <c r="J2" s="145"/>
    </row>
    <row r="26" spans="1:7" ht="26.25" customHeight="1" x14ac:dyDescent="0.2">
      <c r="A26" s="90"/>
      <c r="B26" s="13" t="s">
        <v>100</v>
      </c>
      <c r="C26" s="13" t="s">
        <v>99</v>
      </c>
      <c r="D26" s="13" t="s">
        <v>98</v>
      </c>
      <c r="E26" s="13" t="s">
        <v>97</v>
      </c>
      <c r="F26" s="13" t="s">
        <v>96</v>
      </c>
      <c r="G26" s="13" t="s">
        <v>95</v>
      </c>
    </row>
    <row r="27" spans="1:7" x14ac:dyDescent="0.2">
      <c r="A27" s="119" t="s">
        <v>63</v>
      </c>
      <c r="B27" s="111">
        <f>IF(OR(228973.53438="",228973.53438="***"),"-",228973.53438/1792621.32665*100)</f>
        <v>12.773112256111515</v>
      </c>
      <c r="C27" s="111">
        <f>IF(286172.12218="","-",286172.12218/2276206.61995*100)</f>
        <v>12.572326241028426</v>
      </c>
      <c r="D27" s="111">
        <f>IF(312371.0385="","-",312371.0385/2362843.47408*100)</f>
        <v>13.220132519426631</v>
      </c>
      <c r="E27" s="111">
        <f>IF(255592.76009="","-",255592.76009/1980077.64559*100)</f>
        <v>12.908219061977313</v>
      </c>
      <c r="F27" s="111">
        <f>IF(317211.62606="","-",317211.62606/2676462.27457*100)</f>
        <v>11.851899766118063</v>
      </c>
      <c r="G27" s="15">
        <f>IF(612623.93801="","-",612623.93801/3581025.78176*100)</f>
        <v>17.107498670643693</v>
      </c>
    </row>
    <row r="28" spans="1:7" x14ac:dyDescent="0.2">
      <c r="A28" s="119" t="s">
        <v>36</v>
      </c>
      <c r="B28" s="111">
        <f>IF(OR(246405.77793="",246405.77793="***"),"-",246405.77793/1792621.32665*100)</f>
        <v>13.745556535940368</v>
      </c>
      <c r="C28" s="111">
        <f>IF(312875.33525="","-",312875.33525/2276206.61995*100)</f>
        <v>13.745471632837653</v>
      </c>
      <c r="D28" s="111">
        <f>IF(329935.3633="","-",329935.3633/2362843.47408*100)</f>
        <v>13.963487929663396</v>
      </c>
      <c r="E28" s="111">
        <f>IF(247500.3249="","-",247500.3249/1980077.64559*100)</f>
        <v>12.499526240863791</v>
      </c>
      <c r="F28" s="111">
        <f>IF(334215.40048="","-",334215.40048/2676462.27457*100)</f>
        <v>12.48720759696473</v>
      </c>
      <c r="G28" s="118">
        <f>IF(535451.56875="","-",535451.56875/3581025.78176*100)</f>
        <v>14.952463382903561</v>
      </c>
    </row>
    <row r="29" spans="1:7" x14ac:dyDescent="0.2">
      <c r="A29" s="119" t="s">
        <v>54</v>
      </c>
      <c r="B29" s="111">
        <f>IF(OR(175157.03495="",175157.03495="***"),"-",175157.03495/1792621.32665*100)</f>
        <v>9.7710002857841989</v>
      </c>
      <c r="C29" s="111">
        <f>IF(238870.72996="","-",238870.72996/2276206.61995*100)</f>
        <v>10.49424634241891</v>
      </c>
      <c r="D29" s="111">
        <f>IF(234155.67584="","-",234155.67584/2362843.47408*100)</f>
        <v>9.9099105974919119</v>
      </c>
      <c r="E29" s="111">
        <f>IF(210771.85422="","-",210771.85422/1980077.64559*100)</f>
        <v>10.644625714018236</v>
      </c>
      <c r="F29" s="111">
        <f>IF(314710.73167="","-",314710.73167/2676462.27457*100)</f>
        <v>11.758459465697547</v>
      </c>
      <c r="G29" s="118">
        <f>IF(332290.1467="","-",332290.1467/3581025.78176*100)</f>
        <v>9.2791888958891047</v>
      </c>
    </row>
    <row r="30" spans="1:7" x14ac:dyDescent="0.2">
      <c r="A30" s="119" t="s">
        <v>41</v>
      </c>
      <c r="B30" s="111">
        <f>IF(OR(177408.66928="",177408.66928="***"),"-",177408.66928/1792621.32665*100)</f>
        <v>9.8966059726365252</v>
      </c>
      <c r="C30" s="111">
        <f>IF(204290.25216="","-",204290.25216/2276206.61995*100)</f>
        <v>8.9750311052380436</v>
      </c>
      <c r="D30" s="111">
        <f>IF(224151.43116="","-",224151.43116/2362843.47408*100)</f>
        <v>9.4865120613745226</v>
      </c>
      <c r="E30" s="111">
        <f>IF(183978.03421="","-",183978.03421/1980077.64559*100)</f>
        <v>9.2914555456829273</v>
      </c>
      <c r="F30" s="111">
        <f>IF(235097.97632="","-",235097.97632/2676462.27457*100)</f>
        <v>8.7839077185487628</v>
      </c>
      <c r="G30" s="118">
        <f>IF(311121.98772="","-",311121.98772/3581025.78176*100)</f>
        <v>8.6880689132344084</v>
      </c>
    </row>
    <row r="31" spans="1:7" x14ac:dyDescent="0.2">
      <c r="A31" s="119" t="s">
        <v>38</v>
      </c>
      <c r="B31" s="111">
        <f>IF(OR(121908.37073="",121908.37073="***"),"-",121908.37073/1792621.32665*100)</f>
        <v>6.8005645652904789</v>
      </c>
      <c r="C31" s="111">
        <f>IF(138502.72538="","-",138502.72538/2276206.61995*100)</f>
        <v>6.0848046115884848</v>
      </c>
      <c r="D31" s="111">
        <f>IF(154691.72655="","-",154691.72655/2362843.47408*100)</f>
        <v>6.5468461303908834</v>
      </c>
      <c r="E31" s="111">
        <f>IF(134889.49293="","-",134889.49293/1980077.64559*100)</f>
        <v>6.8123335077502594</v>
      </c>
      <c r="F31" s="111">
        <f>IF(191436.47854="","-",191436.47854/2676462.27457*100)</f>
        <v>7.1525939430906487</v>
      </c>
      <c r="G31" s="118">
        <f>IF(251893.43349="","-",251893.43349/3581025.78176*100)</f>
        <v>7.0341139338628151</v>
      </c>
    </row>
    <row r="32" spans="1:7" x14ac:dyDescent="0.2">
      <c r="A32" s="119" t="s">
        <v>37</v>
      </c>
      <c r="B32" s="111">
        <f>IF(OR(142466.8947="",142466.8947="***"),"-",142466.8947/1792621.32665*100)</f>
        <v>7.9474059904351417</v>
      </c>
      <c r="C32" s="111">
        <f>IF(196034.2429="","-",196034.2429/2276206.61995*100)</f>
        <v>8.6123219738419952</v>
      </c>
      <c r="D32" s="111">
        <f>IF(199354.62937="","-",199354.62937/2362843.47408*100)</f>
        <v>8.437064560428448</v>
      </c>
      <c r="E32" s="111">
        <f>IF(162332.04308="","-",162332.04308/1980077.64559*100)</f>
        <v>8.1982665397765366</v>
      </c>
      <c r="F32" s="111">
        <f>IF(226949.67124="","-",226949.67124/2676462.27457*100)</f>
        <v>8.4794646050619829</v>
      </c>
      <c r="G32" s="118">
        <f>IF(239300.10079="","-",239300.10079/3581025.78176*100)</f>
        <v>6.682445627978387</v>
      </c>
    </row>
    <row r="33" spans="1:7" x14ac:dyDescent="0.2">
      <c r="A33" s="119" t="s">
        <v>39</v>
      </c>
      <c r="B33" s="111">
        <f>IF(OR(125986.89396="",125986.89396="***"),"-",125986.89396/1792621.32665*100)</f>
        <v>7.0280818423286719</v>
      </c>
      <c r="C33" s="111">
        <f>IF(160269.2253="","-",160269.2253/2276206.61995*100)</f>
        <v>7.0410666542882003</v>
      </c>
      <c r="D33" s="111">
        <f>IF(164977.28889="","-",164977.28889/2362843.47408*100)</f>
        <v>6.9821505613796848</v>
      </c>
      <c r="E33" s="111">
        <f>IF(125493.89063="","-",125493.89063/1980077.64559*100)</f>
        <v>6.3378267468196583</v>
      </c>
      <c r="F33" s="111">
        <f>IF(178261.71393="","-",178261.71393/2676462.27457*100)</f>
        <v>6.660348461613923</v>
      </c>
      <c r="G33" s="118">
        <f>IF(189808.9489="","-",189808.9489/3581025.78176*100)</f>
        <v>5.3004072147928749</v>
      </c>
    </row>
    <row r="34" spans="1:7" x14ac:dyDescent="0.2">
      <c r="A34" s="119" t="s">
        <v>40</v>
      </c>
      <c r="B34" s="111">
        <f>IF(OR(56549.72656="",56549.72656="***"),"-",56549.72656/1792621.32665*100)</f>
        <v>3.154582940596748</v>
      </c>
      <c r="C34" s="111">
        <f>IF(78946.5275="","-",78946.5275/2276206.61995*100)</f>
        <v>3.4683374878214774</v>
      </c>
      <c r="D34" s="111">
        <f>IF(76876.47591="","-",76876.47591/2362843.47408*100)</f>
        <v>3.2535577050838178</v>
      </c>
      <c r="E34" s="111">
        <f>IF(76501.5434="","-",76501.5434/1980077.64559*100)</f>
        <v>3.8635628037306065</v>
      </c>
      <c r="F34" s="111">
        <f>IF(103738.8945="","-",103738.8945/2676462.27457*100)</f>
        <v>3.8759707351625825</v>
      </c>
      <c r="G34" s="118">
        <f>IF(116326.13592="","-",116326.13592/3581025.78176*100)</f>
        <v>3.2484026368229078</v>
      </c>
    </row>
    <row r="35" spans="1:7" x14ac:dyDescent="0.2">
      <c r="A35" s="119" t="s">
        <v>65</v>
      </c>
      <c r="B35" s="111">
        <f>IF(OR(51455.8958="",51455.8958="***"),"-",51455.8958/1792621.32665*100)</f>
        <v>2.8704275150044833</v>
      </c>
      <c r="C35" s="111">
        <f>IF(68024.41431="","-",68024.41431/2276206.61995*100)</f>
        <v>2.9884990981835489</v>
      </c>
      <c r="D35" s="111">
        <f>IF(65411.75334="","-",65411.75334/2362843.47408*100)</f>
        <v>2.7683489853456678</v>
      </c>
      <c r="E35" s="111">
        <f>IF(57994.27069="","-",57994.27069/1980077.64559*100)</f>
        <v>2.9288887139938167</v>
      </c>
      <c r="F35" s="111">
        <f>IF(74469.83759="","-",74469.83759/2676462.27457*100)</f>
        <v>2.7823981790277359</v>
      </c>
      <c r="G35" s="118">
        <f>IF(90412.09947="","-",90412.09947/3581025.78176*100)</f>
        <v>2.524754217925913</v>
      </c>
    </row>
    <row r="36" spans="1:7" x14ac:dyDescent="0.2">
      <c r="A36" s="119" t="s">
        <v>43</v>
      </c>
      <c r="B36" s="111">
        <f>IF(OR(37240.0418599999="",37240.0418599999="***"),"-",37240.0418599999/1792621.32665*100)</f>
        <v>2.077407052251969</v>
      </c>
      <c r="C36" s="111">
        <f>IF(52019.93791="","-",52019.93791/2276206.61995*100)</f>
        <v>2.2853785528109345</v>
      </c>
      <c r="D36" s="111">
        <f>IF(47277.86911="","-",47277.86911/2362843.47408*100)</f>
        <v>2.0008887439489902</v>
      </c>
      <c r="E36" s="111">
        <f>IF(42298.46556="","-",42298.46556/1980077.64559*100)</f>
        <v>2.1362023683367424</v>
      </c>
      <c r="F36" s="111">
        <f>IF(53570.7336="","-",53570.7336/2676462.27457*100)</f>
        <v>2.0015501099714421</v>
      </c>
      <c r="G36" s="118">
        <f>IF(78921.54917="","-",78921.54917/3581025.78176*100)</f>
        <v>2.2038810659221699</v>
      </c>
    </row>
    <row r="37" spans="1:7" x14ac:dyDescent="0.2">
      <c r="A37" s="119" t="s">
        <v>82</v>
      </c>
      <c r="B37" s="111">
        <f>IF(OR(11721.8956="",11721.8956="***"),"-",11721.8956/1792621.32665*100)</f>
        <v>0.65389691764437208</v>
      </c>
      <c r="C37" s="111">
        <f>IF(12991.74925="","-",12991.74925/2276206.61995*100)</f>
        <v>0.57076317835704127</v>
      </c>
      <c r="D37" s="111">
        <f>IF(14884.32898="","-",14884.32898/2362843.47408*100)</f>
        <v>0.62993292375388443</v>
      </c>
      <c r="E37" s="111">
        <f>IF(13940.70315="","-",13940.70315/1980077.64559*100)</f>
        <v>0.70404830745140368</v>
      </c>
      <c r="F37" s="111">
        <f>IF(19010.77279="","-",19010.77279/2676462.27457*100)</f>
        <v>0.71029481605729961</v>
      </c>
      <c r="G37" s="118">
        <f>IF(78911.46205="","-",78911.46205/3581025.78176*100)</f>
        <v>2.2035993835044843</v>
      </c>
    </row>
    <row r="38" spans="1:7" ht="13.5" customHeight="1" x14ac:dyDescent="0.2">
      <c r="A38" s="119" t="s">
        <v>67</v>
      </c>
      <c r="B38" s="111">
        <f>IF(OR(34175.4137="",34175.4137="***"),"-",34175.4137/1792621.32665*100)</f>
        <v>1.9064491307746543</v>
      </c>
      <c r="C38" s="111">
        <f>IF(33016.40187="","-",33016.40187/2276206.61995*100)</f>
        <v>1.4505010916243293</v>
      </c>
      <c r="D38" s="111">
        <f>IF(30082.26799="","-",30082.26799/2362843.47408*100)</f>
        <v>1.2731384164883319</v>
      </c>
      <c r="E38" s="111">
        <f>IF(27071.76981="","-",27071.76981/1980077.64559*100)</f>
        <v>1.3672074865495225</v>
      </c>
      <c r="F38" s="111">
        <f>IF(39582.40195="","-",39582.40195/2676462.27457*100)</f>
        <v>1.4789075237893763</v>
      </c>
      <c r="G38" s="118">
        <f>IF(60348.02795="","-",60348.02795/3581025.78176*100)</f>
        <v>1.6852162376876325</v>
      </c>
    </row>
    <row r="39" spans="1:7" ht="12" customHeight="1" x14ac:dyDescent="0.2">
      <c r="A39" s="119" t="s">
        <v>66</v>
      </c>
      <c r="B39" s="111">
        <f>IF(OR(24127.48666="",24127.48666="***"),"-",24127.48666/1792621.32665*100)</f>
        <v>1.3459332599310734</v>
      </c>
      <c r="C39" s="111">
        <f>IF(33391.93649="","-",33391.93649/2276206.61995*100)</f>
        <v>1.466999357498288</v>
      </c>
      <c r="D39" s="111">
        <f>IF(44984.27509="","-",44984.27509/2362843.47408*100)</f>
        <v>1.9038195116803132</v>
      </c>
      <c r="E39" s="111">
        <f>IF(31546.1199="","-",31546.1199/1980077.64559*100)</f>
        <v>1.5931759024833725</v>
      </c>
      <c r="F39" s="111">
        <f>IF(46503.23923="","-",46503.23923/2676462.27457*100)</f>
        <v>1.7374890605350006</v>
      </c>
      <c r="G39" s="118">
        <f>IF(52919.55752="","-",52919.55752/3581025.78176*100)</f>
        <v>1.477776501625496</v>
      </c>
    </row>
    <row r="40" spans="1:7" x14ac:dyDescent="0.2">
      <c r="A40" s="119" t="s">
        <v>45</v>
      </c>
      <c r="B40" s="111">
        <f>IF(OR(24853.73744="",24853.73744="***"),"-",24853.73744/1792621.32665*100)</f>
        <v>1.3864466003227778</v>
      </c>
      <c r="C40" s="111">
        <f>IF(26193.64931="","-",26193.64931/2276206.61995*100)</f>
        <v>1.1507588581995856</v>
      </c>
      <c r="D40" s="111">
        <f>IF(18846.74539="","-",18846.74539/2362843.47408*100)</f>
        <v>0.79762987251359063</v>
      </c>
      <c r="E40" s="111">
        <f>IF(21458.62221="","-",21458.62221/1980077.64559*100)</f>
        <v>1.0837263002181925</v>
      </c>
      <c r="F40" s="111">
        <f>IF(30084.01167="","-",30084.01167/2676462.27457*100)</f>
        <v>1.1240215098803623</v>
      </c>
      <c r="G40" s="118">
        <f>IF(50022.36787="","-",50022.36787/3581025.78176*100)</f>
        <v>1.396872597924024</v>
      </c>
    </row>
    <row r="41" spans="1:7" x14ac:dyDescent="0.2">
      <c r="A41" s="119" t="s">
        <v>42</v>
      </c>
      <c r="B41" s="111">
        <f>IF(OR(44322.31588="",44322.31588="***"),"-",44322.31588/1792621.32665*100)</f>
        <v>2.4724862535708136</v>
      </c>
      <c r="C41" s="111">
        <f>IF(38913.64511="","-",38913.64511/2276206.61995*100)</f>
        <v>1.7095831621320383</v>
      </c>
      <c r="D41" s="111">
        <f>IF(52775.92007="","-",52775.92007/2362843.47408*100)</f>
        <v>2.2335766481759398</v>
      </c>
      <c r="E41" s="111">
        <f>IF(37387.32916="","-",37387.32916/1980077.64559*100)</f>
        <v>1.8881749028008328</v>
      </c>
      <c r="F41" s="111">
        <f>IF(47482.49501="","-",47482.49501/2676462.27457*100)</f>
        <v>1.7740767527772656</v>
      </c>
      <c r="G41" s="118">
        <f>IF(47109.2531799999="","-",47109.2531799999/3581025.78176*100)</f>
        <v>1.3155239881251755</v>
      </c>
    </row>
    <row r="42" spans="1:7" x14ac:dyDescent="0.2">
      <c r="A42" s="119" t="s">
        <v>44</v>
      </c>
      <c r="B42" s="111">
        <f>IF(OR(25149.45651="",25149.45651="***"),"-",25149.45651/1792621.32665*100)</f>
        <v>1.402943060874914</v>
      </c>
      <c r="C42" s="111">
        <f>IF(34448.96405="","-",34448.96405/2276206.61995*100)</f>
        <v>1.5134374774271027</v>
      </c>
      <c r="D42" s="111">
        <f>IF(35188.76246="","-",35188.76246/2362843.47408*100)</f>
        <v>1.4892549102813992</v>
      </c>
      <c r="E42" s="111">
        <f>IF(31225.79153="","-",31225.79153/1980077.64559*100)</f>
        <v>1.5769983363806781</v>
      </c>
      <c r="F42" s="111">
        <f>IF(38615.56078="","-",38615.56078/2676462.27457*100)</f>
        <v>1.4427836755593342</v>
      </c>
      <c r="G42" s="118">
        <f>IF(46630.62744="","-",46630.62744/3581025.78176*100)</f>
        <v>1.3021583837098767</v>
      </c>
    </row>
    <row r="43" spans="1:7" x14ac:dyDescent="0.2">
      <c r="A43" s="119" t="s">
        <v>94</v>
      </c>
      <c r="B43" s="111">
        <f>IF(OR(18288.43873="",18288.43873="***"),"-",18288.43873/1792621.32665*100)</f>
        <v>1.0202064684891883</v>
      </c>
      <c r="C43" s="111">
        <f>IF(25586.31869="","-",25586.31869/2276206.61995*100)</f>
        <v>1.1240771582749389</v>
      </c>
      <c r="D43" s="111">
        <f>IF(24435.09942="","-",24435.09942/2362843.47408*100)</f>
        <v>1.0341395732746994</v>
      </c>
      <c r="E43" s="111">
        <f>IF(21569.78722="","-",21569.78722/1980077.64559*100)</f>
        <v>1.0893404745031041</v>
      </c>
      <c r="F43" s="111">
        <f>IF(28671.472="","-",28671.472/2676462.27457*100)</f>
        <v>1.0712451384956045</v>
      </c>
      <c r="G43" s="118">
        <f>IF(37016.46948="","-",37016.46948/3581025.78176*100)</f>
        <v>1.0336834118465121</v>
      </c>
    </row>
    <row r="44" spans="1:7" x14ac:dyDescent="0.2">
      <c r="A44" s="119" t="s">
        <v>55</v>
      </c>
      <c r="B44" s="111">
        <f>IF(OR(28047.31991="",28047.31991="***"),"-",28047.31991/1792621.32665*100)</f>
        <v>1.564598138660664</v>
      </c>
      <c r="C44" s="111">
        <f>IF(46594.88351="","-",46594.88351/2276206.61995*100)</f>
        <v>2.0470410331652369</v>
      </c>
      <c r="D44" s="111">
        <f>IF(38420.85678="","-",38420.85678/2362843.47408*100)</f>
        <v>1.6260432483772376</v>
      </c>
      <c r="E44" s="111">
        <f>IF(23105.27501="","-",23105.27501/1980077.64559*100)</f>
        <v>1.1668873218916305</v>
      </c>
      <c r="F44" s="111">
        <f>IF(39000.60102="","-",39000.60102/2676462.27457*100)</f>
        <v>1.4571698391028445</v>
      </c>
      <c r="G44" s="118">
        <f>IF(34940.69661="","-",34940.69661/3581025.78176*100)</f>
        <v>0.97571753847656928</v>
      </c>
    </row>
    <row r="45" spans="1:7" x14ac:dyDescent="0.2">
      <c r="A45" s="120" t="s">
        <v>46</v>
      </c>
      <c r="B45" s="111">
        <f>IF(OR(24443.37034="",24443.37034="***"),"-",24443.37034/1792621.32665*100)</f>
        <v>1.3635545877209372</v>
      </c>
      <c r="C45" s="21">
        <f>IF(24198.01658="","-",24198.01658/2276206.61995*100)</f>
        <v>1.0630852387439038</v>
      </c>
      <c r="D45" s="21">
        <f>IF(23531.58652="","-",23531.58652/2362843.47408*100)</f>
        <v>0.99590120031807405</v>
      </c>
      <c r="E45" s="21">
        <f>IF(20824.28491="","-",20824.28491/1980077.64559*100)</f>
        <v>1.0516903191336735</v>
      </c>
      <c r="F45" s="21">
        <f>IF(25924.73999="","-",25924.73999/2676462.27457*100)</f>
        <v>0.9686196676979153</v>
      </c>
      <c r="G45" s="118">
        <f>IF(29994.00965="","-",29994.00965/3581025.78176*100)</f>
        <v>0.83758150535455134</v>
      </c>
    </row>
    <row r="46" spans="1:7" x14ac:dyDescent="0.2">
      <c r="A46" s="121" t="s">
        <v>68</v>
      </c>
      <c r="B46" s="14">
        <f>IF(OR(8789.43597="",8789.43597="***"),"-",8789.43597/1792621.32665*100)</f>
        <v>0.49031191581467182</v>
      </c>
      <c r="C46" s="14">
        <f>IF(14601.17045="","-",14601.17045/2276206.61995*100)</f>
        <v>0.64146946599780708</v>
      </c>
      <c r="D46" s="14">
        <f>IF(13886.97106="","-",13886.97106/2362843.47408*100)</f>
        <v>0.58772285224720822</v>
      </c>
      <c r="E46" s="14">
        <f>IF(15091.54382="","-",15091.54382/1980077.64559*100)</f>
        <v>0.76216929440174563</v>
      </c>
      <c r="F46" s="14">
        <f>IF(18092.96697="","-",18092.96697/2676462.27457*100)</f>
        <v>0.67600306351812167</v>
      </c>
      <c r="G46" s="16">
        <f>IF(26346.10297="","-",26346.10297/3581025.78176*100)</f>
        <v>0.7357138589784582</v>
      </c>
    </row>
  </sheetData>
  <mergeCells count="1">
    <mergeCell ref="A2:G2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L48"/>
  <sheetViews>
    <sheetView workbookViewId="0">
      <selection activeCell="G35" sqref="G35"/>
    </sheetView>
  </sheetViews>
  <sheetFormatPr defaultRowHeight="12" x14ac:dyDescent="0.2"/>
  <cols>
    <col min="1" max="1" width="47.140625" style="3" customWidth="1"/>
    <col min="2" max="2" width="13.7109375" style="3" customWidth="1"/>
    <col min="3" max="3" width="11.140625" style="3" customWidth="1"/>
    <col min="4" max="4" width="10.28515625" style="3" customWidth="1"/>
    <col min="5" max="5" width="10.140625" style="3" customWidth="1"/>
    <col min="6" max="16384" width="9.140625" style="3"/>
  </cols>
  <sheetData>
    <row r="2" spans="1:12" s="5" customFormat="1" x14ac:dyDescent="0.2">
      <c r="A2" s="162" t="s">
        <v>91</v>
      </c>
      <c r="B2" s="162"/>
      <c r="C2" s="162"/>
      <c r="D2" s="162"/>
      <c r="E2" s="162"/>
      <c r="F2" s="162"/>
      <c r="G2" s="162"/>
    </row>
    <row r="3" spans="1:12" x14ac:dyDescent="0.2">
      <c r="A3" s="60"/>
      <c r="B3" s="60"/>
      <c r="C3" s="60"/>
      <c r="D3" s="60"/>
      <c r="E3" s="60"/>
      <c r="F3" s="60"/>
      <c r="G3" s="59"/>
      <c r="H3" s="59"/>
      <c r="I3" s="59"/>
      <c r="J3" s="59"/>
      <c r="K3" s="59"/>
      <c r="L3" s="59"/>
    </row>
    <row r="4" spans="1:12" x14ac:dyDescent="0.2">
      <c r="A4" s="4"/>
      <c r="B4" s="4"/>
      <c r="C4" s="4"/>
      <c r="D4" s="4"/>
      <c r="E4" s="4"/>
      <c r="F4" s="4"/>
    </row>
    <row r="5" spans="1:12" x14ac:dyDescent="0.2">
      <c r="A5" s="4"/>
      <c r="B5" s="4"/>
      <c r="C5" s="4"/>
      <c r="D5" s="4"/>
      <c r="E5" s="4"/>
      <c r="F5" s="4"/>
    </row>
    <row r="6" spans="1:12" x14ac:dyDescent="0.2">
      <c r="A6" s="4"/>
      <c r="B6" s="4"/>
      <c r="C6" s="4"/>
      <c r="D6" s="4"/>
      <c r="E6" s="4"/>
      <c r="F6" s="4"/>
    </row>
    <row r="7" spans="1:12" x14ac:dyDescent="0.2">
      <c r="A7" s="4"/>
      <c r="B7" s="4"/>
      <c r="C7" s="4"/>
      <c r="D7" s="4"/>
      <c r="E7" s="4"/>
      <c r="F7" s="4"/>
    </row>
    <row r="8" spans="1:12" x14ac:dyDescent="0.2">
      <c r="A8" s="4"/>
      <c r="B8" s="4"/>
      <c r="C8" s="4"/>
      <c r="D8" s="4"/>
      <c r="E8" s="4"/>
      <c r="F8" s="4"/>
    </row>
    <row r="9" spans="1:12" x14ac:dyDescent="0.2">
      <c r="A9" s="4"/>
      <c r="B9" s="4"/>
      <c r="C9" s="4"/>
      <c r="D9" s="4"/>
      <c r="E9" s="4"/>
      <c r="F9" s="4"/>
    </row>
    <row r="10" spans="1:12" x14ac:dyDescent="0.2">
      <c r="A10" s="4"/>
      <c r="B10" s="4"/>
      <c r="C10" s="4"/>
      <c r="D10" s="4"/>
      <c r="E10" s="4"/>
      <c r="F10" s="4"/>
    </row>
    <row r="11" spans="1:12" x14ac:dyDescent="0.2">
      <c r="A11" s="4"/>
      <c r="B11" s="4"/>
      <c r="C11" s="4"/>
      <c r="D11" s="4"/>
      <c r="E11" s="4"/>
      <c r="F11" s="4"/>
    </row>
    <row r="12" spans="1:12" x14ac:dyDescent="0.2">
      <c r="A12" s="4"/>
      <c r="B12" s="4"/>
      <c r="C12" s="4"/>
      <c r="D12" s="4"/>
      <c r="E12" s="4"/>
      <c r="F12" s="4"/>
    </row>
    <row r="13" spans="1:12" x14ac:dyDescent="0.2">
      <c r="A13" s="4"/>
      <c r="B13" s="4"/>
      <c r="C13" s="4"/>
      <c r="D13" s="4"/>
      <c r="E13" s="4"/>
      <c r="F13" s="4"/>
    </row>
    <row r="14" spans="1:12" x14ac:dyDescent="0.2">
      <c r="A14" s="4"/>
      <c r="B14" s="4"/>
      <c r="C14" s="4"/>
      <c r="D14" s="4"/>
      <c r="E14" s="4"/>
      <c r="F14" s="4"/>
    </row>
    <row r="15" spans="1:12" x14ac:dyDescent="0.2">
      <c r="A15" s="4"/>
      <c r="B15" s="4"/>
      <c r="C15" s="4"/>
      <c r="D15" s="4"/>
      <c r="E15" s="4"/>
      <c r="F15" s="4"/>
    </row>
    <row r="16" spans="1:12" x14ac:dyDescent="0.2">
      <c r="A16" s="4"/>
      <c r="B16" s="4"/>
      <c r="C16" s="4"/>
      <c r="D16" s="4"/>
      <c r="E16" s="4"/>
      <c r="F16" s="4"/>
    </row>
    <row r="17" spans="1:6" x14ac:dyDescent="0.2">
      <c r="A17" s="4"/>
      <c r="B17" s="4"/>
      <c r="C17" s="4"/>
      <c r="D17" s="4"/>
      <c r="E17" s="4"/>
      <c r="F17" s="4"/>
    </row>
    <row r="18" spans="1:6" x14ac:dyDescent="0.2">
      <c r="A18" s="4"/>
      <c r="B18" s="4"/>
      <c r="C18" s="4"/>
      <c r="D18" s="4"/>
      <c r="E18" s="4"/>
      <c r="F18" s="4"/>
    </row>
    <row r="19" spans="1:6" x14ac:dyDescent="0.2">
      <c r="A19" s="4"/>
      <c r="B19" s="4"/>
      <c r="C19" s="4"/>
      <c r="D19" s="4"/>
      <c r="E19" s="4"/>
      <c r="F19" s="4"/>
    </row>
    <row r="20" spans="1:6" x14ac:dyDescent="0.2">
      <c r="A20" s="5"/>
    </row>
    <row r="21" spans="1:6" x14ac:dyDescent="0.2">
      <c r="A21" s="5"/>
    </row>
    <row r="22" spans="1:6" ht="16.5" customHeight="1" x14ac:dyDescent="0.2">
      <c r="A22" s="5"/>
    </row>
    <row r="23" spans="1:6" ht="16.5" customHeight="1" x14ac:dyDescent="0.2">
      <c r="A23" s="5"/>
    </row>
    <row r="24" spans="1:6" x14ac:dyDescent="0.2">
      <c r="A24" s="56" t="s">
        <v>103</v>
      </c>
      <c r="B24" s="106" t="s">
        <v>47</v>
      </c>
    </row>
    <row r="25" spans="1:6" x14ac:dyDescent="0.2">
      <c r="A25" s="134" t="s">
        <v>88</v>
      </c>
      <c r="B25" s="136">
        <v>7.4</v>
      </c>
    </row>
    <row r="26" spans="1:6" ht="13.5" customHeight="1" x14ac:dyDescent="0.2">
      <c r="A26" s="135" t="s">
        <v>84</v>
      </c>
      <c r="B26" s="137">
        <v>4.3</v>
      </c>
    </row>
    <row r="27" spans="1:6" x14ac:dyDescent="0.2">
      <c r="A27" s="135" t="s">
        <v>76</v>
      </c>
      <c r="B27" s="137">
        <v>8.1</v>
      </c>
    </row>
    <row r="28" spans="1:6" x14ac:dyDescent="0.2">
      <c r="A28" s="135" t="s">
        <v>86</v>
      </c>
      <c r="B28" s="137">
        <v>6.4</v>
      </c>
    </row>
    <row r="29" spans="1:6" x14ac:dyDescent="0.2">
      <c r="A29" s="135" t="s">
        <v>89</v>
      </c>
      <c r="B29" s="137">
        <v>4.7</v>
      </c>
    </row>
    <row r="30" spans="1:6" x14ac:dyDescent="0.2">
      <c r="A30" s="135" t="s">
        <v>75</v>
      </c>
      <c r="B30" s="137">
        <v>4.5</v>
      </c>
    </row>
    <row r="31" spans="1:6" x14ac:dyDescent="0.2">
      <c r="A31" s="135" t="s">
        <v>85</v>
      </c>
      <c r="B31" s="137">
        <v>2.8</v>
      </c>
    </row>
    <row r="32" spans="1:6" x14ac:dyDescent="0.2">
      <c r="A32" s="135" t="s">
        <v>90</v>
      </c>
      <c r="B32" s="137">
        <v>3.5</v>
      </c>
    </row>
    <row r="33" spans="1:3" x14ac:dyDescent="0.2">
      <c r="A33" s="135" t="s">
        <v>72</v>
      </c>
      <c r="B33" s="137">
        <v>3.3</v>
      </c>
    </row>
    <row r="34" spans="1:3" x14ac:dyDescent="0.2">
      <c r="A34" s="135" t="s">
        <v>105</v>
      </c>
      <c r="B34" s="137">
        <v>2.2999999999999998</v>
      </c>
    </row>
    <row r="35" spans="1:3" x14ac:dyDescent="0.2">
      <c r="A35" s="138" t="s">
        <v>79</v>
      </c>
      <c r="B35" s="139">
        <v>52.7</v>
      </c>
    </row>
    <row r="36" spans="1:3" ht="15" x14ac:dyDescent="0.2">
      <c r="A36" s="91"/>
      <c r="B36" s="104"/>
      <c r="C36" s="6"/>
    </row>
    <row r="37" spans="1:3" ht="11.25" customHeight="1" x14ac:dyDescent="0.2">
      <c r="A37" s="105" t="s">
        <v>104</v>
      </c>
      <c r="B37" s="140" t="s">
        <v>47</v>
      </c>
    </row>
    <row r="38" spans="1:3" x14ac:dyDescent="0.2">
      <c r="A38" s="122" t="s">
        <v>88</v>
      </c>
      <c r="B38" s="136">
        <v>13.1</v>
      </c>
    </row>
    <row r="39" spans="1:3" x14ac:dyDescent="0.2">
      <c r="A39" s="122" t="s">
        <v>84</v>
      </c>
      <c r="B39" s="137">
        <v>11.3</v>
      </c>
    </row>
    <row r="40" spans="1:3" x14ac:dyDescent="0.2">
      <c r="A40" s="122" t="s">
        <v>76</v>
      </c>
      <c r="B40" s="137">
        <v>6.1</v>
      </c>
    </row>
    <row r="41" spans="1:3" x14ac:dyDescent="0.2">
      <c r="A41" s="122" t="s">
        <v>86</v>
      </c>
      <c r="B41" s="137">
        <v>5.4</v>
      </c>
    </row>
    <row r="42" spans="1:3" x14ac:dyDescent="0.2">
      <c r="A42" s="91" t="s">
        <v>89</v>
      </c>
      <c r="B42" s="137">
        <v>3.8</v>
      </c>
    </row>
    <row r="43" spans="1:3" x14ac:dyDescent="0.2">
      <c r="A43" s="122" t="s">
        <v>75</v>
      </c>
      <c r="B43" s="137">
        <v>3.7</v>
      </c>
    </row>
    <row r="44" spans="1:3" x14ac:dyDescent="0.2">
      <c r="A44" s="122" t="s">
        <v>85</v>
      </c>
      <c r="B44" s="137">
        <v>3.5</v>
      </c>
    </row>
    <row r="45" spans="1:3" x14ac:dyDescent="0.2">
      <c r="A45" s="122" t="s">
        <v>90</v>
      </c>
      <c r="B45" s="137">
        <v>2.7</v>
      </c>
    </row>
    <row r="46" spans="1:3" x14ac:dyDescent="0.2">
      <c r="A46" s="122" t="s">
        <v>72</v>
      </c>
      <c r="B46" s="137">
        <v>2.6</v>
      </c>
    </row>
    <row r="47" spans="1:3" x14ac:dyDescent="0.2">
      <c r="A47" s="122" t="s">
        <v>105</v>
      </c>
      <c r="B47" s="137">
        <v>2.2999999999999998</v>
      </c>
    </row>
    <row r="48" spans="1:3" x14ac:dyDescent="0.2">
      <c r="A48" s="102" t="s">
        <v>79</v>
      </c>
      <c r="B48" s="139">
        <v>45.5</v>
      </c>
    </row>
  </sheetData>
  <mergeCells count="1">
    <mergeCell ref="A2:G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32"/>
  <sheetViews>
    <sheetView workbookViewId="0">
      <selection activeCell="A2" sqref="A2:K2"/>
    </sheetView>
  </sheetViews>
  <sheetFormatPr defaultRowHeight="12" x14ac:dyDescent="0.2"/>
  <cols>
    <col min="1" max="9" width="9.140625" style="3"/>
    <col min="10" max="10" width="11.42578125" style="3" customWidth="1"/>
    <col min="11" max="11" width="11.5703125" style="3" customWidth="1"/>
    <col min="12" max="12" width="11.28515625" style="3" customWidth="1"/>
    <col min="13" max="13" width="11.7109375" style="3" customWidth="1"/>
    <col min="14" max="16384" width="9.140625" style="3"/>
  </cols>
  <sheetData>
    <row r="2" spans="1:13" s="5" customFormat="1" x14ac:dyDescent="0.2">
      <c r="A2" s="152" t="s">
        <v>83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45"/>
      <c r="M2" s="145"/>
    </row>
    <row r="3" spans="1:13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3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3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3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3" x14ac:dyDescent="0.2">
      <c r="A7" s="4"/>
      <c r="B7" s="4"/>
      <c r="C7" s="4"/>
      <c r="D7" s="4"/>
      <c r="E7" s="4"/>
      <c r="F7" s="4"/>
      <c r="G7" s="4"/>
      <c r="H7" s="4"/>
      <c r="I7" s="4"/>
      <c r="J7" s="4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</row>
    <row r="9" spans="1:13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3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3" x14ac:dyDescent="0.2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3" x14ac:dyDescent="0.2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3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3" x14ac:dyDescent="0.2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3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3" x14ac:dyDescent="0.2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3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3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3" x14ac:dyDescent="0.2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3" x14ac:dyDescent="0.2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3" x14ac:dyDescent="0.2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3" x14ac:dyDescent="0.2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3" x14ac:dyDescent="0.2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3" x14ac:dyDescent="0.2">
      <c r="A24" s="4"/>
      <c r="B24" s="4"/>
      <c r="C24" s="4"/>
      <c r="D24" s="4"/>
      <c r="E24" s="4"/>
      <c r="F24" s="4"/>
      <c r="G24" s="4"/>
      <c r="H24" s="4"/>
      <c r="I24" s="4"/>
      <c r="J24" s="4"/>
    </row>
    <row r="26" spans="1:13" x14ac:dyDescent="0.2">
      <c r="A26" s="38" t="s">
        <v>0</v>
      </c>
      <c r="B26" s="54" t="s">
        <v>1</v>
      </c>
      <c r="C26" s="54" t="s">
        <v>2</v>
      </c>
      <c r="D26" s="54" t="s">
        <v>3</v>
      </c>
      <c r="E26" s="54" t="s">
        <v>4</v>
      </c>
      <c r="F26" s="54" t="s">
        <v>5</v>
      </c>
      <c r="G26" s="54" t="s">
        <v>6</v>
      </c>
      <c r="H26" s="54" t="s">
        <v>7</v>
      </c>
      <c r="I26" s="54" t="s">
        <v>8</v>
      </c>
      <c r="J26" s="54" t="s">
        <v>9</v>
      </c>
      <c r="K26" s="54" t="s">
        <v>10</v>
      </c>
      <c r="L26" s="54" t="s">
        <v>11</v>
      </c>
      <c r="M26" s="90" t="s">
        <v>12</v>
      </c>
    </row>
    <row r="27" spans="1:13" x14ac:dyDescent="0.2">
      <c r="A27" s="41">
        <v>2017</v>
      </c>
      <c r="B27" s="49">
        <v>-127.3</v>
      </c>
      <c r="C27" s="49">
        <v>-156.1</v>
      </c>
      <c r="D27" s="49">
        <v>-219.1</v>
      </c>
      <c r="E27" s="49">
        <v>-207.3</v>
      </c>
      <c r="F27" s="49">
        <v>-225.7</v>
      </c>
      <c r="G27" s="49">
        <v>-217.7</v>
      </c>
      <c r="H27" s="49">
        <v>-205.3</v>
      </c>
      <c r="I27" s="49">
        <v>-221.8</v>
      </c>
      <c r="J27" s="49">
        <v>-206.9</v>
      </c>
      <c r="K27" s="49">
        <v>-197.7</v>
      </c>
      <c r="L27" s="49">
        <v>-183.2</v>
      </c>
      <c r="M27" s="50">
        <v>-238.3</v>
      </c>
    </row>
    <row r="28" spans="1:13" x14ac:dyDescent="0.2">
      <c r="A28" s="41">
        <v>2018</v>
      </c>
      <c r="B28" s="49">
        <v>-154</v>
      </c>
      <c r="C28" s="49">
        <v>-212.1</v>
      </c>
      <c r="D28" s="49">
        <v>-282</v>
      </c>
      <c r="E28" s="49">
        <v>-244.9</v>
      </c>
      <c r="F28" s="49">
        <v>-282.60000000000002</v>
      </c>
      <c r="G28" s="49">
        <v>-244.6</v>
      </c>
      <c r="H28" s="49">
        <v>-269.2</v>
      </c>
      <c r="I28" s="49">
        <v>-262.10000000000002</v>
      </c>
      <c r="J28" s="49">
        <v>-266.7</v>
      </c>
      <c r="K28" s="49">
        <v>-281.60000000000002</v>
      </c>
      <c r="L28" s="49">
        <v>-253.70000000000005</v>
      </c>
      <c r="M28" s="50">
        <v>-300.49999999999994</v>
      </c>
    </row>
    <row r="29" spans="1:13" x14ac:dyDescent="0.2">
      <c r="A29" s="41">
        <v>2019</v>
      </c>
      <c r="B29" s="49">
        <v>-138.30000000000001</v>
      </c>
      <c r="C29" s="49">
        <v>-217.9</v>
      </c>
      <c r="D29" s="49">
        <v>-276.60000000000002</v>
      </c>
      <c r="E29" s="49">
        <v>-300</v>
      </c>
      <c r="F29" s="49">
        <v>-271.10000000000002</v>
      </c>
      <c r="G29" s="49">
        <v>-243.2</v>
      </c>
      <c r="H29" s="49">
        <v>-278.89999999999998</v>
      </c>
      <c r="I29" s="49">
        <v>-258.5</v>
      </c>
      <c r="J29" s="49">
        <v>-262.89999999999998</v>
      </c>
      <c r="K29" s="49">
        <v>-257</v>
      </c>
      <c r="L29" s="49">
        <v>-237.5</v>
      </c>
      <c r="M29" s="50">
        <v>-321.39999999999998</v>
      </c>
    </row>
    <row r="30" spans="1:13" x14ac:dyDescent="0.2">
      <c r="A30" s="41">
        <v>2020</v>
      </c>
      <c r="B30" s="49">
        <v>-160.30000000000001</v>
      </c>
      <c r="C30" s="49">
        <v>-239.5</v>
      </c>
      <c r="D30" s="49">
        <v>-290.3</v>
      </c>
      <c r="E30" s="49">
        <v>-135.80000000000001</v>
      </c>
      <c r="F30" s="49">
        <v>-173.7</v>
      </c>
      <c r="G30" s="49">
        <v>-223.9</v>
      </c>
      <c r="H30" s="49">
        <v>-305.5</v>
      </c>
      <c r="I30" s="49">
        <v>-269.7</v>
      </c>
      <c r="J30" s="49">
        <v>-296</v>
      </c>
      <c r="K30" s="49">
        <v>-244.2</v>
      </c>
      <c r="L30" s="49">
        <v>-260.89999999999998</v>
      </c>
      <c r="M30" s="50">
        <v>-349</v>
      </c>
    </row>
    <row r="31" spans="1:13" x14ac:dyDescent="0.2">
      <c r="A31" s="41">
        <v>2021</v>
      </c>
      <c r="B31" s="49">
        <v>-201</v>
      </c>
      <c r="C31" s="49">
        <v>-294.39999999999998</v>
      </c>
      <c r="D31" s="49">
        <v>-370.8</v>
      </c>
      <c r="E31" s="49">
        <v>-344</v>
      </c>
      <c r="F31" s="49">
        <v>-361.7</v>
      </c>
      <c r="G31" s="49">
        <v>-362.8</v>
      </c>
      <c r="H31" s="49">
        <v>-321.3</v>
      </c>
      <c r="I31" s="49">
        <v>-338.6</v>
      </c>
      <c r="J31" s="49">
        <v>-376.3</v>
      </c>
      <c r="K31" s="49">
        <v>-294.5</v>
      </c>
      <c r="L31" s="49">
        <v>-337</v>
      </c>
      <c r="M31" s="50">
        <v>-429.2</v>
      </c>
    </row>
    <row r="32" spans="1:13" x14ac:dyDescent="0.2">
      <c r="A32" s="42">
        <v>2022</v>
      </c>
      <c r="B32" s="51">
        <v>-290.89999999999998</v>
      </c>
      <c r="C32" s="51">
        <v>-332.5</v>
      </c>
      <c r="D32" s="51">
        <v>-351.5</v>
      </c>
      <c r="E32" s="51">
        <v>-374.5</v>
      </c>
      <c r="F32" s="51">
        <v>-356.5</v>
      </c>
      <c r="G32" s="51"/>
      <c r="H32" s="51"/>
      <c r="I32" s="51"/>
      <c r="J32" s="51"/>
      <c r="K32" s="51"/>
      <c r="L32" s="51"/>
      <c r="M32" s="52"/>
    </row>
  </sheetData>
  <mergeCells count="1">
    <mergeCell ref="A2:K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M32"/>
  <sheetViews>
    <sheetView workbookViewId="0">
      <selection activeCell="A2" sqref="A2:F2"/>
    </sheetView>
  </sheetViews>
  <sheetFormatPr defaultRowHeight="12" x14ac:dyDescent="0.2"/>
  <cols>
    <col min="1" max="1" width="28.42578125" style="3" customWidth="1"/>
    <col min="2" max="2" width="17.7109375" style="3" customWidth="1"/>
    <col min="3" max="3" width="18" style="3" customWidth="1"/>
    <col min="4" max="4" width="22.140625" style="3" customWidth="1"/>
    <col min="5" max="16384" width="9.140625" style="3"/>
  </cols>
  <sheetData>
    <row r="2" spans="1:13" s="5" customFormat="1" x14ac:dyDescent="0.2">
      <c r="A2" s="156" t="s">
        <v>106</v>
      </c>
      <c r="B2" s="156"/>
      <c r="C2" s="156"/>
      <c r="D2" s="156"/>
      <c r="E2" s="156"/>
      <c r="F2" s="156"/>
      <c r="G2" s="145"/>
      <c r="H2" s="145"/>
      <c r="I2" s="145"/>
      <c r="J2" s="145"/>
      <c r="K2" s="145"/>
      <c r="L2" s="145"/>
      <c r="M2" s="145"/>
    </row>
    <row r="3" spans="1:13" ht="19.5" customHeight="1" x14ac:dyDescent="0.2">
      <c r="A3" s="4"/>
      <c r="B3" s="4"/>
      <c r="C3" s="4"/>
      <c r="D3" s="4"/>
      <c r="E3" s="4"/>
      <c r="F3" s="4"/>
    </row>
    <row r="4" spans="1:13" x14ac:dyDescent="0.2">
      <c r="A4" s="4"/>
      <c r="B4" s="4"/>
      <c r="C4" s="4"/>
      <c r="D4" s="4"/>
      <c r="E4" s="4"/>
      <c r="F4" s="4"/>
    </row>
    <row r="5" spans="1:13" x14ac:dyDescent="0.2">
      <c r="A5" s="4"/>
      <c r="B5" s="4"/>
      <c r="C5" s="4"/>
      <c r="D5" s="4"/>
      <c r="E5" s="4"/>
      <c r="F5" s="4"/>
    </row>
    <row r="6" spans="1:13" x14ac:dyDescent="0.2">
      <c r="A6" s="4"/>
      <c r="B6" s="4"/>
      <c r="C6" s="4"/>
      <c r="D6" s="4"/>
      <c r="E6" s="4"/>
      <c r="F6" s="4"/>
    </row>
    <row r="7" spans="1:13" x14ac:dyDescent="0.2">
      <c r="A7" s="4"/>
      <c r="B7" s="4"/>
      <c r="C7" s="4"/>
      <c r="D7" s="4"/>
      <c r="E7" s="4"/>
      <c r="F7" s="4"/>
    </row>
    <row r="8" spans="1:13" x14ac:dyDescent="0.2">
      <c r="A8" s="4"/>
      <c r="B8" s="4"/>
      <c r="C8" s="4"/>
      <c r="D8" s="4"/>
      <c r="E8" s="4"/>
      <c r="F8" s="4"/>
    </row>
    <row r="9" spans="1:13" x14ac:dyDescent="0.2">
      <c r="A9" s="4"/>
      <c r="B9" s="4"/>
      <c r="C9" s="4"/>
      <c r="D9" s="4"/>
      <c r="E9" s="4"/>
      <c r="F9" s="4"/>
    </row>
    <row r="10" spans="1:13" x14ac:dyDescent="0.2">
      <c r="A10" s="4"/>
      <c r="B10" s="4"/>
      <c r="C10" s="4"/>
      <c r="D10" s="4"/>
      <c r="E10" s="4"/>
      <c r="F10" s="4"/>
    </row>
    <row r="11" spans="1:13" x14ac:dyDescent="0.2">
      <c r="A11" s="4"/>
      <c r="B11" s="4"/>
      <c r="C11" s="4"/>
      <c r="D11" s="4"/>
      <c r="E11" s="4"/>
      <c r="F11" s="4"/>
    </row>
    <row r="12" spans="1:13" x14ac:dyDescent="0.2">
      <c r="A12" s="4"/>
      <c r="B12" s="4"/>
      <c r="C12" s="4"/>
      <c r="D12" s="4"/>
      <c r="E12" s="4"/>
      <c r="F12" s="4"/>
    </row>
    <row r="13" spans="1:13" x14ac:dyDescent="0.2">
      <c r="A13" s="4"/>
      <c r="B13" s="4"/>
      <c r="C13" s="4"/>
      <c r="D13" s="4"/>
      <c r="E13" s="4"/>
      <c r="F13" s="4"/>
    </row>
    <row r="14" spans="1:13" x14ac:dyDescent="0.2">
      <c r="A14" s="4"/>
      <c r="B14" s="4"/>
      <c r="C14" s="4"/>
      <c r="D14" s="4"/>
      <c r="E14" s="4"/>
      <c r="F14" s="4"/>
    </row>
    <row r="15" spans="1:13" x14ac:dyDescent="0.2">
      <c r="A15" s="4"/>
      <c r="B15" s="4"/>
      <c r="C15" s="4"/>
      <c r="D15" s="4"/>
      <c r="E15" s="4"/>
      <c r="F15" s="4"/>
    </row>
    <row r="16" spans="1:13" x14ac:dyDescent="0.2">
      <c r="A16" s="4"/>
      <c r="B16" s="4"/>
      <c r="C16" s="4"/>
      <c r="D16" s="4"/>
      <c r="E16" s="4"/>
      <c r="F16" s="4"/>
    </row>
    <row r="17" spans="1:6" x14ac:dyDescent="0.2">
      <c r="A17" s="4"/>
      <c r="B17" s="4"/>
      <c r="C17" s="4"/>
      <c r="D17" s="4"/>
      <c r="E17" s="4"/>
      <c r="F17" s="4"/>
    </row>
    <row r="18" spans="1:6" x14ac:dyDescent="0.2">
      <c r="A18" s="4"/>
      <c r="B18" s="4"/>
      <c r="C18" s="4"/>
      <c r="D18" s="4"/>
      <c r="E18" s="4"/>
      <c r="F18" s="4"/>
    </row>
    <row r="19" spans="1:6" x14ac:dyDescent="0.2">
      <c r="A19" s="4"/>
      <c r="B19" s="4"/>
      <c r="C19" s="4"/>
      <c r="D19" s="4"/>
      <c r="E19" s="4"/>
      <c r="F19" s="4"/>
    </row>
    <row r="20" spans="1:6" x14ac:dyDescent="0.2">
      <c r="A20" s="4"/>
      <c r="B20" s="4"/>
      <c r="C20" s="4"/>
      <c r="D20" s="4"/>
      <c r="E20" s="4"/>
      <c r="F20" s="4"/>
    </row>
    <row r="21" spans="1:6" x14ac:dyDescent="0.2">
      <c r="A21" s="4"/>
      <c r="B21" s="4"/>
      <c r="C21" s="4"/>
      <c r="D21" s="4"/>
      <c r="E21" s="4"/>
      <c r="F21" s="4"/>
    </row>
    <row r="22" spans="1:6" x14ac:dyDescent="0.2">
      <c r="A22" s="4"/>
      <c r="B22" s="4"/>
      <c r="C22" s="4"/>
      <c r="D22" s="4"/>
      <c r="E22" s="4"/>
      <c r="F22" s="4"/>
    </row>
    <row r="23" spans="1:6" x14ac:dyDescent="0.2">
      <c r="A23" s="4"/>
      <c r="B23" s="4"/>
      <c r="C23" s="4"/>
      <c r="D23" s="4"/>
      <c r="E23" s="4"/>
      <c r="F23" s="4"/>
    </row>
    <row r="24" spans="1:6" x14ac:dyDescent="0.2">
      <c r="A24" s="4"/>
      <c r="B24" s="4"/>
      <c r="C24" s="4"/>
      <c r="D24" s="4"/>
      <c r="E24" s="4"/>
      <c r="F24" s="4"/>
    </row>
    <row r="25" spans="1:6" x14ac:dyDescent="0.2">
      <c r="A25" s="4"/>
      <c r="B25" s="4"/>
      <c r="C25" s="4"/>
      <c r="D25" s="4"/>
      <c r="E25" s="4"/>
      <c r="F25" s="4"/>
    </row>
    <row r="26" spans="1:6" x14ac:dyDescent="0.2">
      <c r="A26" s="57" t="s">
        <v>56</v>
      </c>
      <c r="B26" s="32" t="s">
        <v>57</v>
      </c>
      <c r="C26" s="32" t="s">
        <v>58</v>
      </c>
      <c r="D26" s="33" t="s">
        <v>59</v>
      </c>
      <c r="E26" s="6"/>
    </row>
    <row r="27" spans="1:6" ht="15.75" customHeight="1" x14ac:dyDescent="0.2">
      <c r="A27" s="17" t="s">
        <v>100</v>
      </c>
      <c r="B27" s="141">
        <v>857.1</v>
      </c>
      <c r="C27" s="141">
        <v>1792.6</v>
      </c>
      <c r="D27" s="141">
        <v>-935.5</v>
      </c>
      <c r="E27" s="6"/>
    </row>
    <row r="28" spans="1:6" ht="15" customHeight="1" x14ac:dyDescent="0.2">
      <c r="A28" s="18" t="s">
        <v>99</v>
      </c>
      <c r="B28" s="141">
        <v>1100.7</v>
      </c>
      <c r="C28" s="141">
        <v>2276.1999999999998</v>
      </c>
      <c r="D28" s="141">
        <v>-1175.5</v>
      </c>
      <c r="E28" s="6"/>
    </row>
    <row r="29" spans="1:6" ht="14.25" customHeight="1" x14ac:dyDescent="0.2">
      <c r="A29" s="18" t="s">
        <v>98</v>
      </c>
      <c r="B29" s="142">
        <v>1159</v>
      </c>
      <c r="C29" s="142">
        <v>2362.8000000000002</v>
      </c>
      <c r="D29" s="142">
        <v>-1203.8</v>
      </c>
      <c r="E29" s="6"/>
    </row>
    <row r="30" spans="1:6" ht="14.25" customHeight="1" x14ac:dyDescent="0.2">
      <c r="A30" s="18" t="s">
        <v>97</v>
      </c>
      <c r="B30" s="142">
        <v>980.6</v>
      </c>
      <c r="C30" s="142">
        <v>1980.1</v>
      </c>
      <c r="D30" s="142">
        <v>-999.5</v>
      </c>
      <c r="E30" s="6"/>
    </row>
    <row r="31" spans="1:6" ht="13.5" customHeight="1" x14ac:dyDescent="0.2">
      <c r="A31" s="18" t="s">
        <v>96</v>
      </c>
      <c r="B31" s="142">
        <v>1104.7</v>
      </c>
      <c r="C31" s="142">
        <v>2676.5</v>
      </c>
      <c r="D31" s="142">
        <v>-1571.8</v>
      </c>
      <c r="E31" s="6"/>
    </row>
    <row r="32" spans="1:6" ht="13.5" customHeight="1" x14ac:dyDescent="0.2">
      <c r="A32" s="18" t="s">
        <v>95</v>
      </c>
      <c r="B32" s="142">
        <v>1875.2</v>
      </c>
      <c r="C32" s="142">
        <v>3581</v>
      </c>
      <c r="D32" s="142">
        <v>-1705.8</v>
      </c>
      <c r="E32" s="6"/>
    </row>
  </sheetData>
  <mergeCells count="1">
    <mergeCell ref="A2:F2"/>
  </mergeCells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P27"/>
  <sheetViews>
    <sheetView workbookViewId="0">
      <selection activeCell="A2" sqref="A2:M2"/>
    </sheetView>
  </sheetViews>
  <sheetFormatPr defaultRowHeight="12" x14ac:dyDescent="0.2"/>
  <cols>
    <col min="1" max="1" width="17.85546875" style="3" customWidth="1"/>
    <col min="2" max="2" width="7" style="3" customWidth="1"/>
    <col min="3" max="3" width="6.85546875" style="3" bestFit="1" customWidth="1"/>
    <col min="4" max="4" width="7.7109375" style="3" bestFit="1" customWidth="1"/>
    <col min="5" max="5" width="7.5703125" style="3" bestFit="1" customWidth="1"/>
    <col min="6" max="6" width="6.7109375" style="3" bestFit="1" customWidth="1"/>
    <col min="7" max="7" width="7.5703125" style="3" bestFit="1" customWidth="1"/>
    <col min="8" max="8" width="7.85546875" style="3" bestFit="1" customWidth="1"/>
    <col min="9" max="9" width="5.85546875" style="3" customWidth="1"/>
    <col min="10" max="10" width="7.5703125" style="3" bestFit="1" customWidth="1"/>
    <col min="11" max="11" width="6.7109375" style="3" bestFit="1" customWidth="1"/>
    <col min="12" max="12" width="7.7109375" style="3" customWidth="1"/>
    <col min="13" max="13" width="9.85546875" style="3" customWidth="1"/>
    <col min="14" max="14" width="6.5703125" style="3" customWidth="1"/>
    <col min="15" max="15" width="7" style="3" customWidth="1"/>
    <col min="16" max="17" width="6.28515625" style="3" customWidth="1"/>
    <col min="18" max="19" width="6.140625" style="3" customWidth="1"/>
    <col min="20" max="20" width="6.42578125" style="3" customWidth="1"/>
    <col min="21" max="21" width="5.42578125" style="3" customWidth="1"/>
    <col min="22" max="22" width="6.28515625" style="3" customWidth="1"/>
    <col min="23" max="23" width="6" style="3" customWidth="1"/>
    <col min="24" max="25" width="6.7109375" style="3" customWidth="1"/>
    <col min="26" max="28" width="6" style="3" customWidth="1"/>
    <col min="29" max="29" width="5.85546875" style="3" customWidth="1"/>
    <col min="30" max="30" width="6.42578125" style="3" customWidth="1"/>
    <col min="31" max="31" width="5.85546875" style="3" customWidth="1"/>
    <col min="32" max="32" width="6.42578125" style="3" customWidth="1"/>
    <col min="33" max="33" width="6" style="3" customWidth="1"/>
    <col min="34" max="34" width="5.85546875" style="3" customWidth="1"/>
    <col min="35" max="35" width="6.28515625" style="3" customWidth="1"/>
    <col min="36" max="36" width="6.140625" style="3" customWidth="1"/>
    <col min="37" max="37" width="7.42578125" style="3" customWidth="1"/>
    <col min="38" max="38" width="6.85546875" style="3" customWidth="1"/>
    <col min="39" max="39" width="7.140625" style="3" customWidth="1"/>
    <col min="40" max="40" width="7.28515625" style="3" customWidth="1"/>
    <col min="41" max="41" width="7.85546875" style="3" customWidth="1"/>
    <col min="42" max="42" width="7" style="3" customWidth="1"/>
    <col min="43" max="16384" width="9.140625" style="3"/>
  </cols>
  <sheetData>
    <row r="2" spans="1:16" s="5" customFormat="1" ht="15.75" customHeight="1" x14ac:dyDescent="0.2">
      <c r="A2" s="152" t="s">
        <v>70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63"/>
      <c r="O2" s="163"/>
      <c r="P2" s="163"/>
    </row>
    <row r="3" spans="1:16" ht="14.2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6" ht="14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6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6" ht="16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6" ht="1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6" ht="14.2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6" ht="13.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6" ht="17.2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6" ht="17.2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6" ht="16.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6" ht="1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6" ht="1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6" ht="15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6" ht="22.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42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42" x14ac:dyDescent="0.2">
      <c r="A18" s="5"/>
    </row>
    <row r="19" spans="1:42" x14ac:dyDescent="0.2">
      <c r="A19" s="5"/>
      <c r="AG19" s="6"/>
    </row>
    <row r="20" spans="1:42" ht="15" customHeight="1" x14ac:dyDescent="0.2">
      <c r="A20" s="151"/>
      <c r="B20" s="149">
        <v>2019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4"/>
      <c r="N20" s="155">
        <v>2020</v>
      </c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49">
        <v>2021</v>
      </c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4"/>
      <c r="AL20" s="149">
        <v>2022</v>
      </c>
      <c r="AM20" s="150"/>
      <c r="AN20" s="150"/>
      <c r="AO20" s="150"/>
      <c r="AP20" s="151"/>
    </row>
    <row r="21" spans="1:42" x14ac:dyDescent="0.2">
      <c r="A21" s="153"/>
      <c r="B21" s="30" t="s">
        <v>13</v>
      </c>
      <c r="C21" s="30" t="s">
        <v>14</v>
      </c>
      <c r="D21" s="30" t="s">
        <v>15</v>
      </c>
      <c r="E21" s="30" t="s">
        <v>16</v>
      </c>
      <c r="F21" s="30" t="s">
        <v>17</v>
      </c>
      <c r="G21" s="30" t="s">
        <v>18</v>
      </c>
      <c r="H21" s="30" t="s">
        <v>19</v>
      </c>
      <c r="I21" s="30" t="s">
        <v>20</v>
      </c>
      <c r="J21" s="30" t="s">
        <v>21</v>
      </c>
      <c r="K21" s="30" t="s">
        <v>22</v>
      </c>
      <c r="L21" s="30" t="s">
        <v>23</v>
      </c>
      <c r="M21" s="30" t="s">
        <v>24</v>
      </c>
      <c r="N21" s="30" t="s">
        <v>13</v>
      </c>
      <c r="O21" s="30" t="s">
        <v>14</v>
      </c>
      <c r="P21" s="30" t="s">
        <v>15</v>
      </c>
      <c r="Q21" s="30" t="s">
        <v>16</v>
      </c>
      <c r="R21" s="30" t="s">
        <v>17</v>
      </c>
      <c r="S21" s="30" t="s">
        <v>25</v>
      </c>
      <c r="T21" s="30" t="s">
        <v>19</v>
      </c>
      <c r="U21" s="30" t="s">
        <v>26</v>
      </c>
      <c r="V21" s="30" t="s">
        <v>21</v>
      </c>
      <c r="W21" s="30" t="s">
        <v>27</v>
      </c>
      <c r="X21" s="30" t="s">
        <v>23</v>
      </c>
      <c r="Y21" s="30" t="s">
        <v>24</v>
      </c>
      <c r="Z21" s="30" t="s">
        <v>13</v>
      </c>
      <c r="AA21" s="109" t="s">
        <v>14</v>
      </c>
      <c r="AB21" s="30" t="s">
        <v>15</v>
      </c>
      <c r="AC21" s="30" t="s">
        <v>16</v>
      </c>
      <c r="AD21" s="30" t="s">
        <v>17</v>
      </c>
      <c r="AE21" s="30" t="s">
        <v>25</v>
      </c>
      <c r="AF21" s="30" t="s">
        <v>19</v>
      </c>
      <c r="AG21" s="30" t="s">
        <v>26</v>
      </c>
      <c r="AH21" s="87" t="s">
        <v>21</v>
      </c>
      <c r="AI21" s="39" t="s">
        <v>27</v>
      </c>
      <c r="AJ21" s="39" t="s">
        <v>23</v>
      </c>
      <c r="AK21" s="39" t="s">
        <v>24</v>
      </c>
      <c r="AL21" s="94" t="s">
        <v>13</v>
      </c>
      <c r="AM21" s="94" t="s">
        <v>14</v>
      </c>
      <c r="AN21" s="95" t="s">
        <v>15</v>
      </c>
      <c r="AO21" s="63" t="s">
        <v>16</v>
      </c>
      <c r="AP21" s="30" t="s">
        <v>17</v>
      </c>
    </row>
    <row r="22" spans="1:42" ht="28.5" customHeight="1" x14ac:dyDescent="0.2">
      <c r="A22" s="29" t="s">
        <v>60</v>
      </c>
      <c r="B22" s="19">
        <v>107.04955714362214</v>
      </c>
      <c r="C22" s="19">
        <v>103.05469693630643</v>
      </c>
      <c r="D22" s="19">
        <v>106.5540849399146</v>
      </c>
      <c r="E22" s="19">
        <v>83.804058120513616</v>
      </c>
      <c r="F22" s="19">
        <v>97.663587687631406</v>
      </c>
      <c r="G22" s="19">
        <v>96.047232355670943</v>
      </c>
      <c r="H22" s="19">
        <v>108.87893967295254</v>
      </c>
      <c r="I22" s="19">
        <v>93.476142278451405</v>
      </c>
      <c r="J22" s="19">
        <v>116.03027535062083</v>
      </c>
      <c r="K22" s="19">
        <v>112.37403253245004</v>
      </c>
      <c r="L22" s="19">
        <v>99.332915825323369</v>
      </c>
      <c r="M22" s="15">
        <v>81.894486392152885</v>
      </c>
      <c r="N22" s="21">
        <v>100.54069338788538</v>
      </c>
      <c r="O22" s="21">
        <v>111.77933359663091</v>
      </c>
      <c r="P22" s="21">
        <v>85.694935103741471</v>
      </c>
      <c r="Q22" s="21">
        <v>71.283537880135214</v>
      </c>
      <c r="R22" s="21">
        <v>103.90424682350312</v>
      </c>
      <c r="S22" s="21">
        <v>121.75061963317823</v>
      </c>
      <c r="T22" s="21">
        <v>100.8184202333199</v>
      </c>
      <c r="U22" s="21">
        <v>78.376764810035453</v>
      </c>
      <c r="V22" s="21">
        <v>129.49769232961904</v>
      </c>
      <c r="W22" s="21">
        <v>117.47585360993436</v>
      </c>
      <c r="X22" s="21">
        <v>105.08585699580438</v>
      </c>
      <c r="Y22" s="15">
        <v>83.287463510424814</v>
      </c>
      <c r="Z22" s="21">
        <v>90.925213233797848</v>
      </c>
      <c r="AA22" s="108">
        <v>114.41147354263464</v>
      </c>
      <c r="AB22" s="108">
        <v>114.20579997969134</v>
      </c>
      <c r="AC22" s="108">
        <v>84.167356355788357</v>
      </c>
      <c r="AD22" s="108">
        <v>92.421884276527052</v>
      </c>
      <c r="AE22" s="108">
        <v>112.45124175218632</v>
      </c>
      <c r="AF22" s="108">
        <v>106.13290668113962</v>
      </c>
      <c r="AG22" s="108">
        <v>98.163759117159898</v>
      </c>
      <c r="AH22" s="22">
        <v>124.79747973247373</v>
      </c>
      <c r="AI22" s="22">
        <v>119.44752327758337</v>
      </c>
      <c r="AJ22" s="108">
        <v>103.29810746017232</v>
      </c>
      <c r="AK22" s="110">
        <v>89.310814590947814</v>
      </c>
      <c r="AL22" s="108">
        <v>101.65548055101389</v>
      </c>
      <c r="AM22" s="22">
        <v>101.89897918896213</v>
      </c>
      <c r="AN22" s="108">
        <v>117.60123789264428</v>
      </c>
      <c r="AO22" s="21">
        <v>100.1282722557787</v>
      </c>
      <c r="AP22" s="110">
        <v>104.98638136927103</v>
      </c>
    </row>
    <row r="23" spans="1:42" ht="40.5" customHeight="1" x14ac:dyDescent="0.2">
      <c r="A23" s="28" t="s">
        <v>61</v>
      </c>
      <c r="B23" s="26">
        <f>IF(220321.7383="","-",234254.08835/220321.7383*100)</f>
        <v>106.32363840150403</v>
      </c>
      <c r="C23" s="14">
        <f>IF(215472.31369="","-",241409.84081/215472.31369*100)</f>
        <v>112.03752197942065</v>
      </c>
      <c r="D23" s="14">
        <f>IF(242121.38159="","-",257232.04683/242121.38159*100)</f>
        <v>106.24094623150131</v>
      </c>
      <c r="E23" s="14">
        <f>IF(199735.58403="","-",215570.89403/199735.58403*100)</f>
        <v>107.92813662968615</v>
      </c>
      <c r="F23" s="14">
        <f>IF(223023.34378="","-",210534.26912/223023.34378*100)</f>
        <v>94.400104290284631</v>
      </c>
      <c r="G23" s="14">
        <f>IF(214123.17565="","-",202212.33865/214123.17565*100)</f>
        <v>94.437390084542201</v>
      </c>
      <c r="H23" s="14">
        <f>IF(218832.76993="","-",220166.65021/218832.76993*100)</f>
        <v>100.6095432052643</v>
      </c>
      <c r="I23" s="14">
        <f>IF(218601.82808="","-",205803.2912/218601.82808*100)</f>
        <v>94.145274542115814</v>
      </c>
      <c r="J23" s="14">
        <f>IF(207304.07378="","-",238794.12546/207304.07378*100)</f>
        <v>115.19027152038439</v>
      </c>
      <c r="K23" s="14">
        <f>IF(258965.48256="","-",268342.58823/258965.48256*100)</f>
        <v>103.62098669571817</v>
      </c>
      <c r="L23" s="14">
        <f>IF(268843.90574="","-",266552.51729/268843.90574*100)</f>
        <v>99.147688156183818</v>
      </c>
      <c r="M23" s="16">
        <f>IF(218827.70429="","-",218291.815/218827.70429*100)</f>
        <v>99.755109028932736</v>
      </c>
      <c r="N23" s="14">
        <f>IF(234254.08835="","-",219472.10441/234254.08835*100)</f>
        <v>93.68976480021378</v>
      </c>
      <c r="O23" s="14">
        <f>IF(241409.84081="","-",245324.45574/241409.84081*100)</f>
        <v>101.62156394157972</v>
      </c>
      <c r="P23" s="14">
        <f>IF(257232.04683="","-",210230.63314/257232.04683*100)</f>
        <v>81.728010071364707</v>
      </c>
      <c r="Q23" s="14">
        <f>IF(215570.89403="","-",149859.83301/215570.89403*100)</f>
        <v>69.517656214361068</v>
      </c>
      <c r="R23" s="14">
        <f>IF(210534.26912="","-",155710.73078/210534.26912*100)</f>
        <v>73.959803043393492</v>
      </c>
      <c r="S23" s="14">
        <f>IF(202212.33865="","-",189578.77956/202212.33865*100)</f>
        <v>93.752330261178145</v>
      </c>
      <c r="T23" s="14">
        <f>IF(220166.65021="","-",191130.33065/220166.65021*100)</f>
        <v>86.811663105059509</v>
      </c>
      <c r="U23" s="14">
        <f>IF(205803.2912="","-",163909.5874/205803.2912*100)</f>
        <v>79.643812518387932</v>
      </c>
      <c r="V23" s="14">
        <f>IF(238794.12546="","-",212259.13319/238794.12546*100)</f>
        <v>88.887920831852767</v>
      </c>
      <c r="W23" s="14">
        <f>IF(268342.58823="","-",249353.22858/268342.58823*100)</f>
        <v>92.923464078044901</v>
      </c>
      <c r="X23" s="14">
        <f>IF(266552.51729="","-",262034.9772/266552.51729*100)</f>
        <v>98.30519698859753</v>
      </c>
      <c r="Y23" s="16">
        <f>IF(218291.815="","-",218242.28602/218291.815*100)</f>
        <v>99.977310656379856</v>
      </c>
      <c r="Z23" s="26">
        <f>IF(219472.10441="","-",198437.26393/219472.10441*100)</f>
        <v>90.415711128050958</v>
      </c>
      <c r="AA23" s="14">
        <f>IF(245324.45574="","-",227034.99772/245324.45574*100)</f>
        <v>92.544788099159774</v>
      </c>
      <c r="AB23" s="14">
        <f>IF(210230.63314="","-",259287.13538/210230.63314*100)</f>
        <v>123.33461185332185</v>
      </c>
      <c r="AC23" s="14">
        <f>IF(149859.83301="","-",218235.12722/149859.83301*100)</f>
        <v>145.62616468779689</v>
      </c>
      <c r="AD23" s="14">
        <f>IF(155710.73078="","-",201697.01673/155710.73078*100)</f>
        <v>129.53315145310887</v>
      </c>
      <c r="AE23" s="14">
        <f>IF(189578.77956="","-",226810.79989/189578.77956*100)</f>
        <v>119.63933960141166</v>
      </c>
      <c r="AF23" s="14">
        <f>IF(191130.33065="","-",240720.89459/191130.33065*100)</f>
        <v>125.94594158412818</v>
      </c>
      <c r="AG23" s="14">
        <f>IF(163909.5874="","-",236300.67911/163909.5874*100)</f>
        <v>144.1652577242715</v>
      </c>
      <c r="AH23" s="14">
        <f>IF(212259.13319="","-",294897.29212/212259.13319*100)</f>
        <v>138.93267521074247</v>
      </c>
      <c r="AI23" s="14">
        <f>IF(249353.22858="","-",352247.51165/249353.22858*100)</f>
        <v>141.26446794210585</v>
      </c>
      <c r="AJ23" s="14">
        <f>IF(262034.9772="","-",363865.01311/262034.9772*100)</f>
        <v>138.86123791492062</v>
      </c>
      <c r="AK23" s="16">
        <f>IF(218242.28602="","-",324970.80722/218242.28602*100)</f>
        <v>148.90368550768355</v>
      </c>
      <c r="AL23" s="14">
        <f>IF(198437.26393="","-",330345.74715/198437.26393*100)</f>
        <v>166.47364542706634</v>
      </c>
      <c r="AM23" s="14">
        <f>IF(227034.99772="","-",336585.45911/227034.99772*100)</f>
        <v>148.25267579455192</v>
      </c>
      <c r="AN23" s="14">
        <f>IF(259287.13538="","-",395828.66648/259287.13538*100)</f>
        <v>152.66035698218914</v>
      </c>
      <c r="AO23" s="14">
        <f>IF(218235.12722="","-",396336.40522/218235.12722*100)</f>
        <v>181.60981243888315</v>
      </c>
      <c r="AP23" s="16">
        <f>IF(201697.01673="","-",416099.25011/201697.01673*100)</f>
        <v>206.29915943030915</v>
      </c>
    </row>
    <row r="26" spans="1:42" ht="15.75" x14ac:dyDescent="0.2">
      <c r="AD26" s="69"/>
      <c r="AE26" s="70"/>
      <c r="AF26" s="70"/>
      <c r="AG26" s="71"/>
      <c r="AH26" s="72"/>
      <c r="AI26" s="73"/>
      <c r="AJ26" s="74"/>
    </row>
    <row r="27" spans="1:42" ht="15.75" x14ac:dyDescent="0.2">
      <c r="AD27" s="75"/>
      <c r="AE27" s="75"/>
      <c r="AF27" s="76"/>
      <c r="AG27" s="77"/>
      <c r="AH27" s="78"/>
      <c r="AI27" s="79"/>
      <c r="AJ27" s="79"/>
    </row>
  </sheetData>
  <mergeCells count="6">
    <mergeCell ref="AL20:AP20"/>
    <mergeCell ref="A20:A21"/>
    <mergeCell ref="B20:M20"/>
    <mergeCell ref="N20:Y20"/>
    <mergeCell ref="Z20:AK20"/>
    <mergeCell ref="A2:M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30"/>
  <sheetViews>
    <sheetView workbookViewId="0">
      <selection activeCell="A2" sqref="A2:G2"/>
    </sheetView>
  </sheetViews>
  <sheetFormatPr defaultRowHeight="12" x14ac:dyDescent="0.2"/>
  <cols>
    <col min="1" max="1" width="24.42578125" style="3" customWidth="1"/>
    <col min="2" max="2" width="14.5703125" style="3" customWidth="1"/>
    <col min="3" max="3" width="14.85546875" style="3" customWidth="1"/>
    <col min="4" max="4" width="15" style="3" customWidth="1"/>
    <col min="5" max="6" width="14.7109375" style="3" customWidth="1"/>
    <col min="7" max="7" width="14.42578125" style="3" customWidth="1"/>
    <col min="8" max="8" width="14.85546875" style="3" customWidth="1"/>
    <col min="9" max="16384" width="9.140625" style="3"/>
  </cols>
  <sheetData>
    <row r="2" spans="1:13" s="5" customFormat="1" x14ac:dyDescent="0.2">
      <c r="A2" s="156" t="s">
        <v>113</v>
      </c>
      <c r="B2" s="156"/>
      <c r="C2" s="156"/>
      <c r="D2" s="156"/>
      <c r="E2" s="156"/>
      <c r="F2" s="156"/>
      <c r="G2" s="156"/>
      <c r="H2" s="145"/>
      <c r="I2" s="145"/>
      <c r="J2" s="145"/>
      <c r="K2" s="145"/>
      <c r="L2" s="145"/>
      <c r="M2" s="145"/>
    </row>
    <row r="3" spans="1:13" x14ac:dyDescent="0.2">
      <c r="A3" s="4"/>
      <c r="B3" s="4"/>
      <c r="C3" s="4"/>
      <c r="D3" s="4"/>
      <c r="E3" s="4"/>
      <c r="F3" s="4"/>
      <c r="G3" s="4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8" x14ac:dyDescent="0.2">
      <c r="A17" s="4"/>
      <c r="B17" s="4"/>
      <c r="C17" s="4"/>
      <c r="D17" s="4"/>
      <c r="E17" s="4"/>
      <c r="F17" s="4"/>
      <c r="G17" s="4"/>
    </row>
    <row r="18" spans="1:8" x14ac:dyDescent="0.2">
      <c r="A18" s="4"/>
      <c r="B18" s="4"/>
      <c r="C18" s="4"/>
      <c r="D18" s="4"/>
      <c r="E18" s="4"/>
      <c r="F18" s="4"/>
      <c r="G18" s="4"/>
    </row>
    <row r="19" spans="1:8" x14ac:dyDescent="0.2">
      <c r="A19" s="4"/>
      <c r="B19" s="4"/>
      <c r="C19" s="4"/>
      <c r="D19" s="4"/>
      <c r="E19" s="4"/>
      <c r="F19" s="4"/>
      <c r="G19" s="4"/>
    </row>
    <row r="20" spans="1:8" x14ac:dyDescent="0.2">
      <c r="A20" s="4"/>
      <c r="B20" s="4"/>
      <c r="C20" s="4"/>
      <c r="D20" s="4"/>
      <c r="E20" s="4"/>
      <c r="F20" s="4"/>
      <c r="G20" s="4"/>
    </row>
    <row r="21" spans="1:8" x14ac:dyDescent="0.2">
      <c r="A21" s="4"/>
      <c r="B21" s="4"/>
      <c r="C21" s="4"/>
      <c r="D21" s="4"/>
      <c r="E21" s="4"/>
      <c r="F21" s="4"/>
      <c r="G21" s="4"/>
      <c r="H21" s="6"/>
    </row>
    <row r="22" spans="1:8" x14ac:dyDescent="0.2">
      <c r="A22" s="4"/>
      <c r="B22" s="4"/>
      <c r="C22" s="4"/>
      <c r="D22" s="4"/>
      <c r="E22" s="4"/>
      <c r="F22" s="4"/>
      <c r="G22" s="4"/>
      <c r="H22" s="6"/>
    </row>
    <row r="23" spans="1:8" x14ac:dyDescent="0.2">
      <c r="H23" s="6"/>
    </row>
    <row r="24" spans="1:8" ht="24" x14ac:dyDescent="0.2">
      <c r="A24" s="55" t="s">
        <v>28</v>
      </c>
      <c r="B24" s="36" t="s">
        <v>95</v>
      </c>
      <c r="C24" s="13" t="s">
        <v>96</v>
      </c>
      <c r="D24" s="13" t="s">
        <v>97</v>
      </c>
      <c r="E24" s="13" t="s">
        <v>98</v>
      </c>
      <c r="F24" s="13" t="s">
        <v>99</v>
      </c>
      <c r="G24" s="13" t="s">
        <v>100</v>
      </c>
      <c r="H24" s="6"/>
    </row>
    <row r="25" spans="1:8" x14ac:dyDescent="0.2">
      <c r="A25" s="43" t="s">
        <v>29</v>
      </c>
      <c r="B25" s="111">
        <v>16.2</v>
      </c>
      <c r="C25" s="111">
        <v>5.4</v>
      </c>
      <c r="D25" s="111">
        <v>9.5</v>
      </c>
      <c r="E25" s="111">
        <v>7.6</v>
      </c>
      <c r="F25" s="111">
        <v>7.8</v>
      </c>
      <c r="G25" s="15">
        <v>7.8</v>
      </c>
    </row>
    <row r="26" spans="1:8" x14ac:dyDescent="0.2">
      <c r="A26" s="43" t="s">
        <v>30</v>
      </c>
      <c r="B26" s="111">
        <v>9.6</v>
      </c>
      <c r="C26" s="111">
        <v>0.7</v>
      </c>
      <c r="D26" s="111">
        <v>4.8</v>
      </c>
      <c r="E26" s="111">
        <v>4.8</v>
      </c>
      <c r="F26" s="111">
        <v>3.1</v>
      </c>
      <c r="G26" s="118">
        <v>1.7</v>
      </c>
    </row>
    <row r="27" spans="1:8" x14ac:dyDescent="0.2">
      <c r="A27" s="43" t="s">
        <v>31</v>
      </c>
      <c r="B27" s="111">
        <v>73.400000000000006</v>
      </c>
      <c r="C27" s="111">
        <v>92.7</v>
      </c>
      <c r="D27" s="111">
        <v>84.5</v>
      </c>
      <c r="E27" s="111">
        <v>86</v>
      </c>
      <c r="F27" s="111">
        <v>86.9</v>
      </c>
      <c r="G27" s="118">
        <v>87.5</v>
      </c>
    </row>
    <row r="28" spans="1:8" x14ac:dyDescent="0.2">
      <c r="A28" s="43" t="s">
        <v>32</v>
      </c>
      <c r="B28" s="111">
        <v>0.8</v>
      </c>
      <c r="C28" s="111">
        <v>1.1000000000000001</v>
      </c>
      <c r="D28" s="111">
        <v>1.2</v>
      </c>
      <c r="E28" s="111">
        <v>1.6</v>
      </c>
      <c r="F28" s="111">
        <v>2.1</v>
      </c>
      <c r="G28" s="118">
        <v>2.9</v>
      </c>
    </row>
    <row r="29" spans="1:8" x14ac:dyDescent="0.2">
      <c r="A29" s="44" t="s">
        <v>48</v>
      </c>
      <c r="B29" s="14">
        <v>0</v>
      </c>
      <c r="C29" s="14">
        <v>0.1</v>
      </c>
      <c r="D29" s="14">
        <v>0</v>
      </c>
      <c r="E29" s="14">
        <v>0</v>
      </c>
      <c r="F29" s="14">
        <v>0.1</v>
      </c>
      <c r="G29" s="16">
        <v>0.1</v>
      </c>
      <c r="H29" s="6"/>
    </row>
    <row r="30" spans="1:8" x14ac:dyDescent="0.2">
      <c r="B30" s="96"/>
      <c r="C30" s="96"/>
      <c r="D30" s="96"/>
      <c r="E30" s="96"/>
      <c r="F30" s="96"/>
      <c r="G30" s="96"/>
      <c r="H30" s="6"/>
    </row>
  </sheetData>
  <mergeCells count="1">
    <mergeCell ref="A2:G2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37"/>
  <sheetViews>
    <sheetView workbookViewId="0">
      <selection activeCell="A2" sqref="A2:F2"/>
    </sheetView>
  </sheetViews>
  <sheetFormatPr defaultRowHeight="12" x14ac:dyDescent="0.2"/>
  <cols>
    <col min="1" max="1" width="26.140625" style="3" customWidth="1"/>
    <col min="2" max="2" width="16.42578125" style="3" customWidth="1"/>
    <col min="3" max="3" width="16" style="3" customWidth="1"/>
    <col min="4" max="4" width="15.7109375" style="3" customWidth="1"/>
    <col min="5" max="5" width="15.5703125" style="3" customWidth="1"/>
    <col min="6" max="6" width="16.42578125" style="3" customWidth="1"/>
    <col min="7" max="7" width="16" style="3" customWidth="1"/>
    <col min="8" max="16384" width="9.140625" style="3"/>
  </cols>
  <sheetData>
    <row r="2" spans="1:13" s="5" customFormat="1" x14ac:dyDescent="0.2">
      <c r="A2" s="157" t="s">
        <v>112</v>
      </c>
      <c r="B2" s="157"/>
      <c r="C2" s="157"/>
      <c r="D2" s="157"/>
      <c r="E2" s="157"/>
      <c r="F2" s="157"/>
      <c r="G2" s="147"/>
      <c r="H2" s="145"/>
      <c r="I2" s="145"/>
      <c r="J2" s="145"/>
      <c r="K2" s="145"/>
      <c r="L2" s="145"/>
      <c r="M2" s="145"/>
    </row>
    <row r="3" spans="1:13" x14ac:dyDescent="0.2">
      <c r="A3" s="4"/>
      <c r="B3" s="4"/>
      <c r="C3" s="4"/>
      <c r="D3" s="4"/>
      <c r="E3" s="4"/>
      <c r="F3" s="4"/>
      <c r="G3" s="4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8" x14ac:dyDescent="0.2">
      <c r="A17" s="4"/>
      <c r="B17" s="4"/>
      <c r="C17" s="4"/>
      <c r="D17" s="4"/>
      <c r="E17" s="4"/>
      <c r="F17" s="4"/>
      <c r="G17" s="4"/>
    </row>
    <row r="18" spans="1:8" x14ac:dyDescent="0.2">
      <c r="A18" s="4"/>
      <c r="B18" s="4"/>
      <c r="C18" s="4"/>
      <c r="D18" s="4"/>
      <c r="E18" s="4"/>
      <c r="F18" s="4"/>
      <c r="G18" s="4"/>
    </row>
    <row r="19" spans="1:8" x14ac:dyDescent="0.2">
      <c r="A19" s="4"/>
      <c r="B19" s="4"/>
      <c r="C19" s="4"/>
      <c r="D19" s="4"/>
      <c r="E19" s="4"/>
      <c r="F19" s="4"/>
      <c r="G19" s="4"/>
    </row>
    <row r="20" spans="1:8" x14ac:dyDescent="0.2">
      <c r="A20" s="4"/>
      <c r="B20" s="4"/>
      <c r="C20" s="4"/>
      <c r="D20" s="4"/>
      <c r="E20" s="4"/>
      <c r="F20" s="4"/>
      <c r="G20" s="4"/>
    </row>
    <row r="21" spans="1:8" x14ac:dyDescent="0.2">
      <c r="A21" s="4"/>
      <c r="B21" s="4"/>
      <c r="C21" s="4"/>
      <c r="D21" s="4"/>
      <c r="E21" s="4"/>
      <c r="F21" s="4"/>
      <c r="G21" s="4"/>
    </row>
    <row r="22" spans="1:8" x14ac:dyDescent="0.2">
      <c r="A22" s="4"/>
      <c r="B22" s="4"/>
      <c r="C22" s="4"/>
      <c r="D22" s="4"/>
      <c r="E22" s="4"/>
      <c r="F22" s="4"/>
      <c r="G22" s="4"/>
    </row>
    <row r="23" spans="1:8" x14ac:dyDescent="0.2">
      <c r="A23" s="4"/>
      <c r="B23" s="4"/>
      <c r="C23" s="4"/>
      <c r="D23" s="4"/>
      <c r="E23" s="4"/>
      <c r="F23" s="4"/>
      <c r="G23" s="4"/>
    </row>
    <row r="24" spans="1:8" x14ac:dyDescent="0.2">
      <c r="A24" s="5"/>
    </row>
    <row r="25" spans="1:8" x14ac:dyDescent="0.2">
      <c r="A25" s="5"/>
    </row>
    <row r="26" spans="1:8" ht="24" x14ac:dyDescent="0.2">
      <c r="A26" s="31"/>
      <c r="B26" s="12" t="s">
        <v>100</v>
      </c>
      <c r="C26" s="12" t="s">
        <v>99</v>
      </c>
      <c r="D26" s="12" t="s">
        <v>98</v>
      </c>
      <c r="E26" s="13" t="s">
        <v>97</v>
      </c>
      <c r="F26" s="13" t="s">
        <v>96</v>
      </c>
      <c r="G26" s="13" t="s">
        <v>95</v>
      </c>
      <c r="H26" s="6"/>
    </row>
    <row r="27" spans="1:8" ht="15" customHeight="1" x14ac:dyDescent="0.2">
      <c r="A27" s="23" t="s">
        <v>33</v>
      </c>
      <c r="B27" s="112">
        <v>57.6</v>
      </c>
      <c r="C27" s="112">
        <v>64.5</v>
      </c>
      <c r="D27" s="112">
        <v>62.2</v>
      </c>
      <c r="E27" s="112">
        <v>63</v>
      </c>
      <c r="F27" s="112">
        <v>65.3</v>
      </c>
      <c r="G27" s="115">
        <v>64.400000000000006</v>
      </c>
      <c r="H27" s="7"/>
    </row>
    <row r="28" spans="1:8" ht="14.25" customHeight="1" x14ac:dyDescent="0.2">
      <c r="A28" s="24" t="s">
        <v>34</v>
      </c>
      <c r="B28" s="112">
        <v>20.7</v>
      </c>
      <c r="C28" s="112">
        <v>16.100000000000001</v>
      </c>
      <c r="D28" s="112">
        <v>14.7</v>
      </c>
      <c r="E28" s="112">
        <v>16.5</v>
      </c>
      <c r="F28" s="112">
        <v>15.7</v>
      </c>
      <c r="G28" s="116">
        <v>15.2</v>
      </c>
      <c r="H28" s="7"/>
    </row>
    <row r="29" spans="1:8" ht="15" customHeight="1" x14ac:dyDescent="0.2">
      <c r="A29" s="25" t="s">
        <v>35</v>
      </c>
      <c r="B29" s="113">
        <v>21.7</v>
      </c>
      <c r="C29" s="114">
        <v>19.399999999999999</v>
      </c>
      <c r="D29" s="114">
        <v>23.1</v>
      </c>
      <c r="E29" s="114">
        <v>20.5</v>
      </c>
      <c r="F29" s="114">
        <v>19</v>
      </c>
      <c r="G29" s="117">
        <v>20.399999999999999</v>
      </c>
      <c r="H29" s="7"/>
    </row>
    <row r="35" spans="2:7" ht="15.75" x14ac:dyDescent="0.2">
      <c r="B35" s="100"/>
      <c r="C35" s="100"/>
      <c r="D35" s="100"/>
      <c r="E35" s="101"/>
      <c r="F35" s="100"/>
      <c r="G35" s="100"/>
    </row>
    <row r="36" spans="2:7" ht="15.75" x14ac:dyDescent="0.2">
      <c r="B36" s="100"/>
      <c r="C36" s="100"/>
      <c r="D36" s="100"/>
      <c r="E36" s="101"/>
      <c r="F36" s="100"/>
      <c r="G36" s="100"/>
    </row>
    <row r="37" spans="2:7" ht="15.75" x14ac:dyDescent="0.2">
      <c r="B37" s="100"/>
      <c r="C37" s="100"/>
      <c r="D37" s="100"/>
      <c r="E37" s="101"/>
      <c r="F37" s="100"/>
      <c r="G37" s="100"/>
    </row>
  </sheetData>
  <mergeCells count="1">
    <mergeCell ref="A2:F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50"/>
  <sheetViews>
    <sheetView workbookViewId="0">
      <selection activeCell="A2" sqref="A2:G2"/>
    </sheetView>
  </sheetViews>
  <sheetFormatPr defaultRowHeight="12" x14ac:dyDescent="0.2"/>
  <cols>
    <col min="1" max="1" width="19.7109375" style="3" customWidth="1"/>
    <col min="2" max="2" width="15.28515625" style="3" customWidth="1"/>
    <col min="3" max="3" width="15.5703125" style="3" customWidth="1"/>
    <col min="4" max="4" width="15.42578125" style="3" customWidth="1"/>
    <col min="5" max="5" width="15.7109375" style="3" customWidth="1"/>
    <col min="6" max="7" width="15.5703125" style="3" customWidth="1"/>
    <col min="8" max="16384" width="9.140625" style="3"/>
  </cols>
  <sheetData>
    <row r="2" spans="1:10" s="5" customFormat="1" x14ac:dyDescent="0.2">
      <c r="A2" s="156" t="s">
        <v>111</v>
      </c>
      <c r="B2" s="156"/>
      <c r="C2" s="156"/>
      <c r="D2" s="156"/>
      <c r="E2" s="156"/>
      <c r="F2" s="156"/>
      <c r="G2" s="156"/>
      <c r="H2" s="146"/>
      <c r="I2" s="145"/>
      <c r="J2" s="145"/>
    </row>
    <row r="3" spans="1:10" x14ac:dyDescent="0.2">
      <c r="A3" s="4"/>
      <c r="B3" s="4"/>
      <c r="C3" s="4"/>
      <c r="D3" s="4"/>
      <c r="E3" s="4"/>
      <c r="F3" s="4"/>
      <c r="G3" s="4"/>
      <c r="H3" s="4"/>
    </row>
    <row r="4" spans="1:10" x14ac:dyDescent="0.2">
      <c r="A4" s="4"/>
      <c r="B4" s="4"/>
      <c r="C4" s="4"/>
      <c r="D4" s="4"/>
      <c r="E4" s="4"/>
      <c r="F4" s="4"/>
      <c r="G4" s="4"/>
      <c r="H4" s="4"/>
    </row>
    <row r="5" spans="1:10" x14ac:dyDescent="0.2">
      <c r="A5" s="4"/>
      <c r="B5" s="4"/>
      <c r="C5" s="4"/>
      <c r="D5" s="4"/>
      <c r="E5" s="4"/>
      <c r="F5" s="4"/>
      <c r="G5" s="4"/>
      <c r="H5" s="4"/>
    </row>
    <row r="6" spans="1:10" x14ac:dyDescent="0.2">
      <c r="A6" s="4"/>
      <c r="B6" s="4"/>
      <c r="C6" s="4"/>
      <c r="D6" s="4"/>
      <c r="E6" s="4"/>
      <c r="F6" s="4"/>
      <c r="G6" s="4"/>
      <c r="H6" s="4"/>
    </row>
    <row r="7" spans="1:10" x14ac:dyDescent="0.2">
      <c r="A7" s="4"/>
      <c r="B7" s="4"/>
      <c r="C7" s="4"/>
      <c r="D7" s="4"/>
      <c r="E7" s="4"/>
      <c r="F7" s="4"/>
      <c r="G7" s="4"/>
      <c r="H7" s="4"/>
    </row>
    <row r="8" spans="1:10" x14ac:dyDescent="0.2">
      <c r="A8" s="4"/>
      <c r="B8" s="4"/>
      <c r="C8" s="4"/>
      <c r="D8" s="4"/>
      <c r="E8" s="4"/>
      <c r="F8" s="4"/>
      <c r="G8" s="4"/>
      <c r="H8" s="4"/>
    </row>
    <row r="9" spans="1:10" x14ac:dyDescent="0.2">
      <c r="A9" s="4"/>
      <c r="B9" s="4"/>
      <c r="C9" s="4"/>
      <c r="D9" s="4"/>
      <c r="E9" s="4"/>
      <c r="F9" s="4"/>
      <c r="G9" s="4"/>
      <c r="H9" s="4"/>
    </row>
    <row r="10" spans="1:10" x14ac:dyDescent="0.2">
      <c r="A10" s="4"/>
      <c r="B10" s="4"/>
      <c r="C10" s="4"/>
      <c r="D10" s="4"/>
      <c r="E10" s="4"/>
      <c r="F10" s="4"/>
      <c r="G10" s="4"/>
      <c r="H10" s="4"/>
    </row>
    <row r="11" spans="1:10" x14ac:dyDescent="0.2">
      <c r="A11" s="4"/>
      <c r="B11" s="4"/>
      <c r="C11" s="4"/>
      <c r="D11" s="4"/>
      <c r="E11" s="4"/>
      <c r="F11" s="4"/>
      <c r="G11" s="4"/>
      <c r="H11" s="4"/>
    </row>
    <row r="12" spans="1:10" x14ac:dyDescent="0.2">
      <c r="A12" s="4"/>
      <c r="B12" s="4"/>
      <c r="C12" s="4"/>
      <c r="D12" s="4"/>
      <c r="E12" s="4"/>
      <c r="F12" s="4"/>
      <c r="G12" s="4"/>
      <c r="H12" s="4"/>
    </row>
    <row r="13" spans="1:10" x14ac:dyDescent="0.2">
      <c r="A13" s="4"/>
      <c r="B13" s="4"/>
      <c r="C13" s="4"/>
      <c r="D13" s="4"/>
      <c r="E13" s="4"/>
      <c r="F13" s="4"/>
      <c r="G13" s="4"/>
      <c r="H13" s="4"/>
    </row>
    <row r="14" spans="1:10" x14ac:dyDescent="0.2">
      <c r="A14" s="4"/>
      <c r="B14" s="4"/>
      <c r="C14" s="4"/>
      <c r="D14" s="4"/>
      <c r="E14" s="4"/>
      <c r="F14" s="4"/>
      <c r="G14" s="4"/>
      <c r="H14" s="4"/>
    </row>
    <row r="15" spans="1:10" x14ac:dyDescent="0.2">
      <c r="A15" s="4"/>
      <c r="B15" s="4"/>
      <c r="C15" s="4"/>
      <c r="D15" s="4"/>
      <c r="E15" s="4"/>
      <c r="F15" s="4"/>
      <c r="G15" s="4"/>
      <c r="H15" s="4"/>
    </row>
    <row r="16" spans="1:10" x14ac:dyDescent="0.2">
      <c r="A16" s="4"/>
      <c r="B16" s="4"/>
      <c r="C16" s="4"/>
      <c r="D16" s="4"/>
      <c r="E16" s="4"/>
      <c r="F16" s="4"/>
      <c r="G16" s="4"/>
      <c r="H16" s="4"/>
    </row>
    <row r="17" spans="1:11" x14ac:dyDescent="0.2">
      <c r="A17" s="4"/>
      <c r="B17" s="4"/>
      <c r="C17" s="4"/>
      <c r="D17" s="4"/>
      <c r="E17" s="4"/>
      <c r="F17" s="4"/>
      <c r="G17" s="4"/>
      <c r="H17" s="4"/>
    </row>
    <row r="18" spans="1:11" x14ac:dyDescent="0.2">
      <c r="A18" s="4"/>
      <c r="B18" s="4"/>
      <c r="C18" s="4"/>
      <c r="D18" s="4"/>
      <c r="E18" s="4"/>
      <c r="F18" s="4"/>
      <c r="G18" s="4"/>
      <c r="H18" s="4"/>
    </row>
    <row r="19" spans="1:11" x14ac:dyDescent="0.2">
      <c r="A19" s="4"/>
      <c r="B19" s="4"/>
      <c r="C19" s="4"/>
      <c r="D19" s="4"/>
      <c r="E19" s="4"/>
      <c r="F19" s="4"/>
      <c r="G19" s="4"/>
      <c r="H19" s="4"/>
    </row>
    <row r="20" spans="1:11" x14ac:dyDescent="0.2">
      <c r="A20" s="4"/>
      <c r="B20" s="4"/>
      <c r="C20" s="4"/>
      <c r="D20" s="4"/>
      <c r="E20" s="4"/>
      <c r="F20" s="4"/>
      <c r="G20" s="4"/>
      <c r="H20" s="4"/>
    </row>
    <row r="21" spans="1:11" x14ac:dyDescent="0.2">
      <c r="A21" s="4"/>
      <c r="B21" s="4"/>
      <c r="C21" s="4"/>
      <c r="D21" s="4"/>
      <c r="E21" s="4"/>
      <c r="F21" s="4"/>
      <c r="G21" s="4"/>
      <c r="H21" s="4"/>
    </row>
    <row r="22" spans="1:11" x14ac:dyDescent="0.2">
      <c r="A22" s="4"/>
      <c r="B22" s="4"/>
      <c r="C22" s="4"/>
      <c r="D22" s="4"/>
      <c r="E22" s="4"/>
      <c r="F22" s="4"/>
      <c r="G22" s="4"/>
      <c r="H22" s="4"/>
    </row>
    <row r="23" spans="1:11" x14ac:dyDescent="0.2">
      <c r="A23" s="4"/>
      <c r="B23" s="4"/>
      <c r="C23" s="4"/>
      <c r="D23" s="4"/>
      <c r="E23" s="4"/>
      <c r="F23" s="4"/>
      <c r="G23" s="4"/>
      <c r="H23" s="4"/>
    </row>
    <row r="24" spans="1:11" x14ac:dyDescent="0.2">
      <c r="A24" s="4"/>
      <c r="B24" s="4"/>
      <c r="C24" s="4"/>
      <c r="D24" s="4"/>
      <c r="E24" s="4"/>
      <c r="F24" s="4"/>
      <c r="G24" s="4"/>
      <c r="H24" s="4"/>
    </row>
    <row r="25" spans="1:11" x14ac:dyDescent="0.2">
      <c r="A25" s="4"/>
      <c r="B25" s="4"/>
      <c r="C25" s="4"/>
      <c r="D25" s="4"/>
      <c r="E25" s="4"/>
      <c r="F25" s="4"/>
      <c r="G25" s="4"/>
      <c r="H25" s="4"/>
      <c r="J25" s="6"/>
      <c r="K25" s="6"/>
    </row>
    <row r="26" spans="1:11" x14ac:dyDescent="0.2">
      <c r="A26" s="5"/>
      <c r="J26" s="6"/>
      <c r="K26" s="6"/>
    </row>
    <row r="27" spans="1:11" ht="14.25" customHeight="1" x14ac:dyDescent="0.2">
      <c r="A27" s="5"/>
      <c r="J27" s="6"/>
      <c r="K27" s="6"/>
    </row>
    <row r="28" spans="1:11" ht="23.25" customHeight="1" x14ac:dyDescent="0.2">
      <c r="A28" s="88"/>
      <c r="B28" s="13" t="s">
        <v>100</v>
      </c>
      <c r="C28" s="13" t="s">
        <v>99</v>
      </c>
      <c r="D28" s="13" t="s">
        <v>98</v>
      </c>
      <c r="E28" s="13" t="s">
        <v>97</v>
      </c>
      <c r="F28" s="13" t="s">
        <v>96</v>
      </c>
      <c r="G28" s="13" t="s">
        <v>95</v>
      </c>
      <c r="J28" s="99"/>
      <c r="K28" s="6"/>
    </row>
    <row r="29" spans="1:11" x14ac:dyDescent="0.2">
      <c r="A29" s="119" t="s">
        <v>36</v>
      </c>
      <c r="B29" s="19">
        <f>IF(OR(208610.62438="",208610.62438="***"),"-",208610.62438/857110.78655*100)</f>
        <v>24.33881683133276</v>
      </c>
      <c r="C29" s="19">
        <f>IF(283608.4613="","-",283608.4613/1100674.36139*100)</f>
        <v>25.766790910060049</v>
      </c>
      <c r="D29" s="19">
        <f>IF(322407.41264="","-",322407.41264/1159001.13914*100)</f>
        <v>27.817695923856654</v>
      </c>
      <c r="E29" s="19">
        <f>IF(241314.61116="","-",241314.61116/980597.75708*100)</f>
        <v>24.608929545033913</v>
      </c>
      <c r="F29" s="19">
        <f>IF(307437.96193="","-",307437.96193/1104691.54098*100)</f>
        <v>27.830208752867243</v>
      </c>
      <c r="G29" s="15">
        <f>IF(570774.05418="","-",570774.05418/1875200.41724*100)</f>
        <v>30.438029393150924</v>
      </c>
      <c r="J29" s="99"/>
      <c r="K29" s="6"/>
    </row>
    <row r="30" spans="1:11" x14ac:dyDescent="0.2">
      <c r="A30" s="119" t="s">
        <v>39</v>
      </c>
      <c r="B30" s="21">
        <f>IF(OR(76041.18143="",76041.18143="***"),"-",76041.18143/857110.78655*100)</f>
        <v>8.8718031114830804</v>
      </c>
      <c r="C30" s="21">
        <f>IF(124758.47944="","-",124758.47944/1100674.36139*100)</f>
        <v>11.33473112632943</v>
      </c>
      <c r="D30" s="21">
        <f>IF(115022.96048="","-",115022.96048/1159001.13914*100)</f>
        <v>9.9243181560070877</v>
      </c>
      <c r="E30" s="21">
        <f>IF(83656.49598="","-",83656.49598/980597.75708*100)</f>
        <v>8.5311734986127519</v>
      </c>
      <c r="F30" s="21">
        <f>IF(77334.27415="","-",77334.27415/1104691.54098*100)</f>
        <v>7.0005310334317201</v>
      </c>
      <c r="G30" s="118">
        <f>IF(175520.86184="","-",175520.86184/1875200.41724*100)</f>
        <v>9.3601121366183921</v>
      </c>
      <c r="J30" s="99"/>
      <c r="K30" s="6"/>
    </row>
    <row r="31" spans="1:11" x14ac:dyDescent="0.2">
      <c r="A31" s="119" t="s">
        <v>38</v>
      </c>
      <c r="B31" s="21">
        <f>IF(OR(43151.5009="",43151.5009="***"),"-",43151.5009/857110.78655*100)</f>
        <v>5.03453014209415</v>
      </c>
      <c r="C31" s="21">
        <f>IF(44790.53034="","-",44790.53034/1100674.36139*100)</f>
        <v>4.0693716426205961</v>
      </c>
      <c r="D31" s="21">
        <f>IF(111668.89219="","-",111668.89219/1159001.13914*100)</f>
        <v>9.6349251453592473</v>
      </c>
      <c r="E31" s="21">
        <f>IF(70549.61954="","-",70549.61954/980597.75708*100)</f>
        <v>7.1945524075112024</v>
      </c>
      <c r="F31" s="21">
        <f>IF(100339.70326="","-",100339.70326/1104691.54098*100)</f>
        <v>9.083051651774765</v>
      </c>
      <c r="G31" s="118">
        <f>IF(172711.73918="","-",172711.73918/1875200.41724*100)</f>
        <v>9.2103082738326449</v>
      </c>
      <c r="J31" s="99"/>
      <c r="K31" s="6"/>
    </row>
    <row r="32" spans="1:11" x14ac:dyDescent="0.2">
      <c r="A32" s="119" t="s">
        <v>41</v>
      </c>
      <c r="B32" s="21">
        <f>IF(OR(21512.88227="",21512.88227="***"),"-",21512.88227/857110.78655*100)</f>
        <v>2.5099301756068884</v>
      </c>
      <c r="C32" s="21">
        <f>IF(34340.53792="","-",34340.53792/1100674.36139*100)</f>
        <v>3.1199543774811507</v>
      </c>
      <c r="D32" s="21">
        <f>IF(31103.43507="","-",31103.43507/1159001.13914*100)</f>
        <v>2.683641458116194</v>
      </c>
      <c r="E32" s="21">
        <f>IF(23438.13647="","-",23438.13647/980597.75708*100)</f>
        <v>2.390188668164356</v>
      </c>
      <c r="F32" s="21">
        <f>IF(31234.98473="","-",31234.98473/1104691.54098*100)</f>
        <v>2.8274847386167772</v>
      </c>
      <c r="G32" s="118">
        <f>IF(157347.23879="","-",157347.23879/1875200.41724*100)</f>
        <v>8.3909558329551981</v>
      </c>
      <c r="J32" s="99"/>
      <c r="K32" s="6"/>
    </row>
    <row r="33" spans="1:11" x14ac:dyDescent="0.2">
      <c r="A33" s="119" t="s">
        <v>37</v>
      </c>
      <c r="B33" s="21">
        <f>IF(OR(58186.26343="",58186.26343="***"),"-",58186.26343/857110.78655*100)</f>
        <v>6.7886514022543656</v>
      </c>
      <c r="C33" s="21">
        <f>IF(95165.1558="","-",95165.1558/1100674.36139*100)</f>
        <v>8.6460772721024881</v>
      </c>
      <c r="D33" s="21">
        <f>IF(103957.82324="","-",103957.82324/1159001.13914*100)</f>
        <v>8.9696049235239403</v>
      </c>
      <c r="E33" s="21">
        <f>IF(84725.55704="","-",84725.55704/980597.75708*100)</f>
        <v>8.6401948636200938</v>
      </c>
      <c r="F33" s="21">
        <f>IF(114798.74452="","-",114798.74452/1104691.54098*100)</f>
        <v>10.391927543697772</v>
      </c>
      <c r="G33" s="118">
        <f>IF(106834.55563="","-",106834.55563/1875200.41724*100)</f>
        <v>5.697233994179868</v>
      </c>
      <c r="J33" s="99"/>
      <c r="K33" s="6"/>
    </row>
    <row r="34" spans="1:11" x14ac:dyDescent="0.2">
      <c r="A34" s="119" t="s">
        <v>63</v>
      </c>
      <c r="B34" s="21">
        <f>IF(OR(97953.93086="",97953.93086="***"),"-",97953.93086/857110.78655*100)</f>
        <v>11.428386201307688</v>
      </c>
      <c r="C34" s="21">
        <f>IF(90350.70814="","-",90350.70814/1100674.36139*100)</f>
        <v>8.2086683681719919</v>
      </c>
      <c r="D34" s="21">
        <f>IF(95851.64695="","-",95851.64695/1159001.13914*100)</f>
        <v>8.270194369362196</v>
      </c>
      <c r="E34" s="21">
        <f>IF(101863.18162="","-",101863.18162/980597.75708*100)</f>
        <v>10.387866062770293</v>
      </c>
      <c r="F34" s="21">
        <f>IF(104571.01105="","-",104571.01105/1104691.54098*100)</f>
        <v>9.4660823560966509</v>
      </c>
      <c r="G34" s="118">
        <f>IF(92149.38154="","-",92149.38154/1875200.41724*100)</f>
        <v>4.9141084170421312</v>
      </c>
      <c r="J34" s="99"/>
      <c r="K34" s="6"/>
    </row>
    <row r="35" spans="1:11" x14ac:dyDescent="0.2">
      <c r="A35" s="119" t="s">
        <v>45</v>
      </c>
      <c r="B35" s="21">
        <f>IF(OR(29759.89045="",29759.89045="***"),"-",29759.89045/857110.78655*100)</f>
        <v>3.4721171308306644</v>
      </c>
      <c r="C35" s="21">
        <f>IF(24427.6626="","-",24427.6626/1100674.36139*100)</f>
        <v>2.2193360231586778</v>
      </c>
      <c r="D35" s="21">
        <f>IF(16729.73418="","-",16729.73418/1159001.13914*100)</f>
        <v>1.4434614095732266</v>
      </c>
      <c r="E35" s="21">
        <f>IF(16632.85304="","-",16632.85304/980597.75708*100)</f>
        <v>1.6961952971959577</v>
      </c>
      <c r="F35" s="21">
        <f>IF(14496.17334="","-",14496.17334/1104691.54098*100)</f>
        <v>1.312237199457513</v>
      </c>
      <c r="G35" s="118">
        <f>IF(86373.99491="","-",86373.99491/1875200.41724*100)</f>
        <v>4.6061207173326526</v>
      </c>
      <c r="J35" s="99"/>
      <c r="K35" s="6"/>
    </row>
    <row r="36" spans="1:11" x14ac:dyDescent="0.2">
      <c r="A36" s="119" t="s">
        <v>64</v>
      </c>
      <c r="B36" s="21">
        <f>IF(OR(10844.81202="",10844.81202="***"),"-",10844.81202/857110.78655*100)</f>
        <v>1.2652754101546198</v>
      </c>
      <c r="C36" s="21">
        <f>IF(27050.69669="","-",27050.69669/1100674.36139*100)</f>
        <v>2.4576475694263196</v>
      </c>
      <c r="D36" s="21">
        <f>IF(31858.75916="","-",31858.75916/1159001.13914*100)</f>
        <v>2.7488117210686935</v>
      </c>
      <c r="E36" s="21">
        <f>IF(37243.51349="","-",37243.51349/980597.75708*100)</f>
        <v>3.7980418801795777</v>
      </c>
      <c r="F36" s="21">
        <f>IF(14274.4816="","-",14274.4816/1104691.54098*100)</f>
        <v>1.2921689965451117</v>
      </c>
      <c r="G36" s="118">
        <f>IF(53213.17595="","-",53213.17595/1875200.41724*100)</f>
        <v>2.8377327277007232</v>
      </c>
      <c r="J36" s="99"/>
      <c r="K36" s="6"/>
    </row>
    <row r="37" spans="1:11" x14ac:dyDescent="0.2">
      <c r="A37" s="119" t="s">
        <v>40</v>
      </c>
      <c r="B37" s="21">
        <f>IF(OR(28064.10865="",28064.10865="***"),"-",28064.10865/857110.78655*100)</f>
        <v>3.2742685181879767</v>
      </c>
      <c r="C37" s="21">
        <f>IF(37437.04123="","-",37437.04123/1100674.36139*100)</f>
        <v>3.401282208729036</v>
      </c>
      <c r="D37" s="21">
        <f>IF(43730.83363="","-",43730.83363/1159001.13914*100)</f>
        <v>3.7731484597546707</v>
      </c>
      <c r="E37" s="21">
        <f>IF(40551.89354="","-",40551.89354/980597.75708*100)</f>
        <v>4.1354258917289837</v>
      </c>
      <c r="F37" s="21">
        <f>IF(43191.96557="","-",43191.96557/1104691.54098*100)</f>
        <v>3.9098665978453413</v>
      </c>
      <c r="G37" s="118">
        <f>IF(52897.94554="","-",52897.94554/1875200.41724*100)</f>
        <v>2.820922236027307</v>
      </c>
      <c r="J37" s="99"/>
      <c r="K37" s="6"/>
    </row>
    <row r="38" spans="1:11" x14ac:dyDescent="0.2">
      <c r="A38" s="119" t="s">
        <v>94</v>
      </c>
      <c r="B38" s="21">
        <f>IF(OR(9610.33651="",9610.33651="***"),"-",9610.33651/857110.78655*100)</f>
        <v>1.121247878431568</v>
      </c>
      <c r="C38" s="21">
        <f>IF(16586.3295="","-",16586.3295/1100674.36139*100)</f>
        <v>1.5069243076629633</v>
      </c>
      <c r="D38" s="21">
        <f>IF(16196.57923="","-",16196.57923/1159001.13914*100)</f>
        <v>1.3974601648811282</v>
      </c>
      <c r="E38" s="21">
        <f>IF(14918.85803="","-",14918.85803/980597.75708*100)</f>
        <v>1.5214044619503322</v>
      </c>
      <c r="F38" s="21">
        <f>IF(16703.25049="","-",16703.25049/1104691.54098*100)</f>
        <v>1.5120284595627591</v>
      </c>
      <c r="G38" s="118">
        <f>IF(41060.24721="","-",41060.24721/1875200.41724*100)</f>
        <v>2.1896458017236484</v>
      </c>
      <c r="J38" s="99"/>
      <c r="K38" s="6"/>
    </row>
    <row r="39" spans="1:11" x14ac:dyDescent="0.2">
      <c r="A39" s="119" t="s">
        <v>66</v>
      </c>
      <c r="B39" s="21">
        <f>IF(OR(11560.58506="",11560.58506="***"),"-",11560.58506/857110.78655*100)</f>
        <v>1.3487853894049211</v>
      </c>
      <c r="C39" s="21">
        <f>IF(17262.7641="","-",17262.7641/1100674.36139*100)</f>
        <v>1.5683806860186611</v>
      </c>
      <c r="D39" s="21">
        <f>IF(19936.87324="","-",19936.87324/1159001.13914*100)</f>
        <v>1.7201771910934895</v>
      </c>
      <c r="E39" s="21">
        <f>IF(32758.69758="","-",32758.69758/980597.75708*100)</f>
        <v>3.3406865703576609</v>
      </c>
      <c r="F39" s="21">
        <f>IF(34027.64288="","-",34027.64288/1104691.54098*100)</f>
        <v>3.0802845516326856</v>
      </c>
      <c r="G39" s="118">
        <f>IF(40529.81306="","-",40529.81306/1875200.41724*100)</f>
        <v>2.1613590039433497</v>
      </c>
      <c r="J39" s="99"/>
      <c r="K39" s="6"/>
    </row>
    <row r="40" spans="1:11" x14ac:dyDescent="0.2">
      <c r="A40" s="119" t="s">
        <v>46</v>
      </c>
      <c r="B40" s="21">
        <f>IF(OR(48618.87315="",48618.87315="***"),"-",48618.87315/857110.78655*100)</f>
        <v>5.6724141047971504</v>
      </c>
      <c r="C40" s="21">
        <f>IF(37004.73447="","-",37004.73447/1100674.36139*100)</f>
        <v>3.3620056728920371</v>
      </c>
      <c r="D40" s="21">
        <f>IF(21459.80052="","-",21459.80052/1159001.13914*100)</f>
        <v>1.851577172385142</v>
      </c>
      <c r="E40" s="21">
        <f>IF(15356.87255="","-",15356.87255/980597.75708*100)</f>
        <v>1.5660725755409963</v>
      </c>
      <c r="F40" s="21">
        <f>IF(19967.01137="","-",19967.01137/1104691.54098*100)</f>
        <v>1.8074739082628219</v>
      </c>
      <c r="G40" s="118">
        <f>IF(32614.51877="","-",32614.51877/1875200.41724*100)</f>
        <v>1.7392550934904036</v>
      </c>
      <c r="J40" s="99"/>
      <c r="K40" s="6"/>
    </row>
    <row r="41" spans="1:11" x14ac:dyDescent="0.2">
      <c r="A41" s="119" t="s">
        <v>42</v>
      </c>
      <c r="B41" s="21">
        <f>IF(OR(48148.69356="",48148.69356="***"),"-",48148.69356/857110.78655*100)</f>
        <v>5.6175577668093233</v>
      </c>
      <c r="C41" s="21">
        <f>IF(42137.01116="","-",42137.01116/1100674.36139*100)</f>
        <v>3.8282904224994181</v>
      </c>
      <c r="D41" s="21">
        <f>IF(36042.27729="","-",36042.27729/1159001.13914*100)</f>
        <v>3.1097706527487992</v>
      </c>
      <c r="E41" s="21">
        <f>IF(28123.06695="","-",28123.06695/980597.75708*100)</f>
        <v>2.8679513844437272</v>
      </c>
      <c r="F41" s="21">
        <f>IF(26894.69034="","-",26894.69034/1104691.54098*100)</f>
        <v>2.4345882395497513</v>
      </c>
      <c r="G41" s="118">
        <f>IF(24830.59257="","-",24830.59257/1875200.41724*100)</f>
        <v>1.3241567323532664</v>
      </c>
      <c r="J41" s="99"/>
      <c r="K41" s="6"/>
    </row>
    <row r="42" spans="1:11" x14ac:dyDescent="0.2">
      <c r="A42" s="119" t="s">
        <v>43</v>
      </c>
      <c r="B42" s="21">
        <f>IF(OR(2261.64776="",2261.64776="***"),"-",2261.64776/857110.78655*100)</f>
        <v>0.26386877816617765</v>
      </c>
      <c r="C42" s="21">
        <f>IF(3313.31876="","-",3313.31876/1100674.36139*100)</f>
        <v>0.30102625047209564</v>
      </c>
      <c r="D42" s="21">
        <f>IF(3201.3501="","-",3201.3501/1159001.13914*100)</f>
        <v>0.27621630315009527</v>
      </c>
      <c r="E42" s="21">
        <f>IF(6138.09703="","-",6138.09703/980597.75708*100)</f>
        <v>0.62595462672460878</v>
      </c>
      <c r="F42" s="21">
        <f>IF(16176.57838="","-",16176.57838/1104691.54098*100)</f>
        <v>1.4643525165087574</v>
      </c>
      <c r="G42" s="118">
        <f>IF(22297.7072="","-",22297.7072/1875200.41724*100)</f>
        <v>1.1890839504408131</v>
      </c>
      <c r="J42" s="99"/>
      <c r="K42" s="6"/>
    </row>
    <row r="43" spans="1:11" x14ac:dyDescent="0.2">
      <c r="A43" s="119" t="s">
        <v>65</v>
      </c>
      <c r="B43" s="21">
        <f>IF(OR(15320.85343="",15320.85343="***"),"-",15320.85343/857110.78655*100)</f>
        <v>1.7874997807073159</v>
      </c>
      <c r="C43" s="21">
        <f>IF(22340.00474="","-",22340.00474/1100674.36139*100)</f>
        <v>2.0296652237622448</v>
      </c>
      <c r="D43" s="21">
        <f>IF(15946.77018="","-",15946.77018/1159001.13914*100)</f>
        <v>1.3759063422347275</v>
      </c>
      <c r="E43" s="21">
        <f>IF(16232.30677="","-",16232.30677/980597.75708*100)</f>
        <v>1.6553481438032414</v>
      </c>
      <c r="F43" s="21">
        <f>IF(14640.71971="","-",14640.71971/1104691.54098*100)</f>
        <v>1.3253219715081592</v>
      </c>
      <c r="G43" s="118">
        <f>IF(20205.24915="","-",20205.24915/1875200.41724*100)</f>
        <v>1.0774981150942227</v>
      </c>
      <c r="J43" s="99"/>
      <c r="K43" s="6"/>
    </row>
    <row r="44" spans="1:11" x14ac:dyDescent="0.2">
      <c r="A44" s="119" t="s">
        <v>62</v>
      </c>
      <c r="B44" s="21">
        <f>IF(OR(11452.49214="",11452.49214="***"),"-",11452.49214/857110.78655*100)</f>
        <v>1.3361740768772734</v>
      </c>
      <c r="C44" s="21">
        <f>IF(14674.85454="","-",14674.85454/1100674.36139*100)</f>
        <v>1.3332603224688255</v>
      </c>
      <c r="D44" s="21">
        <f>IF(9301.76965="","-",9301.76965/1159001.13914*100)</f>
        <v>0.80256777460133311</v>
      </c>
      <c r="E44" s="21">
        <f>IF(18694.16829="","-",18694.16829/980597.75708*100)</f>
        <v>1.9064053690747813</v>
      </c>
      <c r="F44" s="21">
        <f>IF(12204.33477="","-",12204.33477/1104691.54098*100)</f>
        <v>1.1047730807437179</v>
      </c>
      <c r="G44" s="118">
        <f>IF(18557.06545="","-",18557.06545/1875200.41724*100)</f>
        <v>0.98960437931818923</v>
      </c>
      <c r="J44" s="99"/>
      <c r="K44" s="6"/>
    </row>
    <row r="45" spans="1:11" x14ac:dyDescent="0.2">
      <c r="A45" s="119" t="s">
        <v>101</v>
      </c>
      <c r="B45" s="21">
        <f>IF(OR(6781.09898="",6781.09898="***"),"-",6781.09898/857110.78655*100)</f>
        <v>0.79115781605023827</v>
      </c>
      <c r="C45" s="21">
        <f>IF(9022.0032="","-",9022.0032/1100674.36139*100)</f>
        <v>0.8196795997506886</v>
      </c>
      <c r="D45" s="21">
        <f>IF(9136.1493="","-",9136.1493/1159001.13914*100)</f>
        <v>0.78827785335734768</v>
      </c>
      <c r="E45" s="21">
        <f>IF(8722.5312="","-",8722.5312/980597.75708*100)</f>
        <v>0.8895116409376399</v>
      </c>
      <c r="F45" s="21">
        <f>IF(9533.15032="","-",9533.15032/1104691.54098*100)</f>
        <v>0.86296943231256207</v>
      </c>
      <c r="G45" s="118">
        <f>IF(17777.18235="","-",17777.18235/1875200.41724*100)</f>
        <v>0.94801505943376518</v>
      </c>
      <c r="J45" s="99"/>
      <c r="K45" s="6"/>
    </row>
    <row r="46" spans="1:11" x14ac:dyDescent="0.2">
      <c r="A46" s="119" t="s">
        <v>87</v>
      </c>
      <c r="B46" s="21">
        <f>IF(OR(4887.67584="",4887.67584="***"),"-",4887.67584/857110.78655*100)</f>
        <v>0.57025018430506891</v>
      </c>
      <c r="C46" s="21">
        <f>IF(6326.14391="","-",6326.14391/1100674.36139*100)</f>
        <v>0.57475163698834153</v>
      </c>
      <c r="D46" s="21">
        <f>IF(6018.36402="","-",6018.36402/1159001.13914*100)</f>
        <v>0.51927162249950298</v>
      </c>
      <c r="E46" s="21">
        <f>IF(6694.77909="","-",6694.77909/980597.75708*100)</f>
        <v>0.68272429155207837</v>
      </c>
      <c r="F46" s="21">
        <f>IF(9783.94954="","-",9783.94954/1104691.54098*100)</f>
        <v>0.88567253183820061</v>
      </c>
      <c r="G46" s="118">
        <f>IF(15196.77165="","-",15196.77165/1875200.41724*100)</f>
        <v>0.81040786415604882</v>
      </c>
      <c r="J46" s="99"/>
      <c r="K46" s="6"/>
    </row>
    <row r="47" spans="1:11" x14ac:dyDescent="0.2">
      <c r="A47" s="120" t="s">
        <v>93</v>
      </c>
      <c r="B47" s="21">
        <f>IF(OR(45.43539="",45.43539="***"),"-",45.43539/857110.78655*100)</f>
        <v>5.3009938403510582E-3</v>
      </c>
      <c r="C47" s="21">
        <f>IF(9225.32515="","-",9225.32515/1100674.36139*100)</f>
        <v>0.83815208872038105</v>
      </c>
      <c r="D47" s="21">
        <f>IF(34.85182="","-",34.85182/1159001.13914*100)</f>
        <v>3.0070565785518277E-3</v>
      </c>
      <c r="E47" s="21">
        <f>IF(8935.94416="","-",8935.94416/980597.75708*100)</f>
        <v>0.91127519877357621</v>
      </c>
      <c r="F47" s="21">
        <f>IF(16072.40532="","-",16072.40532/1104691.54098*100)</f>
        <v>1.4549224578783104</v>
      </c>
      <c r="G47" s="118">
        <f>IF(14311.11844="","-",14311.11844/1875200.41724*100)</f>
        <v>0.76317807464354737</v>
      </c>
      <c r="J47" s="99"/>
      <c r="K47" s="6"/>
    </row>
    <row r="48" spans="1:11" x14ac:dyDescent="0.2">
      <c r="A48" s="121" t="s">
        <v>44</v>
      </c>
      <c r="B48" s="14">
        <f>IF(OR(9925.63687="",9925.63687="***"),"-",9925.63687/857110.78655*100)</f>
        <v>1.1580342968208561</v>
      </c>
      <c r="C48" s="14">
        <f>IF(13011.89975="","-",13011.89975/1100674.36139*100)</f>
        <v>1.1821752378757842</v>
      </c>
      <c r="D48" s="14">
        <f>IF(16104.08716="","-",16104.08716/1159001.13914*100)</f>
        <v>1.389479838816166</v>
      </c>
      <c r="E48" s="14">
        <f>IF(19662.28065="","-",19662.28065/980597.75708*100)</f>
        <v>2.0051321255873416</v>
      </c>
      <c r="F48" s="14">
        <f>IF(17345.67582="","-",17345.67582/1104691.54098*100)</f>
        <v>1.5701827321509325</v>
      </c>
      <c r="G48" s="16">
        <f>IF(13883.4802="","-",13883.4802/1875200.41724*100)</f>
        <v>0.74037313944470529</v>
      </c>
      <c r="J48" s="6"/>
      <c r="K48" s="6"/>
    </row>
    <row r="49" spans="2:11" x14ac:dyDescent="0.2">
      <c r="B49" s="6"/>
      <c r="C49" s="6"/>
      <c r="D49" s="6"/>
      <c r="E49" s="6"/>
      <c r="F49" s="6"/>
      <c r="G49" s="6"/>
      <c r="J49" s="6"/>
      <c r="K49" s="6"/>
    </row>
    <row r="50" spans="2:11" x14ac:dyDescent="0.2">
      <c r="B50" s="6"/>
      <c r="C50" s="6"/>
      <c r="D50" s="6"/>
      <c r="E50" s="6"/>
      <c r="F50" s="6"/>
      <c r="G50" s="6"/>
    </row>
  </sheetData>
  <mergeCells count="1">
    <mergeCell ref="A2:G2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53"/>
  <sheetViews>
    <sheetView workbookViewId="0">
      <selection activeCell="A2" sqref="A2:G2"/>
    </sheetView>
  </sheetViews>
  <sheetFormatPr defaultRowHeight="12" x14ac:dyDescent="0.2"/>
  <cols>
    <col min="1" max="1" width="47.140625" style="3" customWidth="1"/>
    <col min="2" max="2" width="13.5703125" style="3" customWidth="1"/>
    <col min="3" max="3" width="10.7109375" style="3" customWidth="1"/>
    <col min="4" max="4" width="13.28515625" style="3" customWidth="1"/>
    <col min="5" max="5" width="11.85546875" style="3" customWidth="1"/>
    <col min="6" max="6" width="8.28515625" style="3" customWidth="1"/>
    <col min="7" max="7" width="8" style="3" customWidth="1"/>
    <col min="8" max="8" width="6" style="3" customWidth="1"/>
    <col min="9" max="9" width="32.7109375" style="3" customWidth="1"/>
    <col min="10" max="16384" width="9.140625" style="3"/>
  </cols>
  <sheetData>
    <row r="2" spans="1:9" ht="15" customHeight="1" x14ac:dyDescent="0.2">
      <c r="A2" s="159" t="s">
        <v>92</v>
      </c>
      <c r="B2" s="159"/>
      <c r="C2" s="159"/>
      <c r="D2" s="159"/>
      <c r="E2" s="159"/>
      <c r="F2" s="159"/>
      <c r="G2" s="159"/>
    </row>
    <row r="3" spans="1:9" ht="15" customHeight="1" x14ac:dyDescent="0.2">
      <c r="A3" s="93"/>
      <c r="B3" s="93"/>
      <c r="C3" s="93"/>
      <c r="D3" s="93"/>
      <c r="E3" s="93"/>
      <c r="F3" s="93"/>
      <c r="G3" s="93"/>
    </row>
    <row r="4" spans="1:9" x14ac:dyDescent="0.2">
      <c r="A4" s="158"/>
      <c r="B4" s="158"/>
      <c r="C4" s="158"/>
      <c r="D4" s="158"/>
      <c r="E4" s="158"/>
      <c r="F4" s="158"/>
      <c r="G4" s="158"/>
      <c r="H4" s="158"/>
      <c r="I4" s="59"/>
    </row>
    <row r="27" spans="1:2" ht="16.5" customHeight="1" x14ac:dyDescent="0.2">
      <c r="A27" s="55" t="s">
        <v>103</v>
      </c>
      <c r="B27" s="92" t="s">
        <v>47</v>
      </c>
    </row>
    <row r="28" spans="1:2" x14ac:dyDescent="0.2">
      <c r="A28" s="123" t="s">
        <v>71</v>
      </c>
      <c r="B28" s="125">
        <v>4.7</v>
      </c>
    </row>
    <row r="29" spans="1:2" x14ac:dyDescent="0.2">
      <c r="A29" s="123" t="s">
        <v>76</v>
      </c>
      <c r="B29" s="126">
        <v>22.2</v>
      </c>
    </row>
    <row r="30" spans="1:2" x14ac:dyDescent="0.2">
      <c r="A30" s="123" t="s">
        <v>73</v>
      </c>
      <c r="B30" s="126">
        <v>6.7</v>
      </c>
    </row>
    <row r="31" spans="1:2" x14ac:dyDescent="0.2">
      <c r="A31" s="123" t="s">
        <v>74</v>
      </c>
      <c r="B31" s="126">
        <v>2.9</v>
      </c>
    </row>
    <row r="32" spans="1:2" ht="13.5" customHeight="1" x14ac:dyDescent="0.2">
      <c r="A32" s="123" t="s">
        <v>72</v>
      </c>
      <c r="B32" s="126">
        <v>10.199999999999999</v>
      </c>
    </row>
    <row r="33" spans="1:2" x14ac:dyDescent="0.2">
      <c r="A33" s="123" t="s">
        <v>88</v>
      </c>
      <c r="B33" s="126">
        <v>1.1000000000000001</v>
      </c>
    </row>
    <row r="34" spans="1:2" x14ac:dyDescent="0.2">
      <c r="A34" s="123" t="s">
        <v>78</v>
      </c>
      <c r="B34" s="126">
        <v>9.5</v>
      </c>
    </row>
    <row r="35" spans="1:2" x14ac:dyDescent="0.2">
      <c r="A35" s="123" t="s">
        <v>77</v>
      </c>
      <c r="B35" s="126">
        <v>6.1</v>
      </c>
    </row>
    <row r="36" spans="1:2" x14ac:dyDescent="0.2">
      <c r="A36" s="124" t="s">
        <v>80</v>
      </c>
      <c r="B36" s="126">
        <v>7</v>
      </c>
    </row>
    <row r="37" spans="1:2" x14ac:dyDescent="0.2">
      <c r="A37" s="124" t="s">
        <v>89</v>
      </c>
      <c r="B37" s="126">
        <v>3</v>
      </c>
    </row>
    <row r="38" spans="1:2" x14ac:dyDescent="0.2">
      <c r="A38" s="124" t="s">
        <v>102</v>
      </c>
      <c r="B38" s="126">
        <v>2</v>
      </c>
    </row>
    <row r="39" spans="1:2" x14ac:dyDescent="0.2">
      <c r="A39" s="127" t="s">
        <v>79</v>
      </c>
      <c r="B39" s="128">
        <v>24.59</v>
      </c>
    </row>
    <row r="40" spans="1:2" x14ac:dyDescent="0.2">
      <c r="A40" s="91"/>
      <c r="B40" s="68"/>
    </row>
    <row r="41" spans="1:2" x14ac:dyDescent="0.2">
      <c r="A41" s="55" t="s">
        <v>104</v>
      </c>
      <c r="B41" s="39" t="s">
        <v>47</v>
      </c>
    </row>
    <row r="42" spans="1:2" x14ac:dyDescent="0.2">
      <c r="A42" s="123" t="s">
        <v>71</v>
      </c>
      <c r="B42" s="125">
        <v>16.3</v>
      </c>
    </row>
    <row r="43" spans="1:2" x14ac:dyDescent="0.2">
      <c r="A43" s="123" t="s">
        <v>76</v>
      </c>
      <c r="B43" s="126">
        <v>12.2</v>
      </c>
    </row>
    <row r="44" spans="1:2" x14ac:dyDescent="0.2">
      <c r="A44" s="123" t="s">
        <v>73</v>
      </c>
      <c r="B44" s="126">
        <v>11.8</v>
      </c>
    </row>
    <row r="45" spans="1:2" x14ac:dyDescent="0.2">
      <c r="A45" s="123" t="s">
        <v>74</v>
      </c>
      <c r="B45" s="126">
        <v>9.8000000000000007</v>
      </c>
    </row>
    <row r="46" spans="1:2" x14ac:dyDescent="0.2">
      <c r="A46" s="123" t="s">
        <v>72</v>
      </c>
      <c r="B46" s="126">
        <v>8.1999999999999993</v>
      </c>
    </row>
    <row r="47" spans="1:2" x14ac:dyDescent="0.2">
      <c r="A47" s="123" t="s">
        <v>88</v>
      </c>
      <c r="B47" s="126">
        <v>6.5</v>
      </c>
    </row>
    <row r="48" spans="1:2" x14ac:dyDescent="0.2">
      <c r="A48" s="123" t="s">
        <v>78</v>
      </c>
      <c r="B48" s="126">
        <v>6.4</v>
      </c>
    </row>
    <row r="49" spans="1:2" x14ac:dyDescent="0.2">
      <c r="A49" s="123" t="s">
        <v>77</v>
      </c>
      <c r="B49" s="126">
        <v>3.4</v>
      </c>
    </row>
    <row r="50" spans="1:2" x14ac:dyDescent="0.2">
      <c r="A50" s="124" t="s">
        <v>80</v>
      </c>
      <c r="B50" s="126">
        <v>3.2</v>
      </c>
    </row>
    <row r="51" spans="1:2" x14ac:dyDescent="0.2">
      <c r="A51" s="124" t="s">
        <v>89</v>
      </c>
      <c r="B51" s="126">
        <v>2.1</v>
      </c>
    </row>
    <row r="52" spans="1:2" x14ac:dyDescent="0.2">
      <c r="A52" s="124" t="s">
        <v>102</v>
      </c>
      <c r="B52" s="126">
        <v>2.1</v>
      </c>
    </row>
    <row r="53" spans="1:2" x14ac:dyDescent="0.2">
      <c r="A53" s="127" t="s">
        <v>79</v>
      </c>
      <c r="B53" s="128">
        <v>18</v>
      </c>
    </row>
  </sheetData>
  <mergeCells count="2">
    <mergeCell ref="A4:H4"/>
    <mergeCell ref="A2:G2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31"/>
  <sheetViews>
    <sheetView workbookViewId="0">
      <selection activeCell="A2" sqref="A2:J2"/>
    </sheetView>
  </sheetViews>
  <sheetFormatPr defaultRowHeight="12" x14ac:dyDescent="0.2"/>
  <cols>
    <col min="1" max="1" width="9.85546875" style="3" customWidth="1"/>
    <col min="2" max="2" width="11.28515625" style="3" bestFit="1" customWidth="1"/>
    <col min="3" max="3" width="10" style="3" customWidth="1"/>
    <col min="4" max="4" width="11.28515625" style="3" bestFit="1" customWidth="1"/>
    <col min="5" max="5" width="9.28515625" style="3" bestFit="1" customWidth="1"/>
    <col min="6" max="6" width="11.28515625" style="3" bestFit="1" customWidth="1"/>
    <col min="7" max="7" width="9.28515625" style="3" bestFit="1" customWidth="1"/>
    <col min="8" max="8" width="11.28515625" style="3" bestFit="1" customWidth="1"/>
    <col min="9" max="9" width="9.28515625" style="3" bestFit="1" customWidth="1"/>
    <col min="10" max="10" width="11.85546875" style="3" bestFit="1" customWidth="1"/>
    <col min="11" max="11" width="11.140625" style="3" bestFit="1" customWidth="1"/>
    <col min="12" max="12" width="11.28515625" style="3" bestFit="1" customWidth="1"/>
    <col min="13" max="13" width="11.42578125" style="3" bestFit="1" customWidth="1"/>
    <col min="14" max="14" width="11.28515625" style="3" bestFit="1" customWidth="1"/>
    <col min="15" max="15" width="9.28515625" style="3" bestFit="1" customWidth="1"/>
    <col min="16" max="16" width="11.28515625" style="3" bestFit="1" customWidth="1"/>
    <col min="17" max="17" width="9.28515625" style="3" bestFit="1" customWidth="1"/>
    <col min="18" max="18" width="11.28515625" style="3" bestFit="1" customWidth="1"/>
    <col min="19" max="19" width="9.28515625" style="3" bestFit="1" customWidth="1"/>
    <col min="20" max="20" width="11.28515625" style="3" bestFit="1" customWidth="1"/>
    <col min="21" max="21" width="9.28515625" style="3" bestFit="1" customWidth="1"/>
    <col min="22" max="22" width="11.28515625" style="3" bestFit="1" customWidth="1"/>
    <col min="23" max="23" width="9.28515625" style="3" bestFit="1" customWidth="1"/>
    <col min="24" max="24" width="11.28515625" style="3" bestFit="1" customWidth="1"/>
    <col min="25" max="25" width="9.28515625" style="3" bestFit="1" customWidth="1"/>
    <col min="26" max="16384" width="9.140625" style="3"/>
  </cols>
  <sheetData>
    <row r="2" spans="1:13" s="5" customFormat="1" x14ac:dyDescent="0.2">
      <c r="A2" s="156" t="s">
        <v>81</v>
      </c>
      <c r="B2" s="156"/>
      <c r="C2" s="156"/>
      <c r="D2" s="156"/>
      <c r="E2" s="156"/>
      <c r="F2" s="156"/>
      <c r="G2" s="156"/>
      <c r="H2" s="156"/>
      <c r="I2" s="156"/>
      <c r="J2" s="156"/>
      <c r="K2" s="145"/>
      <c r="L2" s="145"/>
      <c r="M2" s="145"/>
    </row>
    <row r="3" spans="1:13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3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3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3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3" x14ac:dyDescent="0.2">
      <c r="A7" s="4"/>
      <c r="B7" s="4"/>
      <c r="C7" s="4"/>
      <c r="D7" s="4"/>
      <c r="E7" s="4"/>
      <c r="F7" s="4"/>
      <c r="G7" s="4"/>
      <c r="H7" s="4"/>
      <c r="I7" s="4"/>
      <c r="J7" s="4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</row>
    <row r="9" spans="1:13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3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3" x14ac:dyDescent="0.2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3" x14ac:dyDescent="0.2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3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3" x14ac:dyDescent="0.2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3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3" x14ac:dyDescent="0.2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3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3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3" x14ac:dyDescent="0.2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3" x14ac:dyDescent="0.2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3" x14ac:dyDescent="0.2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3" x14ac:dyDescent="0.2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3" x14ac:dyDescent="0.2">
      <c r="A23" s="4"/>
      <c r="B23" s="4"/>
      <c r="C23" s="4"/>
      <c r="D23" s="4"/>
      <c r="E23" s="4"/>
      <c r="F23" s="4"/>
      <c r="G23" s="4"/>
      <c r="H23" s="4"/>
      <c r="I23" s="4"/>
      <c r="J23" s="4"/>
    </row>
    <row r="25" spans="1:13" x14ac:dyDescent="0.2">
      <c r="A25" s="37" t="s">
        <v>0</v>
      </c>
      <c r="B25" s="37" t="s">
        <v>1</v>
      </c>
      <c r="C25" s="54" t="s">
        <v>2</v>
      </c>
      <c r="D25" s="54" t="s">
        <v>3</v>
      </c>
      <c r="E25" s="54" t="s">
        <v>4</v>
      </c>
      <c r="F25" s="54" t="s">
        <v>5</v>
      </c>
      <c r="G25" s="54" t="s">
        <v>6</v>
      </c>
      <c r="H25" s="54" t="s">
        <v>7</v>
      </c>
      <c r="I25" s="54" t="s">
        <v>8</v>
      </c>
      <c r="J25" s="54" t="s">
        <v>9</v>
      </c>
      <c r="K25" s="54" t="s">
        <v>10</v>
      </c>
      <c r="L25" s="54" t="s">
        <v>11</v>
      </c>
      <c r="M25" s="54" t="s">
        <v>12</v>
      </c>
    </row>
    <row r="26" spans="1:13" x14ac:dyDescent="0.2">
      <c r="A26" s="41">
        <v>2017</v>
      </c>
      <c r="B26" s="53">
        <v>266.8</v>
      </c>
      <c r="C26" s="53">
        <v>332.7</v>
      </c>
      <c r="D26" s="53">
        <v>431.2</v>
      </c>
      <c r="E26" s="53">
        <v>361.5</v>
      </c>
      <c r="F26" s="53">
        <v>400.4</v>
      </c>
      <c r="G26" s="53">
        <v>388.8</v>
      </c>
      <c r="H26" s="53">
        <v>396.9</v>
      </c>
      <c r="I26" s="53">
        <v>429.7</v>
      </c>
      <c r="J26" s="53">
        <v>430.8</v>
      </c>
      <c r="K26" s="53">
        <v>465.9</v>
      </c>
      <c r="L26" s="53">
        <v>455.3</v>
      </c>
      <c r="M26" s="50">
        <v>471.4</v>
      </c>
    </row>
    <row r="27" spans="1:13" x14ac:dyDescent="0.2">
      <c r="A27" s="41">
        <v>2018</v>
      </c>
      <c r="B27" s="53">
        <v>374.3</v>
      </c>
      <c r="C27" s="53">
        <v>427.6</v>
      </c>
      <c r="D27" s="53">
        <v>524.1</v>
      </c>
      <c r="E27" s="53">
        <v>444.6</v>
      </c>
      <c r="F27" s="53">
        <v>505.6</v>
      </c>
      <c r="G27" s="53">
        <v>458.7</v>
      </c>
      <c r="H27" s="53">
        <v>488</v>
      </c>
      <c r="I27" s="53">
        <v>480.7</v>
      </c>
      <c r="J27" s="53">
        <v>474</v>
      </c>
      <c r="K27" s="53">
        <v>540.6</v>
      </c>
      <c r="L27" s="53">
        <v>522.6</v>
      </c>
      <c r="M27" s="50">
        <v>519.29999999999995</v>
      </c>
    </row>
    <row r="28" spans="1:13" x14ac:dyDescent="0.2">
      <c r="A28" s="41">
        <v>2019</v>
      </c>
      <c r="B28" s="53">
        <v>372.6</v>
      </c>
      <c r="C28" s="53">
        <v>459.3</v>
      </c>
      <c r="D28" s="53">
        <v>533.79999999999995</v>
      </c>
      <c r="E28" s="53">
        <v>515.6</v>
      </c>
      <c r="F28" s="53">
        <v>481.6</v>
      </c>
      <c r="G28" s="53">
        <v>445.4</v>
      </c>
      <c r="H28" s="53">
        <v>499.1</v>
      </c>
      <c r="I28" s="53">
        <v>464.3</v>
      </c>
      <c r="J28" s="53">
        <v>501.7</v>
      </c>
      <c r="K28" s="53">
        <v>525.29999999999995</v>
      </c>
      <c r="L28" s="53">
        <v>504.1</v>
      </c>
      <c r="M28" s="50">
        <v>539.70000000000005</v>
      </c>
    </row>
    <row r="29" spans="1:13" x14ac:dyDescent="0.2">
      <c r="A29" s="41">
        <v>2020</v>
      </c>
      <c r="B29" s="49">
        <v>379.8</v>
      </c>
      <c r="C29" s="49">
        <v>484.8</v>
      </c>
      <c r="D29" s="49">
        <v>500.5</v>
      </c>
      <c r="E29" s="49">
        <v>285.60000000000002</v>
      </c>
      <c r="F29" s="49">
        <v>329.4</v>
      </c>
      <c r="G29" s="49">
        <v>413.5</v>
      </c>
      <c r="H29" s="49">
        <v>496.6</v>
      </c>
      <c r="I29" s="49">
        <v>433.6</v>
      </c>
      <c r="J29" s="49">
        <v>508.3</v>
      </c>
      <c r="K29" s="49">
        <v>493.6</v>
      </c>
      <c r="L29" s="49">
        <v>522.9</v>
      </c>
      <c r="M29" s="50">
        <v>567.29999999999995</v>
      </c>
    </row>
    <row r="30" spans="1:13" x14ac:dyDescent="0.2">
      <c r="A30" s="41">
        <v>2021</v>
      </c>
      <c r="B30" s="49">
        <v>399.4</v>
      </c>
      <c r="C30" s="49">
        <v>521.4</v>
      </c>
      <c r="D30" s="49">
        <v>630.1</v>
      </c>
      <c r="E30" s="49">
        <v>562.20000000000005</v>
      </c>
      <c r="F30" s="49">
        <v>563.4</v>
      </c>
      <c r="G30" s="49">
        <v>589.6</v>
      </c>
      <c r="H30" s="49">
        <v>562</v>
      </c>
      <c r="I30" s="49">
        <v>574.9</v>
      </c>
      <c r="J30" s="49">
        <v>671.2</v>
      </c>
      <c r="K30" s="49">
        <v>646.79999999999995</v>
      </c>
      <c r="L30" s="49">
        <v>700.9</v>
      </c>
      <c r="M30" s="50">
        <v>754.2</v>
      </c>
    </row>
    <row r="31" spans="1:13" x14ac:dyDescent="0.2">
      <c r="A31" s="42">
        <v>2022</v>
      </c>
      <c r="B31" s="51">
        <v>621.20000000000005</v>
      </c>
      <c r="C31" s="51">
        <v>669.1</v>
      </c>
      <c r="D31" s="51">
        <v>747.3</v>
      </c>
      <c r="E31" s="51">
        <v>770.8</v>
      </c>
      <c r="F31" s="51">
        <v>772.6</v>
      </c>
      <c r="G31" s="51"/>
      <c r="H31" s="51"/>
      <c r="I31" s="51"/>
      <c r="J31" s="51"/>
      <c r="K31" s="51"/>
      <c r="L31" s="51"/>
      <c r="M31" s="52"/>
    </row>
  </sheetData>
  <mergeCells count="1">
    <mergeCell ref="A2:J2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P34"/>
  <sheetViews>
    <sheetView workbookViewId="0">
      <selection activeCell="A2" sqref="A2:L2"/>
    </sheetView>
  </sheetViews>
  <sheetFormatPr defaultRowHeight="12" x14ac:dyDescent="0.2"/>
  <cols>
    <col min="1" max="1" width="19.140625" style="3" customWidth="1"/>
    <col min="2" max="2" width="9.140625" style="3" customWidth="1"/>
    <col min="3" max="3" width="8" style="3" customWidth="1"/>
    <col min="4" max="5" width="8.85546875" style="3" customWidth="1"/>
    <col min="6" max="6" width="7.42578125" style="3" customWidth="1"/>
    <col min="7" max="7" width="9" style="3" customWidth="1"/>
    <col min="8" max="8" width="8.28515625" style="3" customWidth="1"/>
    <col min="9" max="9" width="9.28515625" style="3" bestFit="1" customWidth="1"/>
    <col min="10" max="10" width="7.5703125" style="3" bestFit="1" customWidth="1"/>
    <col min="11" max="11" width="8" style="3" customWidth="1"/>
    <col min="12" max="12" width="8.85546875" style="3" customWidth="1"/>
    <col min="13" max="13" width="8.42578125" style="3" bestFit="1" customWidth="1"/>
    <col min="14" max="36" width="6" style="3" customWidth="1"/>
    <col min="37" max="38" width="6.42578125" style="3" customWidth="1"/>
    <col min="39" max="39" width="6.5703125" style="3" customWidth="1"/>
    <col min="40" max="40" width="7.28515625" style="3" customWidth="1"/>
    <col min="41" max="42" width="6.7109375" style="3" customWidth="1"/>
    <col min="43" max="16384" width="9.140625" style="3"/>
  </cols>
  <sheetData>
    <row r="2" spans="1:13" s="5" customFormat="1" x14ac:dyDescent="0.2">
      <c r="A2" s="152" t="s">
        <v>110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45"/>
    </row>
    <row r="3" spans="1:13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3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3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3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3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3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3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3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3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3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3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3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3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42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42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42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42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42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42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42" ht="1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42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42" x14ac:dyDescent="0.2">
      <c r="A25" s="160"/>
      <c r="B25" s="155">
        <v>2019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>
        <v>2020</v>
      </c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49">
        <v>2021</v>
      </c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4"/>
      <c r="AL25" s="149">
        <v>2022</v>
      </c>
      <c r="AM25" s="150"/>
      <c r="AN25" s="150"/>
      <c r="AO25" s="150"/>
      <c r="AP25" s="154"/>
    </row>
    <row r="26" spans="1:42" x14ac:dyDescent="0.2">
      <c r="A26" s="161"/>
      <c r="B26" s="30" t="s">
        <v>13</v>
      </c>
      <c r="C26" s="30" t="s">
        <v>14</v>
      </c>
      <c r="D26" s="30" t="s">
        <v>15</v>
      </c>
      <c r="E26" s="30" t="s">
        <v>16</v>
      </c>
      <c r="F26" s="30" t="s">
        <v>17</v>
      </c>
      <c r="G26" s="30" t="s">
        <v>18</v>
      </c>
      <c r="H26" s="30" t="s">
        <v>19</v>
      </c>
      <c r="I26" s="30" t="s">
        <v>20</v>
      </c>
      <c r="J26" s="30" t="s">
        <v>21</v>
      </c>
      <c r="K26" s="30" t="s">
        <v>22</v>
      </c>
      <c r="L26" s="30" t="s">
        <v>23</v>
      </c>
      <c r="M26" s="30" t="s">
        <v>24</v>
      </c>
      <c r="N26" s="30" t="s">
        <v>13</v>
      </c>
      <c r="O26" s="30" t="s">
        <v>14</v>
      </c>
      <c r="P26" s="30" t="s">
        <v>15</v>
      </c>
      <c r="Q26" s="30" t="s">
        <v>16</v>
      </c>
      <c r="R26" s="30" t="s">
        <v>17</v>
      </c>
      <c r="S26" s="30" t="s">
        <v>25</v>
      </c>
      <c r="T26" s="30" t="s">
        <v>19</v>
      </c>
      <c r="U26" s="30" t="s">
        <v>26</v>
      </c>
      <c r="V26" s="30" t="s">
        <v>21</v>
      </c>
      <c r="W26" s="30" t="s">
        <v>27</v>
      </c>
      <c r="X26" s="30" t="s">
        <v>23</v>
      </c>
      <c r="Y26" s="30" t="s">
        <v>24</v>
      </c>
      <c r="Z26" s="62" t="s">
        <v>13</v>
      </c>
      <c r="AA26" s="62" t="s">
        <v>14</v>
      </c>
      <c r="AB26" s="63" t="s">
        <v>15</v>
      </c>
      <c r="AC26" s="62" t="s">
        <v>16</v>
      </c>
      <c r="AD26" s="62" t="s">
        <v>17</v>
      </c>
      <c r="AE26" s="62" t="s">
        <v>25</v>
      </c>
      <c r="AF26" s="62" t="s">
        <v>19</v>
      </c>
      <c r="AG26" s="62" t="s">
        <v>26</v>
      </c>
      <c r="AH26" s="67" t="s">
        <v>21</v>
      </c>
      <c r="AI26" s="42" t="s">
        <v>27</v>
      </c>
      <c r="AJ26" s="39" t="s">
        <v>23</v>
      </c>
      <c r="AK26" s="39" t="s">
        <v>24</v>
      </c>
      <c r="AL26" s="94" t="s">
        <v>13</v>
      </c>
      <c r="AM26" s="94" t="s">
        <v>14</v>
      </c>
      <c r="AN26" s="39" t="s">
        <v>15</v>
      </c>
      <c r="AO26" s="30" t="s">
        <v>16</v>
      </c>
      <c r="AP26" s="30" t="s">
        <v>17</v>
      </c>
    </row>
    <row r="27" spans="1:42" ht="27.75" customHeight="1" x14ac:dyDescent="0.2">
      <c r="A27" s="27" t="s">
        <v>60</v>
      </c>
      <c r="B27" s="45">
        <v>71.738158213015794</v>
      </c>
      <c r="C27" s="19">
        <v>123.27227087030982</v>
      </c>
      <c r="D27" s="19">
        <v>116.24365644398502</v>
      </c>
      <c r="E27" s="19">
        <v>96.580225893758936</v>
      </c>
      <c r="F27" s="19">
        <v>93.408604141465986</v>
      </c>
      <c r="G27" s="19">
        <v>92.490171422142794</v>
      </c>
      <c r="H27" s="19">
        <v>112.04816621722891</v>
      </c>
      <c r="I27" s="19">
        <v>93.020207912369386</v>
      </c>
      <c r="J27" s="19">
        <v>108.06099409813686</v>
      </c>
      <c r="K27" s="19">
        <v>104.71321760096355</v>
      </c>
      <c r="L27" s="19">
        <v>95.961007942682357</v>
      </c>
      <c r="M27" s="15">
        <v>107.05149255623367</v>
      </c>
      <c r="N27" s="19">
        <v>70.382208343865415</v>
      </c>
      <c r="O27" s="19">
        <v>127.63158194440297</v>
      </c>
      <c r="P27" s="19">
        <v>103.24095247310265</v>
      </c>
      <c r="Q27" s="19">
        <v>57.064146061655876</v>
      </c>
      <c r="R27" s="19">
        <v>115.32045479750228</v>
      </c>
      <c r="S27" s="19">
        <v>125.55839051166471</v>
      </c>
      <c r="T27" s="19">
        <v>120.09478099934977</v>
      </c>
      <c r="U27" s="19">
        <v>87.312042792465732</v>
      </c>
      <c r="V27" s="19">
        <v>117.22959939467061</v>
      </c>
      <c r="W27" s="19">
        <v>97.096953437578748</v>
      </c>
      <c r="X27" s="19">
        <v>105.93754706899317</v>
      </c>
      <c r="Y27" s="15">
        <v>108.49423751970338</v>
      </c>
      <c r="Z27" s="129">
        <v>70.397914008513311</v>
      </c>
      <c r="AA27" s="20">
        <v>130.56565598353049</v>
      </c>
      <c r="AB27" s="20">
        <v>120.83026196604835</v>
      </c>
      <c r="AC27" s="130">
        <v>89.231037795592442</v>
      </c>
      <c r="AD27" s="20">
        <v>100.2114807539604</v>
      </c>
      <c r="AE27" s="20">
        <v>104.66057637383682</v>
      </c>
      <c r="AF27" s="20">
        <v>95.30942393156748</v>
      </c>
      <c r="AG27" s="20">
        <v>102.30310816744974</v>
      </c>
      <c r="AH27" s="20">
        <v>116.7433114933096</v>
      </c>
      <c r="AI27" s="20">
        <v>96.368466717330918</v>
      </c>
      <c r="AJ27" s="20">
        <v>108.356473297166</v>
      </c>
      <c r="AK27" s="110">
        <v>107.60757399325725</v>
      </c>
      <c r="AL27" s="131">
        <v>82.36469178661207</v>
      </c>
      <c r="AM27" s="22">
        <v>107.71381026333069</v>
      </c>
      <c r="AN27" s="22">
        <v>111.69471692488227</v>
      </c>
      <c r="AO27" s="22">
        <v>103.13914049085714</v>
      </c>
      <c r="AP27" s="89">
        <v>100.23634233832877</v>
      </c>
    </row>
    <row r="28" spans="1:42" ht="42" customHeight="1" x14ac:dyDescent="0.2">
      <c r="A28" s="28" t="s">
        <v>61</v>
      </c>
      <c r="B28" s="26">
        <f>IF(374257.25828="","-",372548.49281/374257.25828*100)</f>
        <v>99.543424894989869</v>
      </c>
      <c r="C28" s="14">
        <f>IF(427600.8878="","-",459248.98718/427600.8878*100)</f>
        <v>107.40131750961253</v>
      </c>
      <c r="D28" s="14">
        <f>IF(524151.65323="","-",533847.81488/524151.65323*100)</f>
        <v>101.84987714724333</v>
      </c>
      <c r="E28" s="14">
        <f>IF(444601.83252="","-",515591.42554/444601.83252*100)</f>
        <v>115.96700414337735</v>
      </c>
      <c r="F28" s="14">
        <f>IF(505594.98812="","-",481606.75367/505594.98812*100)</f>
        <v>95.255444572503052</v>
      </c>
      <c r="G28" s="14">
        <f>IF(458682.35918="","-",445438.91205/458682.35918*100)</f>
        <v>97.112719321999705</v>
      </c>
      <c r="H28" s="14">
        <f>IF(488041.26888="","-",499106.13257/488041.26888*100)</f>
        <v>102.26719836939048</v>
      </c>
      <c r="I28" s="14">
        <f>IF(480650.77296="","-",464269.56222/480650.77296*100)</f>
        <v>96.591868428897087</v>
      </c>
      <c r="J28" s="14">
        <f>IF(473973.76404="","-",501694.30423/473973.76404*100)</f>
        <v>105.84853894732886</v>
      </c>
      <c r="K28" s="14">
        <f>IF(540614.13985="","-",525340.24848/540614.13985*100)</f>
        <v>97.174714783775727</v>
      </c>
      <c r="L28" s="14">
        <f>IF(522571.0681="","-",504121.79757/522571.0681*100)</f>
        <v>96.469519333115954</v>
      </c>
      <c r="M28" s="16">
        <f>IF(519317.05816="","-",539669.9086/519317.05816*100)</f>
        <v>103.91915692353963</v>
      </c>
      <c r="N28" s="14">
        <f>IF(372548.49281="","-",379831.59944/372548.49281*100)</f>
        <v>101.95494191241148</v>
      </c>
      <c r="O28" s="14">
        <f>IF(459248.98718="","-",484785.07909/459248.98718*100)</f>
        <v>105.56040244460927</v>
      </c>
      <c r="P28" s="14">
        <f>IF(533847.81488="","-",500496.7331/533847.81488*100)</f>
        <v>93.752698643620619</v>
      </c>
      <c r="Q28" s="14">
        <f>IF(515591.42554="","-",285604.18681/515591.42554*100)</f>
        <v>55.393509795256001</v>
      </c>
      <c r="R28" s="14">
        <f>IF(481606.75367="","-",329360.04715/481606.75367*100)</f>
        <v>68.38775508029515</v>
      </c>
      <c r="S28" s="14">
        <f>IF(445438.91205="","-",413539.17419/445438.91205*100)</f>
        <v>92.838583025180498</v>
      </c>
      <c r="T28" s="14">
        <f>IF(499106.13257="","-",496638.96559/499106.13257*100)</f>
        <v>99.505682896081424</v>
      </c>
      <c r="U28" s="14">
        <f>IF(464269.56222="","-",433625.62616/464269.56222*100)</f>
        <v>93.399537993946922</v>
      </c>
      <c r="V28" s="14">
        <f>IF(501694.30423="","-",508337.58442/501694.30423*100)</f>
        <v>101.32416894790069</v>
      </c>
      <c r="W28" s="14">
        <f>IF(525340.24848="","-",493580.30765/525340.24848*100)</f>
        <v>93.954405564414117</v>
      </c>
      <c r="X28" s="14">
        <f>IF(504121.79757="","-",522886.87074/504121.79757*100)</f>
        <v>103.7223292586142</v>
      </c>
      <c r="Y28" s="16">
        <f>IF(539669.9086="","-",567302.1235/539669.9086*100)</f>
        <v>105.12020671519058</v>
      </c>
      <c r="Z28" s="26">
        <f>IF(379831.59944="","-",399368.86107/379831.59944*100)</f>
        <v>105.14366410240868</v>
      </c>
      <c r="AA28" s="14">
        <f>IF(484785.07909="","-",521438.57325/484785.07909*100)</f>
        <v>107.56077192573727</v>
      </c>
      <c r="AB28" s="14">
        <f>IF(500496.7331="","-",630055.59405/500496.7331*100)</f>
        <v>125.88605526903886</v>
      </c>
      <c r="AC28" s="14">
        <f>IF(285604.18681="","-",562205.14526/285604.18681*100)</f>
        <v>196.84765533007069</v>
      </c>
      <c r="AD28" s="14">
        <f>IF(329360.04715="","-",563394.10094/329360.04715*100)</f>
        <v>171.05720800538208</v>
      </c>
      <c r="AE28" s="14">
        <f>IF(413539.17419="","-",589651.5133/413539.17419*100)</f>
        <v>142.58661575531545</v>
      </c>
      <c r="AF28" s="14">
        <f>IF(496638.96559="","-",561993.46053/496638.96559*100)</f>
        <v>113.15935709199938</v>
      </c>
      <c r="AG28" s="14">
        <f>IF(433625.62616="","-",574936.77782/433625.62616*100)</f>
        <v>132.58828425602752</v>
      </c>
      <c r="AH28" s="14">
        <f>IF(508337.58442="","-",671200.23342/508337.58442*100)</f>
        <v>132.03828597207149</v>
      </c>
      <c r="AI28" s="14">
        <f>IF(493580.30765="","-",646825.37355/493580.30765*100)</f>
        <v>131.0476458490858</v>
      </c>
      <c r="AJ28" s="14">
        <f>IF(522886.87074="","-",700877.16317/522886.87074*100)</f>
        <v>134.03992381336801</v>
      </c>
      <c r="AK28" s="16">
        <f>IF(567302.1235="","-",754196.91196/567302.1235*100)</f>
        <v>132.94448949123316</v>
      </c>
      <c r="AL28" s="26">
        <f>IF(399368.86107="","-",621204.80961/399368.86107*100)</f>
        <v>155.54663123851245</v>
      </c>
      <c r="AM28" s="14">
        <f>IF(521438.57325="","-",669087.18828/521438.57325*100)</f>
        <v>128.31562960709678</v>
      </c>
      <c r="AN28" s="14">
        <f>IF(630055.59405="","-",747335.04093/630055.59405*100)</f>
        <v>118.61414262289576</v>
      </c>
      <c r="AO28" s="14">
        <f>IF(562205.14526="","-",770794.93773/562205.14526*100)</f>
        <v>137.10207816997737</v>
      </c>
      <c r="AP28" s="16">
        <f>IF(563394.10094="","-",772616.6527/563394.10094*100)</f>
        <v>137.1360920199414</v>
      </c>
    </row>
    <row r="29" spans="1:42" x14ac:dyDescent="0.2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11"/>
      <c r="P29" s="11"/>
      <c r="Q29" s="11"/>
      <c r="R29" s="11"/>
      <c r="S29" s="11"/>
      <c r="T29" s="11"/>
    </row>
    <row r="30" spans="1:42" x14ac:dyDescent="0.2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  <c r="O30" s="11"/>
      <c r="P30" s="11"/>
      <c r="Q30" s="11"/>
      <c r="R30" s="11"/>
      <c r="S30" s="11"/>
      <c r="T30" s="11"/>
      <c r="Z30" s="64"/>
      <c r="AA30" s="64"/>
      <c r="AB30" s="65"/>
      <c r="AC30" s="66"/>
      <c r="AD30" s="64"/>
      <c r="AE30" s="61"/>
      <c r="AF30" s="61"/>
      <c r="AG30" s="61"/>
      <c r="AH30" s="61"/>
    </row>
    <row r="33" spans="19:41" ht="15.75" x14ac:dyDescent="0.25">
      <c r="S33" s="82"/>
      <c r="T33" s="83"/>
      <c r="U33" s="84"/>
      <c r="V33" s="83"/>
      <c r="W33" s="82"/>
      <c r="X33" s="83"/>
      <c r="Y33" s="84"/>
      <c r="Z33" s="83"/>
      <c r="AA33" s="84"/>
      <c r="AB33" s="83"/>
      <c r="AC33" s="81"/>
      <c r="AD33" s="83"/>
      <c r="AE33" s="81"/>
      <c r="AF33" s="83"/>
      <c r="AG33" s="81"/>
      <c r="AH33" s="83"/>
      <c r="AI33" s="85"/>
      <c r="AJ33" s="83"/>
      <c r="AK33" s="73"/>
      <c r="AL33" s="83"/>
      <c r="AM33" s="81"/>
      <c r="AN33" s="83"/>
      <c r="AO33" s="80"/>
    </row>
    <row r="34" spans="19:41" ht="15.75" x14ac:dyDescent="0.2">
      <c r="X34" s="81"/>
    </row>
  </sheetData>
  <mergeCells count="6">
    <mergeCell ref="AL25:AP25"/>
    <mergeCell ref="A2:L2"/>
    <mergeCell ref="A25:A26"/>
    <mergeCell ref="B25:M25"/>
    <mergeCell ref="N25:Y25"/>
    <mergeCell ref="Z25:AK25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M43"/>
  <sheetViews>
    <sheetView workbookViewId="0">
      <selection activeCell="A2" sqref="A2:H2"/>
    </sheetView>
  </sheetViews>
  <sheetFormatPr defaultRowHeight="12" x14ac:dyDescent="0.2"/>
  <cols>
    <col min="1" max="1" width="24" style="3" customWidth="1"/>
    <col min="2" max="7" width="14.85546875" style="3" bestFit="1" customWidth="1"/>
    <col min="8" max="16384" width="9.140625" style="3"/>
  </cols>
  <sheetData>
    <row r="2" spans="1:13" s="5" customFormat="1" x14ac:dyDescent="0.2">
      <c r="A2" s="152" t="s">
        <v>109</v>
      </c>
      <c r="B2" s="152"/>
      <c r="C2" s="152"/>
      <c r="D2" s="152"/>
      <c r="E2" s="152"/>
      <c r="F2" s="152"/>
      <c r="G2" s="152"/>
      <c r="H2" s="152"/>
      <c r="I2" s="145"/>
      <c r="J2" s="145"/>
      <c r="K2" s="145"/>
      <c r="L2" s="145"/>
      <c r="M2" s="145"/>
    </row>
    <row r="3" spans="1:13" x14ac:dyDescent="0.2">
      <c r="A3" s="4"/>
      <c r="B3" s="4"/>
      <c r="C3" s="4"/>
      <c r="D3" s="4"/>
      <c r="E3" s="4"/>
      <c r="F3" s="4"/>
      <c r="G3" s="4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x14ac:dyDescent="0.2">
      <c r="A18" s="4"/>
      <c r="B18" s="4"/>
      <c r="C18" s="4"/>
      <c r="D18" s="4"/>
      <c r="E18" s="4"/>
      <c r="F18" s="4"/>
      <c r="G18" s="4"/>
    </row>
    <row r="19" spans="1:7" x14ac:dyDescent="0.2">
      <c r="A19" s="4"/>
      <c r="B19" s="4"/>
      <c r="C19" s="4"/>
      <c r="D19" s="4"/>
      <c r="E19" s="4"/>
      <c r="F19" s="4"/>
      <c r="G19" s="4"/>
    </row>
    <row r="20" spans="1:7" x14ac:dyDescent="0.2">
      <c r="A20" s="4"/>
      <c r="B20" s="4"/>
      <c r="C20" s="4"/>
      <c r="D20" s="4"/>
      <c r="E20" s="4"/>
      <c r="F20" s="4"/>
      <c r="G20" s="4"/>
    </row>
    <row r="21" spans="1:7" ht="13.5" customHeight="1" x14ac:dyDescent="0.2">
      <c r="A21" s="4"/>
      <c r="B21" s="4"/>
      <c r="C21" s="4"/>
      <c r="D21" s="4"/>
      <c r="E21" s="4"/>
      <c r="F21" s="4"/>
      <c r="G21" s="4"/>
    </row>
    <row r="22" spans="1:7" x14ac:dyDescent="0.2">
      <c r="A22" s="2"/>
      <c r="B22" s="2"/>
      <c r="C22" s="2"/>
      <c r="D22" s="2"/>
      <c r="E22" s="2"/>
      <c r="F22" s="2"/>
      <c r="G22" s="2"/>
    </row>
    <row r="23" spans="1:7" ht="4.5" customHeight="1" x14ac:dyDescent="0.2">
      <c r="A23" s="40"/>
      <c r="B23" s="40"/>
      <c r="C23" s="40"/>
      <c r="D23" s="40"/>
      <c r="E23" s="40"/>
      <c r="F23" s="40"/>
      <c r="G23" s="40"/>
    </row>
    <row r="24" spans="1:7" x14ac:dyDescent="0.2">
      <c r="A24" s="40"/>
      <c r="B24" s="40"/>
      <c r="C24" s="40"/>
      <c r="D24" s="40"/>
      <c r="E24" s="40"/>
      <c r="F24" s="40"/>
      <c r="G24" s="40"/>
    </row>
    <row r="25" spans="1:7" ht="24" x14ac:dyDescent="0.2">
      <c r="A25" s="55" t="s">
        <v>28</v>
      </c>
      <c r="B25" s="36" t="s">
        <v>95</v>
      </c>
      <c r="C25" s="13" t="s">
        <v>96</v>
      </c>
      <c r="D25" s="13" t="s">
        <v>97</v>
      </c>
      <c r="E25" s="13" t="s">
        <v>98</v>
      </c>
      <c r="F25" s="13" t="s">
        <v>99</v>
      </c>
      <c r="G25" s="13" t="s">
        <v>100</v>
      </c>
    </row>
    <row r="26" spans="1:7" x14ac:dyDescent="0.2">
      <c r="A26" s="46" t="s">
        <v>29</v>
      </c>
      <c r="B26" s="107">
        <v>6.2</v>
      </c>
      <c r="C26" s="107">
        <v>2.1</v>
      </c>
      <c r="D26" s="112">
        <v>1.8</v>
      </c>
      <c r="E26" s="112">
        <v>2.2000000000000002</v>
      </c>
      <c r="F26" s="112">
        <v>2.8</v>
      </c>
      <c r="G26" s="115">
        <v>2.5</v>
      </c>
    </row>
    <row r="27" spans="1:7" x14ac:dyDescent="0.2">
      <c r="A27" s="47" t="s">
        <v>30</v>
      </c>
      <c r="B27" s="107">
        <v>4.5</v>
      </c>
      <c r="C27" s="107">
        <v>4.5</v>
      </c>
      <c r="D27" s="112">
        <v>4.2</v>
      </c>
      <c r="E27" s="112">
        <v>4.7</v>
      </c>
      <c r="F27" s="112">
        <v>5.3</v>
      </c>
      <c r="G27" s="116">
        <v>5.6</v>
      </c>
    </row>
    <row r="28" spans="1:7" x14ac:dyDescent="0.2">
      <c r="A28" s="47" t="s">
        <v>31</v>
      </c>
      <c r="B28" s="107">
        <v>76.099999999999994</v>
      </c>
      <c r="C28" s="107">
        <v>86.4</v>
      </c>
      <c r="D28" s="112">
        <v>85.7</v>
      </c>
      <c r="E28" s="112">
        <v>83</v>
      </c>
      <c r="F28" s="112">
        <v>82.7</v>
      </c>
      <c r="G28" s="116">
        <v>82.1</v>
      </c>
    </row>
    <row r="29" spans="1:7" x14ac:dyDescent="0.2">
      <c r="A29" s="47" t="s">
        <v>32</v>
      </c>
      <c r="B29" s="107">
        <v>1.7</v>
      </c>
      <c r="C29" s="107">
        <v>2.4</v>
      </c>
      <c r="D29" s="112">
        <v>2.4</v>
      </c>
      <c r="E29" s="112">
        <v>2.6</v>
      </c>
      <c r="F29" s="112">
        <v>2.5</v>
      </c>
      <c r="G29" s="116">
        <v>2.6</v>
      </c>
    </row>
    <row r="30" spans="1:7" x14ac:dyDescent="0.2">
      <c r="A30" s="47" t="s">
        <v>48</v>
      </c>
      <c r="B30" s="107">
        <v>0.1</v>
      </c>
      <c r="C30" s="107">
        <v>0.2</v>
      </c>
      <c r="D30" s="112">
        <v>0.2</v>
      </c>
      <c r="E30" s="112">
        <v>0.2</v>
      </c>
      <c r="F30" s="112">
        <v>0.3</v>
      </c>
      <c r="G30" s="116">
        <v>0.3</v>
      </c>
    </row>
    <row r="31" spans="1:7" x14ac:dyDescent="0.2">
      <c r="A31" s="47" t="s">
        <v>49</v>
      </c>
      <c r="B31" s="107">
        <v>10.9</v>
      </c>
      <c r="C31" s="107">
        <v>3.9</v>
      </c>
      <c r="D31" s="112">
        <v>5.3</v>
      </c>
      <c r="E31" s="112">
        <v>6.7</v>
      </c>
      <c r="F31" s="112">
        <v>5.8</v>
      </c>
      <c r="G31" s="116">
        <v>6.3</v>
      </c>
    </row>
    <row r="32" spans="1:7" x14ac:dyDescent="0.2">
      <c r="A32" s="48" t="s">
        <v>50</v>
      </c>
      <c r="B32" s="133">
        <v>0.5</v>
      </c>
      <c r="C32" s="103">
        <v>0.5</v>
      </c>
      <c r="D32" s="114">
        <v>0.4</v>
      </c>
      <c r="E32" s="114">
        <v>0.6</v>
      </c>
      <c r="F32" s="114">
        <v>0.6</v>
      </c>
      <c r="G32" s="117">
        <v>0.6</v>
      </c>
    </row>
    <row r="37" spans="2:7" ht="15" x14ac:dyDescent="0.2">
      <c r="B37" s="97"/>
      <c r="C37" s="97"/>
      <c r="D37" s="98"/>
      <c r="E37" s="98"/>
      <c r="F37" s="98"/>
      <c r="G37" s="98"/>
    </row>
    <row r="38" spans="2:7" ht="15" x14ac:dyDescent="0.2">
      <c r="B38" s="97"/>
      <c r="C38" s="97"/>
      <c r="D38" s="98"/>
      <c r="E38" s="98"/>
      <c r="F38" s="98"/>
      <c r="G38" s="98"/>
    </row>
    <row r="39" spans="2:7" ht="15" x14ac:dyDescent="0.2">
      <c r="B39" s="97"/>
      <c r="C39" s="97"/>
      <c r="D39" s="98"/>
      <c r="E39" s="98"/>
      <c r="F39" s="98"/>
      <c r="G39" s="98"/>
    </row>
    <row r="40" spans="2:7" ht="15" x14ac:dyDescent="0.2">
      <c r="B40" s="97"/>
      <c r="C40" s="97"/>
      <c r="D40" s="98"/>
      <c r="E40" s="98"/>
      <c r="F40" s="98"/>
      <c r="G40" s="98"/>
    </row>
    <row r="41" spans="2:7" ht="15" x14ac:dyDescent="0.2">
      <c r="B41" s="97"/>
      <c r="C41" s="97"/>
      <c r="D41" s="98"/>
      <c r="E41" s="98"/>
      <c r="F41" s="98"/>
      <c r="G41" s="98"/>
    </row>
    <row r="42" spans="2:7" ht="15" x14ac:dyDescent="0.2">
      <c r="B42" s="97"/>
      <c r="C42" s="97"/>
      <c r="D42" s="98"/>
      <c r="E42" s="98"/>
      <c r="F42" s="98"/>
      <c r="G42" s="98"/>
    </row>
    <row r="43" spans="2:7" ht="15" x14ac:dyDescent="0.2">
      <c r="B43" s="97"/>
      <c r="C43" s="97"/>
      <c r="D43" s="98"/>
      <c r="E43" s="98"/>
      <c r="F43" s="98"/>
      <c r="G43" s="98"/>
    </row>
  </sheetData>
  <mergeCells count="1">
    <mergeCell ref="A2:H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Figura 1</vt:lpstr>
      <vt:lpstr>Figura 2</vt:lpstr>
      <vt:lpstr>Figura 3</vt:lpstr>
      <vt:lpstr>Figura 4</vt:lpstr>
      <vt:lpstr>Figura 5</vt:lpstr>
      <vt:lpstr>Figura 6</vt:lpstr>
      <vt:lpstr>Figura 7</vt:lpstr>
      <vt:lpstr>Figura 8</vt:lpstr>
      <vt:lpstr>Figura 9</vt:lpstr>
      <vt:lpstr>Figura 10</vt:lpstr>
      <vt:lpstr>Figura 11</vt:lpstr>
      <vt:lpstr>Figura 12</vt:lpstr>
      <vt:lpstr>Figura 13</vt:lpstr>
      <vt:lpstr>Figura 14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Petrusca</dc:creator>
  <cp:lastModifiedBy>Doina Vudvud</cp:lastModifiedBy>
  <dcterms:created xsi:type="dcterms:W3CDTF">2017-02-13T11:50:10Z</dcterms:created>
  <dcterms:modified xsi:type="dcterms:W3CDTF">2022-07-14T10:54:38Z</dcterms:modified>
</cp:coreProperties>
</file>